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2555" activeTab="2"/>
  </bookViews>
  <sheets>
    <sheet name="관리보수" sheetId="1" r:id="rId1"/>
    <sheet name="성과보수" sheetId="2" r:id="rId2"/>
    <sheet name="샘플" sheetId="4" r:id="rId3"/>
    <sheet name="Sheet3" sheetId="3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샘플!$A$21:$M$21</definedName>
    <definedName name="_xlnm.Database">#REF!</definedName>
    <definedName name="_xlnm.Print_Area" localSheetId="2">샘플!$A$1:$F$463</definedName>
    <definedName name="조합보수료">#REF!</definedName>
    <definedName name="조합투자잔액">#REF!</definedName>
    <definedName name="투자">#REF!</definedName>
  </definedNames>
  <calcPr calcId="144525"/>
</workbook>
</file>

<file path=xl/calcChain.xml><?xml version="1.0" encoding="utf-8"?>
<calcChain xmlns="http://schemas.openxmlformats.org/spreadsheetml/2006/main">
  <c r="A473" i="4" l="1"/>
  <c r="B472" i="4"/>
  <c r="B473" i="4" s="1"/>
  <c r="C462" i="4"/>
  <c r="D461" i="4"/>
  <c r="C453" i="4"/>
  <c r="A453" i="4"/>
  <c r="C451" i="4"/>
  <c r="C454" i="4" s="1"/>
  <c r="D450" i="4"/>
  <c r="C450" i="4"/>
  <c r="C449" i="4"/>
  <c r="D449" i="4" s="1"/>
  <c r="H449" i="4" s="1"/>
  <c r="H450" i="4" s="1"/>
  <c r="C447" i="4"/>
  <c r="D438" i="4"/>
  <c r="C438" i="4"/>
  <c r="A438" i="4"/>
  <c r="D437" i="4"/>
  <c r="C437" i="4"/>
  <c r="C436" i="4"/>
  <c r="C439" i="4" s="1"/>
  <c r="C435" i="4"/>
  <c r="C434" i="4"/>
  <c r="C433" i="4"/>
  <c r="D432" i="4"/>
  <c r="D433" i="4" s="1"/>
  <c r="D434" i="4" s="1"/>
  <c r="D435" i="4" s="1"/>
  <c r="D436" i="4" s="1"/>
  <c r="D439" i="4" s="1"/>
  <c r="C432" i="4"/>
  <c r="C431" i="4"/>
  <c r="D430" i="4"/>
  <c r="H430" i="4" s="1"/>
  <c r="H431" i="4" s="1"/>
  <c r="C430" i="4"/>
  <c r="C427" i="4"/>
  <c r="D431" i="4" s="1"/>
  <c r="A409" i="4"/>
  <c r="C409" i="4" s="1"/>
  <c r="C423" i="4" s="1"/>
  <c r="C399" i="4"/>
  <c r="D398" i="4"/>
  <c r="C398" i="4"/>
  <c r="A398" i="4"/>
  <c r="D397" i="4"/>
  <c r="C397" i="4"/>
  <c r="C396" i="4"/>
  <c r="D396" i="4" s="1"/>
  <c r="D399" i="4" s="1"/>
  <c r="D395" i="4"/>
  <c r="C395" i="4"/>
  <c r="C394" i="4"/>
  <c r="D394" i="4" s="1"/>
  <c r="D393" i="4"/>
  <c r="C393" i="4"/>
  <c r="C392" i="4"/>
  <c r="D392" i="4" s="1"/>
  <c r="D391" i="4"/>
  <c r="C391" i="4"/>
  <c r="C390" i="4"/>
  <c r="D390" i="4" s="1"/>
  <c r="D389" i="4"/>
  <c r="C389" i="4"/>
  <c r="C388" i="4"/>
  <c r="D388" i="4" s="1"/>
  <c r="D387" i="4"/>
  <c r="C387" i="4"/>
  <c r="C386" i="4"/>
  <c r="D386" i="4" s="1"/>
  <c r="D385" i="4"/>
  <c r="H385" i="4" s="1"/>
  <c r="C385" i="4"/>
  <c r="C370" i="4"/>
  <c r="A370" i="4"/>
  <c r="C368" i="4"/>
  <c r="C371" i="4" s="1"/>
  <c r="D367" i="4"/>
  <c r="D368" i="4" s="1"/>
  <c r="D371" i="4" s="1"/>
  <c r="C367" i="4"/>
  <c r="C366" i="4"/>
  <c r="C365" i="4"/>
  <c r="C364" i="4"/>
  <c r="D363" i="4"/>
  <c r="D364" i="4" s="1"/>
  <c r="D365" i="4" s="1"/>
  <c r="D366" i="4" s="1"/>
  <c r="C363" i="4"/>
  <c r="C362" i="4"/>
  <c r="C361" i="4"/>
  <c r="D360" i="4"/>
  <c r="H360" i="4" s="1"/>
  <c r="H361" i="4" s="1"/>
  <c r="H362" i="4" s="1"/>
  <c r="H363" i="4" s="1"/>
  <c r="H364" i="4" s="1"/>
  <c r="H365" i="4" s="1"/>
  <c r="H366" i="4" s="1"/>
  <c r="H367" i="4" s="1"/>
  <c r="H368" i="4" s="1"/>
  <c r="C360" i="4"/>
  <c r="F357" i="4"/>
  <c r="C357" i="4"/>
  <c r="D361" i="4" s="1"/>
  <c r="D349" i="4"/>
  <c r="D348" i="4"/>
  <c r="C348" i="4"/>
  <c r="D347" i="4"/>
  <c r="C347" i="4"/>
  <c r="C349" i="4" s="1"/>
  <c r="C345" i="4"/>
  <c r="C344" i="4"/>
  <c r="C343" i="4"/>
  <c r="D342" i="4"/>
  <c r="C342" i="4"/>
  <c r="D341" i="4"/>
  <c r="C341" i="4"/>
  <c r="C340" i="4"/>
  <c r="C339" i="4"/>
  <c r="D338" i="4"/>
  <c r="C338" i="4"/>
  <c r="D337" i="4"/>
  <c r="C337" i="4"/>
  <c r="C336" i="4"/>
  <c r="D336" i="4" s="1"/>
  <c r="D335" i="4"/>
  <c r="C335" i="4"/>
  <c r="C334" i="4"/>
  <c r="D334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F327" i="4"/>
  <c r="C327" i="4"/>
  <c r="C319" i="4"/>
  <c r="C318" i="4"/>
  <c r="C317" i="4"/>
  <c r="C316" i="4"/>
  <c r="D315" i="4"/>
  <c r="C315" i="4"/>
  <c r="H314" i="4"/>
  <c r="I314" i="4" s="1"/>
  <c r="D314" i="4"/>
  <c r="C314" i="4"/>
  <c r="H313" i="4"/>
  <c r="I313" i="4" s="1"/>
  <c r="D313" i="4"/>
  <c r="C313" i="4"/>
  <c r="H312" i="4"/>
  <c r="I312" i="4" s="1"/>
  <c r="G312" i="4"/>
  <c r="D312" i="4"/>
  <c r="C312" i="4"/>
  <c r="D311" i="4"/>
  <c r="C311" i="4"/>
  <c r="D310" i="4"/>
  <c r="C310" i="4"/>
  <c r="D309" i="4"/>
  <c r="C309" i="4"/>
  <c r="D308" i="4"/>
  <c r="C308" i="4"/>
  <c r="D307" i="4"/>
  <c r="C307" i="4"/>
  <c r="D306" i="4"/>
  <c r="C306" i="4"/>
  <c r="D301" i="4"/>
  <c r="A301" i="4"/>
  <c r="D297" i="4"/>
  <c r="A297" i="4"/>
  <c r="A298" i="4" s="1"/>
  <c r="D296" i="4"/>
  <c r="D295" i="4"/>
  <c r="D294" i="4"/>
  <c r="D293" i="4"/>
  <c r="A293" i="4"/>
  <c r="D292" i="4"/>
  <c r="D291" i="4"/>
  <c r="A291" i="4"/>
  <c r="D290" i="4"/>
  <c r="A290" i="4"/>
  <c r="D316" i="4" s="1"/>
  <c r="D289" i="4"/>
  <c r="D288" i="4"/>
  <c r="D287" i="4"/>
  <c r="C285" i="4"/>
  <c r="K275" i="4"/>
  <c r="J275" i="4"/>
  <c r="K274" i="4"/>
  <c r="J274" i="4"/>
  <c r="J273" i="4"/>
  <c r="J272" i="4"/>
  <c r="C272" i="4"/>
  <c r="J271" i="4"/>
  <c r="C271" i="4"/>
  <c r="J270" i="4"/>
  <c r="C270" i="4"/>
  <c r="J269" i="4"/>
  <c r="C269" i="4"/>
  <c r="J268" i="4"/>
  <c r="C268" i="4"/>
  <c r="J267" i="4"/>
  <c r="C267" i="4"/>
  <c r="A267" i="4"/>
  <c r="J266" i="4"/>
  <c r="C266" i="4"/>
  <c r="J265" i="4"/>
  <c r="C265" i="4"/>
  <c r="J264" i="4"/>
  <c r="C264" i="4"/>
  <c r="J263" i="4"/>
  <c r="C263" i="4"/>
  <c r="J262" i="4"/>
  <c r="C262" i="4"/>
  <c r="J261" i="4"/>
  <c r="C261" i="4"/>
  <c r="J260" i="4"/>
  <c r="C260" i="4"/>
  <c r="J259" i="4"/>
  <c r="C259" i="4"/>
  <c r="J258" i="4"/>
  <c r="C258" i="4"/>
  <c r="J257" i="4"/>
  <c r="C257" i="4"/>
  <c r="J256" i="4"/>
  <c r="C256" i="4"/>
  <c r="J255" i="4"/>
  <c r="C255" i="4"/>
  <c r="J254" i="4"/>
  <c r="C254" i="4"/>
  <c r="J253" i="4"/>
  <c r="C253" i="4"/>
  <c r="J252" i="4"/>
  <c r="C252" i="4"/>
  <c r="J251" i="4"/>
  <c r="C251" i="4"/>
  <c r="C250" i="4"/>
  <c r="A250" i="4"/>
  <c r="J250" i="4" s="1"/>
  <c r="C249" i="4"/>
  <c r="A249" i="4"/>
  <c r="J249" i="4" s="1"/>
  <c r="J248" i="4"/>
  <c r="C248" i="4"/>
  <c r="J247" i="4"/>
  <c r="C247" i="4"/>
  <c r="J246" i="4"/>
  <c r="C246" i="4"/>
  <c r="J245" i="4"/>
  <c r="C245" i="4"/>
  <c r="J244" i="4"/>
  <c r="C244" i="4"/>
  <c r="J243" i="4"/>
  <c r="C243" i="4"/>
  <c r="J242" i="4"/>
  <c r="C242" i="4"/>
  <c r="J241" i="4"/>
  <c r="C241" i="4"/>
  <c r="J240" i="4"/>
  <c r="C240" i="4"/>
  <c r="J239" i="4"/>
  <c r="C239" i="4"/>
  <c r="J238" i="4"/>
  <c r="C238" i="4"/>
  <c r="J237" i="4"/>
  <c r="C237" i="4"/>
  <c r="J236" i="4"/>
  <c r="C236" i="4"/>
  <c r="J235" i="4"/>
  <c r="G235" i="4"/>
  <c r="C235" i="4"/>
  <c r="J234" i="4"/>
  <c r="C234" i="4"/>
  <c r="J233" i="4"/>
  <c r="C233" i="4"/>
  <c r="J232" i="4"/>
  <c r="C232" i="4"/>
  <c r="J231" i="4"/>
  <c r="C231" i="4"/>
  <c r="J230" i="4"/>
  <c r="C230" i="4"/>
  <c r="J229" i="4"/>
  <c r="C229" i="4"/>
  <c r="J228" i="4"/>
  <c r="C228" i="4"/>
  <c r="J227" i="4"/>
  <c r="C227" i="4"/>
  <c r="J226" i="4"/>
  <c r="C226" i="4"/>
  <c r="J225" i="4"/>
  <c r="H225" i="4"/>
  <c r="C225" i="4"/>
  <c r="J224" i="4"/>
  <c r="G224" i="4"/>
  <c r="C224" i="4"/>
  <c r="J223" i="4"/>
  <c r="G223" i="4"/>
  <c r="C223" i="4"/>
  <c r="D223" i="4" s="1"/>
  <c r="F223" i="4" s="1"/>
  <c r="J222" i="4"/>
  <c r="C222" i="4"/>
  <c r="D222" i="4" s="1"/>
  <c r="F222" i="4" s="1"/>
  <c r="J221" i="4"/>
  <c r="C221" i="4"/>
  <c r="D221" i="4" s="1"/>
  <c r="F221" i="4" s="1"/>
  <c r="J220" i="4"/>
  <c r="C220" i="4"/>
  <c r="D220" i="4" s="1"/>
  <c r="F220" i="4" s="1"/>
  <c r="J219" i="4"/>
  <c r="C219" i="4"/>
  <c r="D219" i="4" s="1"/>
  <c r="F219" i="4" s="1"/>
  <c r="J218" i="4"/>
  <c r="F218" i="4"/>
  <c r="C218" i="4"/>
  <c r="D218" i="4" s="1"/>
  <c r="J217" i="4"/>
  <c r="F217" i="4"/>
  <c r="C217" i="4"/>
  <c r="D217" i="4" s="1"/>
  <c r="J216" i="4"/>
  <c r="C216" i="4"/>
  <c r="D216" i="4" s="1"/>
  <c r="F216" i="4" s="1"/>
  <c r="J215" i="4"/>
  <c r="C215" i="4"/>
  <c r="D215" i="4" s="1"/>
  <c r="F215" i="4" s="1"/>
  <c r="J214" i="4"/>
  <c r="F214" i="4"/>
  <c r="C214" i="4"/>
  <c r="D214" i="4" s="1"/>
  <c r="J213" i="4"/>
  <c r="F213" i="4"/>
  <c r="C213" i="4"/>
  <c r="D213" i="4" s="1"/>
  <c r="J212" i="4"/>
  <c r="C212" i="4"/>
  <c r="D212" i="4" s="1"/>
  <c r="F212" i="4" s="1"/>
  <c r="J211" i="4"/>
  <c r="C211" i="4"/>
  <c r="D211" i="4" s="1"/>
  <c r="F211" i="4" s="1"/>
  <c r="J210" i="4"/>
  <c r="C210" i="4"/>
  <c r="D210" i="4" s="1"/>
  <c r="F210" i="4" s="1"/>
  <c r="J209" i="4"/>
  <c r="F209" i="4"/>
  <c r="C209" i="4"/>
  <c r="D209" i="4" s="1"/>
  <c r="J208" i="4"/>
  <c r="F208" i="4"/>
  <c r="E208" i="4"/>
  <c r="D208" i="4"/>
  <c r="C208" i="4"/>
  <c r="J207" i="4"/>
  <c r="E207" i="4"/>
  <c r="C207" i="4"/>
  <c r="D207" i="4" s="1"/>
  <c r="F207" i="4" s="1"/>
  <c r="I205" i="4"/>
  <c r="C195" i="4"/>
  <c r="C194" i="4"/>
  <c r="C193" i="4"/>
  <c r="D192" i="4"/>
  <c r="C192" i="4"/>
  <c r="D191" i="4"/>
  <c r="C191" i="4"/>
  <c r="C190" i="4"/>
  <c r="D190" i="4" s="1"/>
  <c r="C189" i="4"/>
  <c r="D189" i="4" s="1"/>
  <c r="D188" i="4"/>
  <c r="C188" i="4"/>
  <c r="D187" i="4"/>
  <c r="C187" i="4"/>
  <c r="D186" i="4"/>
  <c r="C186" i="4"/>
  <c r="D185" i="4"/>
  <c r="C185" i="4"/>
  <c r="D184" i="4"/>
  <c r="C184" i="4"/>
  <c r="D183" i="4"/>
  <c r="C183" i="4"/>
  <c r="D182" i="4"/>
  <c r="C182" i="4"/>
  <c r="D181" i="4"/>
  <c r="C181" i="4"/>
  <c r="D180" i="4"/>
  <c r="C180" i="4"/>
  <c r="C179" i="4"/>
  <c r="D176" i="4"/>
  <c r="A172" i="4"/>
  <c r="D172" i="4" s="1"/>
  <c r="D171" i="4"/>
  <c r="A171" i="4"/>
  <c r="D170" i="4"/>
  <c r="G169" i="4"/>
  <c r="D193" i="4" s="1"/>
  <c r="H160" i="4"/>
  <c r="C160" i="4"/>
  <c r="C161" i="4" s="1"/>
  <c r="H159" i="4"/>
  <c r="C159" i="4"/>
  <c r="H158" i="4"/>
  <c r="C158" i="4"/>
  <c r="H157" i="4"/>
  <c r="D157" i="4"/>
  <c r="C157" i="4"/>
  <c r="H156" i="4"/>
  <c r="D156" i="4"/>
  <c r="C156" i="4"/>
  <c r="H155" i="4"/>
  <c r="C155" i="4"/>
  <c r="D155" i="4" s="1"/>
  <c r="H154" i="4"/>
  <c r="C154" i="4"/>
  <c r="D154" i="4" s="1"/>
  <c r="J146" i="4" s="1"/>
  <c r="H153" i="4"/>
  <c r="D153" i="4"/>
  <c r="C153" i="4"/>
  <c r="H152" i="4"/>
  <c r="D152" i="4"/>
  <c r="C152" i="4"/>
  <c r="H151" i="4"/>
  <c r="D151" i="4"/>
  <c r="C151" i="4"/>
  <c r="H150" i="4"/>
  <c r="D150" i="4"/>
  <c r="C150" i="4"/>
  <c r="H149" i="4"/>
  <c r="D149" i="4"/>
  <c r="C149" i="4"/>
  <c r="H148" i="4"/>
  <c r="D148" i="4"/>
  <c r="C148" i="4"/>
  <c r="H147" i="4"/>
  <c r="D147" i="4"/>
  <c r="C147" i="4"/>
  <c r="H146" i="4"/>
  <c r="D146" i="4"/>
  <c r="C146" i="4"/>
  <c r="J145" i="4"/>
  <c r="H145" i="4"/>
  <c r="D145" i="4"/>
  <c r="C145" i="4"/>
  <c r="J144" i="4"/>
  <c r="H144" i="4"/>
  <c r="E144" i="4"/>
  <c r="D144" i="4"/>
  <c r="C144" i="4"/>
  <c r="J143" i="4"/>
  <c r="H143" i="4"/>
  <c r="E143" i="4"/>
  <c r="C143" i="4"/>
  <c r="A134" i="4"/>
  <c r="D158" i="4" s="1"/>
  <c r="J147" i="4" s="1"/>
  <c r="D133" i="4"/>
  <c r="D132" i="4"/>
  <c r="D131" i="4"/>
  <c r="C120" i="4"/>
  <c r="C119" i="4"/>
  <c r="A119" i="4"/>
  <c r="D117" i="4"/>
  <c r="C117" i="4"/>
  <c r="C116" i="4"/>
  <c r="C115" i="4"/>
  <c r="C114" i="4"/>
  <c r="D113" i="4"/>
  <c r="C113" i="4"/>
  <c r="D112" i="4"/>
  <c r="C112" i="4"/>
  <c r="C111" i="4"/>
  <c r="C110" i="4"/>
  <c r="D109" i="4"/>
  <c r="C109" i="4"/>
  <c r="D108" i="4"/>
  <c r="C108" i="4"/>
  <c r="C107" i="4"/>
  <c r="C106" i="4"/>
  <c r="D105" i="4"/>
  <c r="C105" i="4"/>
  <c r="D104" i="4"/>
  <c r="C104" i="4"/>
  <c r="C103" i="4"/>
  <c r="C102" i="4"/>
  <c r="D101" i="4"/>
  <c r="C101" i="4"/>
  <c r="D100" i="4"/>
  <c r="C100" i="4"/>
  <c r="C99" i="4"/>
  <c r="C98" i="4"/>
  <c r="D97" i="4"/>
  <c r="C97" i="4"/>
  <c r="D96" i="4"/>
  <c r="C96" i="4"/>
  <c r="C95" i="4"/>
  <c r="C94" i="4"/>
  <c r="H93" i="4"/>
  <c r="D93" i="4"/>
  <c r="C93" i="4"/>
  <c r="A90" i="4"/>
  <c r="D114" i="4" s="1"/>
  <c r="I80" i="4"/>
  <c r="C80" i="4"/>
  <c r="D80" i="4" s="1"/>
  <c r="A80" i="4"/>
  <c r="I79" i="4"/>
  <c r="F79" i="4"/>
  <c r="D79" i="4"/>
  <c r="G79" i="4" s="1"/>
  <c r="C79" i="4"/>
  <c r="I78" i="4"/>
  <c r="C78" i="4"/>
  <c r="D78" i="4" s="1"/>
  <c r="I77" i="4"/>
  <c r="C77" i="4"/>
  <c r="I76" i="4"/>
  <c r="D76" i="4"/>
  <c r="G76" i="4" s="1"/>
  <c r="C76" i="4"/>
  <c r="I75" i="4"/>
  <c r="F75" i="4"/>
  <c r="D75" i="4"/>
  <c r="G75" i="4" s="1"/>
  <c r="C75" i="4"/>
  <c r="I74" i="4"/>
  <c r="C74" i="4"/>
  <c r="D74" i="4" s="1"/>
  <c r="I73" i="4"/>
  <c r="D73" i="4"/>
  <c r="G73" i="4" s="1"/>
  <c r="C73" i="4"/>
  <c r="I72" i="4"/>
  <c r="F72" i="4"/>
  <c r="D72" i="4"/>
  <c r="G72" i="4" s="1"/>
  <c r="C72" i="4"/>
  <c r="I71" i="4"/>
  <c r="C71" i="4"/>
  <c r="D71" i="4" s="1"/>
  <c r="I70" i="4"/>
  <c r="C70" i="4"/>
  <c r="D70" i="4" s="1"/>
  <c r="I69" i="4"/>
  <c r="C69" i="4"/>
  <c r="D69" i="4" s="1"/>
  <c r="F69" i="4" s="1"/>
  <c r="I68" i="4"/>
  <c r="C68" i="4"/>
  <c r="D68" i="4" s="1"/>
  <c r="F68" i="4" s="1"/>
  <c r="I67" i="4"/>
  <c r="C67" i="4"/>
  <c r="D67" i="4" s="1"/>
  <c r="F67" i="4" s="1"/>
  <c r="I66" i="4"/>
  <c r="C66" i="4"/>
  <c r="D66" i="4" s="1"/>
  <c r="F66" i="4" s="1"/>
  <c r="I65" i="4"/>
  <c r="E65" i="4"/>
  <c r="D65" i="4"/>
  <c r="F65" i="4" s="1"/>
  <c r="C65" i="4"/>
  <c r="I64" i="4"/>
  <c r="D64" i="4"/>
  <c r="F64" i="4" s="1"/>
  <c r="C64" i="4"/>
  <c r="I63" i="4"/>
  <c r="E63" i="4"/>
  <c r="D63" i="4"/>
  <c r="F63" i="4" s="1"/>
  <c r="C63" i="4"/>
  <c r="I62" i="4"/>
  <c r="F62" i="4"/>
  <c r="D62" i="4"/>
  <c r="C62" i="4"/>
  <c r="I61" i="4"/>
  <c r="E61" i="4"/>
  <c r="C61" i="4"/>
  <c r="D61" i="4" s="1"/>
  <c r="F61" i="4" s="1"/>
  <c r="I60" i="4"/>
  <c r="E60" i="4"/>
  <c r="D60" i="4"/>
  <c r="F60" i="4" s="1"/>
  <c r="C60" i="4"/>
  <c r="I59" i="4"/>
  <c r="E59" i="4"/>
  <c r="D59" i="4"/>
  <c r="F59" i="4" s="1"/>
  <c r="C59" i="4"/>
  <c r="I58" i="4"/>
  <c r="F58" i="4"/>
  <c r="E58" i="4"/>
  <c r="D58" i="4"/>
  <c r="C58" i="4"/>
  <c r="I57" i="4"/>
  <c r="C57" i="4"/>
  <c r="D57" i="4" s="1"/>
  <c r="F57" i="4" s="1"/>
  <c r="I56" i="4"/>
  <c r="D56" i="4"/>
  <c r="F56" i="4" s="1"/>
  <c r="C56" i="4"/>
  <c r="I55" i="4"/>
  <c r="C55" i="4"/>
  <c r="D55" i="4" s="1"/>
  <c r="F55" i="4" s="1"/>
  <c r="I54" i="4"/>
  <c r="D54" i="4"/>
  <c r="F54" i="4" s="1"/>
  <c r="C54" i="4"/>
  <c r="C51" i="4"/>
  <c r="C43" i="4"/>
  <c r="C42" i="4"/>
  <c r="C41" i="4"/>
  <c r="C40" i="4"/>
  <c r="C39" i="4"/>
  <c r="D39" i="4" s="1"/>
  <c r="C38" i="4"/>
  <c r="D38" i="4" s="1"/>
  <c r="D37" i="4"/>
  <c r="C37" i="4"/>
  <c r="D36" i="4"/>
  <c r="C36" i="4"/>
  <c r="D35" i="4"/>
  <c r="C35" i="4"/>
  <c r="E34" i="4"/>
  <c r="D34" i="4"/>
  <c r="C34" i="4"/>
  <c r="D33" i="4"/>
  <c r="C33" i="4"/>
  <c r="E32" i="4"/>
  <c r="D32" i="4"/>
  <c r="C32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C25" i="4"/>
  <c r="E24" i="4"/>
  <c r="C24" i="4"/>
  <c r="D24" i="4" s="1"/>
  <c r="E23" i="4"/>
  <c r="D23" i="4"/>
  <c r="C23" i="4"/>
  <c r="E22" i="4"/>
  <c r="C22" i="4"/>
  <c r="D22" i="4" s="1"/>
  <c r="G18" i="4"/>
  <c r="A18" i="4"/>
  <c r="F18" i="4" s="1"/>
  <c r="G17" i="4"/>
  <c r="A17" i="4"/>
  <c r="D17" i="4" s="1"/>
  <c r="G16" i="4"/>
  <c r="A16" i="4"/>
  <c r="F16" i="4" s="1"/>
  <c r="G15" i="4"/>
  <c r="A15" i="4"/>
  <c r="F15" i="4" s="1"/>
  <c r="G14" i="4"/>
  <c r="A14" i="4"/>
  <c r="D14" i="4" s="1"/>
  <c r="G13" i="4"/>
  <c r="A13" i="4"/>
  <c r="F13" i="4" s="1"/>
  <c r="A12" i="4"/>
  <c r="D40" i="4" s="1"/>
  <c r="D11" i="4"/>
  <c r="D10" i="4"/>
  <c r="D9" i="4"/>
  <c r="G71" i="4" l="1"/>
  <c r="F71" i="4"/>
  <c r="D81" i="4"/>
  <c r="G78" i="4"/>
  <c r="F78" i="4"/>
  <c r="K56" i="4"/>
  <c r="F80" i="4"/>
  <c r="G80" i="4"/>
  <c r="D77" i="4"/>
  <c r="G74" i="4"/>
  <c r="F74" i="4"/>
  <c r="F70" i="4"/>
  <c r="H73" i="4"/>
  <c r="G70" i="4"/>
  <c r="K57" i="4"/>
  <c r="D13" i="4"/>
  <c r="D16" i="4"/>
  <c r="D18" i="4"/>
  <c r="D42" i="4" s="1"/>
  <c r="D43" i="4" s="1"/>
  <c r="K54" i="4"/>
  <c r="D194" i="4"/>
  <c r="A173" i="4"/>
  <c r="D224" i="4"/>
  <c r="F224" i="4" s="1"/>
  <c r="G225" i="4"/>
  <c r="C276" i="4"/>
  <c r="H386" i="4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D15" i="4"/>
  <c r="F14" i="4"/>
  <c r="F17" i="4"/>
  <c r="K55" i="4"/>
  <c r="K58" i="4"/>
  <c r="G81" i="4"/>
  <c r="D179" i="4"/>
  <c r="C196" i="4"/>
  <c r="D298" i="4"/>
  <c r="A299" i="4"/>
  <c r="C463" i="4"/>
  <c r="D462" i="4"/>
  <c r="D463" i="4" s="1"/>
  <c r="K60" i="4"/>
  <c r="D12" i="4"/>
  <c r="F73" i="4"/>
  <c r="F76" i="4"/>
  <c r="C81" i="4"/>
  <c r="D95" i="4"/>
  <c r="D99" i="4"/>
  <c r="D103" i="4"/>
  <c r="D107" i="4"/>
  <c r="D111" i="4"/>
  <c r="D115" i="4"/>
  <c r="D116" i="4" s="1"/>
  <c r="D118" i="4"/>
  <c r="D120" i="4" s="1"/>
  <c r="D119" i="4"/>
  <c r="D134" i="4"/>
  <c r="H432" i="4"/>
  <c r="H433" i="4" s="1"/>
  <c r="H434" i="4" s="1"/>
  <c r="H435" i="4" s="1"/>
  <c r="H436" i="4" s="1"/>
  <c r="D451" i="4"/>
  <c r="D94" i="4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D98" i="4"/>
  <c r="D102" i="4"/>
  <c r="D106" i="4"/>
  <c r="D110" i="4"/>
  <c r="A135" i="4"/>
  <c r="G236" i="4"/>
  <c r="D235" i="4"/>
  <c r="F235" i="4" s="1"/>
  <c r="D409" i="4"/>
  <c r="D317" i="4"/>
  <c r="G317" i="4" s="1"/>
  <c r="D452" i="4"/>
  <c r="D453" i="4"/>
  <c r="L7" i="2"/>
  <c r="L8" i="2"/>
  <c r="L9" i="2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6" i="2"/>
  <c r="L5" i="2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G55" i="1"/>
  <c r="E49" i="1"/>
  <c r="E50" i="1"/>
  <c r="E51" i="1"/>
  <c r="E52" i="1"/>
  <c r="E53" i="1"/>
  <c r="E54" i="1"/>
  <c r="E24" i="1"/>
  <c r="F24" i="1"/>
  <c r="F23" i="1"/>
  <c r="G23" i="1"/>
  <c r="G24" i="1" s="1"/>
  <c r="E23" i="1"/>
  <c r="D24" i="1"/>
  <c r="D23" i="1"/>
  <c r="I35" i="2"/>
  <c r="H35" i="2"/>
  <c r="G35" i="2"/>
  <c r="F35" i="2"/>
  <c r="D35" i="2"/>
  <c r="K36" i="2"/>
  <c r="D36" i="2"/>
  <c r="D39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4" i="2"/>
  <c r="D454" i="4" l="1"/>
  <c r="G226" i="4"/>
  <c r="D225" i="4"/>
  <c r="F225" i="4" s="1"/>
  <c r="G237" i="4"/>
  <c r="D236" i="4"/>
  <c r="F236" i="4" s="1"/>
  <c r="K236" i="4"/>
  <c r="K59" i="4"/>
  <c r="H409" i="4"/>
  <c r="D423" i="4"/>
  <c r="A136" i="4"/>
  <c r="F135" i="4"/>
  <c r="D135" i="4"/>
  <c r="A174" i="4"/>
  <c r="D173" i="4"/>
  <c r="D41" i="4"/>
  <c r="A300" i="4"/>
  <c r="D300" i="4" s="1"/>
  <c r="D318" i="4" s="1"/>
  <c r="D299" i="4"/>
  <c r="H451" i="4"/>
  <c r="H452" i="4" s="1"/>
  <c r="H453" i="4" s="1"/>
  <c r="F77" i="4"/>
  <c r="F81" i="4" s="1"/>
  <c r="G77" i="4"/>
  <c r="E55" i="1"/>
  <c r="H23" i="1"/>
  <c r="H24" i="1"/>
  <c r="D319" i="4" l="1"/>
  <c r="G318" i="4"/>
  <c r="G41" i="4"/>
  <c r="G42" i="4"/>
  <c r="D136" i="4"/>
  <c r="A137" i="4"/>
  <c r="F136" i="4"/>
  <c r="G228" i="4"/>
  <c r="D226" i="4"/>
  <c r="A175" i="4"/>
  <c r="D175" i="4" s="1"/>
  <c r="D174" i="4"/>
  <c r="D195" i="4" s="1"/>
  <c r="G238" i="4"/>
  <c r="K237" i="4"/>
  <c r="D237" i="4"/>
  <c r="F237" i="4" s="1"/>
  <c r="G229" i="4" l="1"/>
  <c r="D228" i="4"/>
  <c r="F228" i="4" s="1"/>
  <c r="G227" i="4"/>
  <c r="D227" i="4" s="1"/>
  <c r="F227" i="4" s="1"/>
  <c r="F137" i="4"/>
  <c r="D137" i="4"/>
  <c r="A138" i="4"/>
  <c r="D196" i="4"/>
  <c r="G195" i="4"/>
  <c r="K238" i="4"/>
  <c r="G239" i="4"/>
  <c r="D238" i="4"/>
  <c r="F238" i="4" s="1"/>
  <c r="F226" i="4"/>
  <c r="G240" i="4" l="1"/>
  <c r="K239" i="4"/>
  <c r="D239" i="4"/>
  <c r="F239" i="4" s="1"/>
  <c r="A139" i="4"/>
  <c r="F138" i="4"/>
  <c r="D138" i="4"/>
  <c r="D159" i="4"/>
  <c r="G230" i="4"/>
  <c r="D229" i="4"/>
  <c r="F229" i="4" s="1"/>
  <c r="J148" i="4" l="1"/>
  <c r="A140" i="4"/>
  <c r="F139" i="4"/>
  <c r="D139" i="4"/>
  <c r="D160" i="4" s="1"/>
  <c r="D230" i="4"/>
  <c r="G234" i="4"/>
  <c r="G231" i="4"/>
  <c r="K240" i="4"/>
  <c r="G241" i="4"/>
  <c r="D240" i="4"/>
  <c r="F240" i="4" s="1"/>
  <c r="D161" i="4" l="1"/>
  <c r="J149" i="4"/>
  <c r="G159" i="4"/>
  <c r="G242" i="4"/>
  <c r="K241" i="4"/>
  <c r="D241" i="4"/>
  <c r="F241" i="4" s="1"/>
  <c r="D231" i="4"/>
  <c r="F231" i="4" s="1"/>
  <c r="G232" i="4"/>
  <c r="D234" i="4"/>
  <c r="F234" i="4" s="1"/>
  <c r="K235" i="4"/>
  <c r="F230" i="4"/>
  <c r="D140" i="4"/>
  <c r="F140" i="4"/>
  <c r="G233" i="4" l="1"/>
  <c r="D233" i="4" s="1"/>
  <c r="F233" i="4" s="1"/>
  <c r="D232" i="4"/>
  <c r="F232" i="4" s="1"/>
  <c r="G243" i="4"/>
  <c r="D242" i="4"/>
  <c r="F242" i="4" s="1"/>
  <c r="K242" i="4"/>
  <c r="G244" i="4" l="1"/>
  <c r="K243" i="4"/>
  <c r="D243" i="4"/>
  <c r="F243" i="4" s="1"/>
  <c r="G245" i="4" l="1"/>
  <c r="D244" i="4"/>
  <c r="F244" i="4" s="1"/>
  <c r="K244" i="4"/>
  <c r="G246" i="4" l="1"/>
  <c r="K245" i="4"/>
  <c r="D245" i="4"/>
  <c r="F245" i="4" s="1"/>
  <c r="K246" i="4" l="1"/>
  <c r="G247" i="4"/>
  <c r="D246" i="4"/>
  <c r="F246" i="4" s="1"/>
  <c r="G248" i="4" l="1"/>
  <c r="K247" i="4"/>
  <c r="D247" i="4"/>
  <c r="F247" i="4" s="1"/>
  <c r="G249" i="4" l="1"/>
  <c r="K248" i="4"/>
  <c r="D248" i="4"/>
  <c r="F248" i="4" s="1"/>
  <c r="K249" i="4" l="1"/>
  <c r="D249" i="4"/>
  <c r="F249" i="4" s="1"/>
  <c r="G250" i="4"/>
  <c r="G251" i="4" l="1"/>
  <c r="K250" i="4"/>
  <c r="D250" i="4"/>
  <c r="F250" i="4" s="1"/>
  <c r="G252" i="4" l="1"/>
  <c r="D251" i="4"/>
  <c r="F251" i="4" s="1"/>
  <c r="K251" i="4"/>
  <c r="G253" i="4" l="1"/>
  <c r="K252" i="4"/>
  <c r="D252" i="4"/>
  <c r="F252" i="4" s="1"/>
  <c r="K253" i="4" l="1"/>
  <c r="G254" i="4"/>
  <c r="D253" i="4"/>
  <c r="F253" i="4" s="1"/>
  <c r="G255" i="4" l="1"/>
  <c r="K254" i="4"/>
  <c r="D254" i="4"/>
  <c r="F254" i="4" l="1"/>
  <c r="K255" i="4"/>
  <c r="G256" i="4"/>
  <c r="D255" i="4"/>
  <c r="F255" i="4" s="1"/>
  <c r="G257" i="4" l="1"/>
  <c r="K256" i="4"/>
  <c r="D256" i="4"/>
  <c r="F256" i="4" s="1"/>
  <c r="G258" i="4" l="1"/>
  <c r="D257" i="4"/>
  <c r="K257" i="4"/>
  <c r="F257" i="4" l="1"/>
  <c r="G259" i="4"/>
  <c r="K258" i="4"/>
  <c r="D258" i="4"/>
  <c r="F258" i="4" s="1"/>
  <c r="G260" i="4" l="1"/>
  <c r="D259" i="4"/>
  <c r="F259" i="4" s="1"/>
  <c r="K259" i="4"/>
  <c r="G261" i="4" l="1"/>
  <c r="K260" i="4"/>
  <c r="D260" i="4"/>
  <c r="F260" i="4" l="1"/>
  <c r="K261" i="4"/>
  <c r="G262" i="4"/>
  <c r="D261" i="4"/>
  <c r="F261" i="4" s="1"/>
  <c r="G263" i="4" l="1"/>
  <c r="K262" i="4"/>
  <c r="D262" i="4"/>
  <c r="F262" i="4" s="1"/>
  <c r="K263" i="4" l="1"/>
  <c r="G264" i="4"/>
  <c r="D263" i="4"/>
  <c r="F263" i="4" s="1"/>
  <c r="G265" i="4" l="1"/>
  <c r="K264" i="4"/>
  <c r="D264" i="4"/>
  <c r="F264" i="4" s="1"/>
  <c r="G266" i="4" l="1"/>
  <c r="D265" i="4"/>
  <c r="F265" i="4" s="1"/>
  <c r="K265" i="4"/>
  <c r="K266" i="4" l="1"/>
  <c r="D266" i="4"/>
  <c r="F266" i="4" s="1"/>
  <c r="G267" i="4"/>
  <c r="G268" i="4" l="1"/>
  <c r="K267" i="4"/>
  <c r="D267" i="4"/>
  <c r="F267" i="4" s="1"/>
  <c r="G269" i="4" l="1"/>
  <c r="K268" i="4"/>
  <c r="D268" i="4"/>
  <c r="F268" i="4" s="1"/>
  <c r="G270" i="4" l="1"/>
  <c r="K269" i="4"/>
  <c r="D269" i="4"/>
  <c r="F269" i="4" s="1"/>
  <c r="G271" i="4" l="1"/>
  <c r="K270" i="4"/>
  <c r="D270" i="4"/>
  <c r="F270" i="4" s="1"/>
  <c r="G272" i="4" l="1"/>
  <c r="K271" i="4"/>
  <c r="D271" i="4"/>
  <c r="F271" i="4" s="1"/>
  <c r="K272" i="4" l="1"/>
  <c r="D272" i="4"/>
  <c r="F272" i="4" l="1"/>
  <c r="G277" i="4"/>
  <c r="D276" i="4"/>
  <c r="F276" i="4" s="1"/>
</calcChain>
</file>

<file path=xl/comments1.xml><?xml version="1.0" encoding="utf-8"?>
<comments xmlns="http://schemas.openxmlformats.org/spreadsheetml/2006/main">
  <authors>
    <author>Registered User</author>
  </authors>
  <commentList>
    <comment ref="E77" authorId="0">
      <text>
        <r>
          <rPr>
            <sz val="9"/>
            <color indexed="81"/>
            <rFont val="Tahoma"/>
            <family val="2"/>
          </rPr>
          <t>IMM 1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>,KT</t>
        </r>
        <r>
          <rPr>
            <sz val="9"/>
            <color indexed="81"/>
            <rFont val="돋움"/>
            <family val="3"/>
            <charset val="129"/>
          </rPr>
          <t>캐피탈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,
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미지급
</t>
        </r>
        <r>
          <rPr>
            <sz val="9"/>
            <color indexed="81"/>
            <rFont val="Tahoma"/>
            <family val="2"/>
          </rPr>
          <t xml:space="preserve">6/30 </t>
        </r>
        <r>
          <rPr>
            <sz val="9"/>
            <color indexed="81"/>
            <rFont val="돋움"/>
            <family val="3"/>
            <charset val="129"/>
          </rPr>
          <t>지급완료</t>
        </r>
      </text>
    </comment>
    <comment ref="E430" authorId="0">
      <text>
        <r>
          <rPr>
            <b/>
            <sz val="9"/>
            <color indexed="81"/>
            <rFont val="Tahoma"/>
            <family val="2"/>
          </rPr>
          <t xml:space="preserve">Registered User:
</t>
        </r>
        <r>
          <rPr>
            <b/>
            <sz val="9"/>
            <color indexed="81"/>
            <rFont val="돋움"/>
            <family val="3"/>
            <charset val="129"/>
          </rPr>
          <t>관리보수입금계좌가 10/1개설되어 10/1입금됨</t>
        </r>
      </text>
    </comment>
  </commentList>
</comments>
</file>

<file path=xl/sharedStrings.xml><?xml version="1.0" encoding="utf-8"?>
<sst xmlns="http://schemas.openxmlformats.org/spreadsheetml/2006/main" count="478" uniqueCount="222">
  <si>
    <t>조합명</t>
    <phoneticPr fontId="2" type="noConversion"/>
  </si>
  <si>
    <t>관리보수율</t>
    <phoneticPr fontId="2" type="noConversion"/>
  </si>
  <si>
    <t>약정</t>
    <phoneticPr fontId="2" type="noConversion"/>
  </si>
  <si>
    <t>분기평잔</t>
    <phoneticPr fontId="2" type="noConversion"/>
  </si>
  <si>
    <t>일평잔</t>
    <phoneticPr fontId="2" type="noConversion"/>
  </si>
  <si>
    <t>기준</t>
    <phoneticPr fontId="2" type="noConversion"/>
  </si>
  <si>
    <t xml:space="preserve">* </t>
    <phoneticPr fontId="2" type="noConversion"/>
  </si>
  <si>
    <t>보수율</t>
    <phoneticPr fontId="2" type="noConversion"/>
  </si>
  <si>
    <t>*</t>
    <phoneticPr fontId="2" type="noConversion"/>
  </si>
  <si>
    <t>납입출자금</t>
    <phoneticPr fontId="2" type="noConversion"/>
  </si>
  <si>
    <t>출자잔액</t>
    <phoneticPr fontId="2" type="noConversion"/>
  </si>
  <si>
    <t>시작일</t>
  </si>
  <si>
    <t>시작일</t>
    <phoneticPr fontId="2" type="noConversion"/>
  </si>
  <si>
    <t>종료일</t>
  </si>
  <si>
    <t>기산일</t>
    <phoneticPr fontId="2" type="noConversion"/>
  </si>
  <si>
    <t>/4</t>
    <phoneticPr fontId="2" type="noConversion"/>
  </si>
  <si>
    <t>(온 1분기)</t>
    <phoneticPr fontId="2" type="noConversion"/>
  </si>
  <si>
    <t>종료일-시작일+1</t>
    <phoneticPr fontId="2" type="noConversion"/>
  </si>
  <si>
    <t>/365or366</t>
    <phoneticPr fontId="2" type="noConversion"/>
  </si>
  <si>
    <t>(종료일-시작일+1)</t>
    <phoneticPr fontId="2" type="noConversion"/>
  </si>
  <si>
    <t>/분기일수/4</t>
    <phoneticPr fontId="2" type="noConversion"/>
  </si>
  <si>
    <t>성과보수율</t>
    <phoneticPr fontId="2" type="noConversion"/>
  </si>
  <si>
    <t>* 2010 KIF-IMM IT전문투자조합  성과보수 계산표</t>
  </si>
  <si>
    <t xml:space="preserve"> 조합 </t>
  </si>
  <si>
    <t xml:space="preserve"> 기준일자 ▼</t>
  </si>
  <si>
    <t xml:space="preserve"> 구분 </t>
  </si>
  <si>
    <t xml:space="preserve"> 출자원금 </t>
  </si>
  <si>
    <t xml:space="preserve"> 배분원금 </t>
  </si>
  <si>
    <t xml:space="preserve"> 수익 </t>
  </si>
  <si>
    <t xml:space="preserve"> 원금+수익 </t>
  </si>
  <si>
    <t>성과보수</t>
  </si>
  <si>
    <t>성과보수차감후실배분</t>
  </si>
  <si>
    <t>IRR(8%달성)</t>
  </si>
  <si>
    <t>기준수익</t>
  </si>
  <si>
    <t>2010 KIF</t>
  </si>
  <si>
    <t>출자</t>
  </si>
  <si>
    <t>배분</t>
  </si>
  <si>
    <t>IRR</t>
  </si>
  <si>
    <t>IRR(성과보수차감후)</t>
  </si>
  <si>
    <t>ROI</t>
  </si>
  <si>
    <t>ROI(성과보수차감후)</t>
  </si>
  <si>
    <t>성과보수초과수익</t>
  </si>
  <si>
    <t>GP별성과보수</t>
  </si>
  <si>
    <t>초과수익</t>
  </si>
  <si>
    <t>현금흐름</t>
    <phoneticPr fontId="2" type="noConversion"/>
  </si>
  <si>
    <t>기준일</t>
    <phoneticPr fontId="2" type="noConversion"/>
  </si>
  <si>
    <t>KoFC-IMM R&amp;D-Biz Creation 2013-2호 투자조합</t>
    <phoneticPr fontId="2" type="noConversion"/>
  </si>
  <si>
    <t>결성기준</t>
    <phoneticPr fontId="2" type="noConversion"/>
  </si>
  <si>
    <t>약정금액</t>
    <phoneticPr fontId="2" type="noConversion"/>
  </si>
  <si>
    <t>약정기준</t>
    <phoneticPr fontId="2" type="noConversion"/>
  </si>
  <si>
    <t>분기평잔기준</t>
    <phoneticPr fontId="2" type="noConversion"/>
  </si>
  <si>
    <t>기준금액</t>
    <phoneticPr fontId="2" type="noConversion"/>
  </si>
  <si>
    <t>분기일수</t>
    <phoneticPr fontId="2" type="noConversion"/>
  </si>
  <si>
    <t>관리보수</t>
    <phoneticPr fontId="2" type="noConversion"/>
  </si>
  <si>
    <t>분기말잔액</t>
    <phoneticPr fontId="2" type="noConversion"/>
  </si>
  <si>
    <t>케이스1.</t>
    <phoneticPr fontId="2" type="noConversion"/>
  </si>
  <si>
    <t>케이스2.</t>
    <phoneticPr fontId="2" type="noConversion"/>
  </si>
  <si>
    <t>2010 KIF-IMM IT전문투자조합</t>
  </si>
  <si>
    <t>분기평잔(미회수원금)</t>
    <phoneticPr fontId="2" type="noConversion"/>
  </si>
  <si>
    <t>분기평잔(장부가액)</t>
    <phoneticPr fontId="2" type="noConversion"/>
  </si>
  <si>
    <t>일수</t>
  </si>
  <si>
    <t>지급금액</t>
  </si>
  <si>
    <t>비고</t>
  </si>
  <si>
    <t>GP별 지급액</t>
  </si>
  <si>
    <t>변동금액</t>
  </si>
  <si>
    <t>더블유게임즈 일부회수</t>
  </si>
  <si>
    <t>더블유게임즈 회수완료</t>
  </si>
  <si>
    <t>예스티 일부회수</t>
  </si>
  <si>
    <t>기가레인 회수완료</t>
  </si>
  <si>
    <t>빅히트, 예스티 일부 회수</t>
  </si>
  <si>
    <t>예스티 일부 회수</t>
  </si>
  <si>
    <t>코반케미칼 일부회수</t>
  </si>
  <si>
    <t>우아한형제들 일부회수</t>
  </si>
  <si>
    <t>종료일 잔액</t>
    <phoneticPr fontId="2" type="noConversion"/>
  </si>
  <si>
    <t>일평잔기준</t>
    <phoneticPr fontId="2" type="noConversion"/>
  </si>
  <si>
    <t>기준수익률</t>
    <phoneticPr fontId="2" type="noConversion"/>
  </si>
  <si>
    <t xml:space="preserve">SHC-IMM신성장 관리보수 산정내역 </t>
    <phoneticPr fontId="43" type="noConversion"/>
  </si>
  <si>
    <t>출자금 총액</t>
    <phoneticPr fontId="43" type="noConversion"/>
  </si>
  <si>
    <t>관리보수료</t>
    <phoneticPr fontId="43" type="noConversion"/>
  </si>
  <si>
    <t>관리보수</t>
    <phoneticPr fontId="43" type="noConversion"/>
  </si>
  <si>
    <t>약정액 기준 2013.10.13 종료</t>
  </si>
  <si>
    <t>규약상 감액분 관리보수 반영 안함</t>
    <phoneticPr fontId="43" type="noConversion"/>
  </si>
  <si>
    <t>출자잔액</t>
    <phoneticPr fontId="43" type="noConversion"/>
  </si>
  <si>
    <t>비고</t>
    <phoneticPr fontId="43" type="noConversion"/>
  </si>
  <si>
    <t>기준일</t>
    <phoneticPr fontId="43" type="noConversion"/>
  </si>
  <si>
    <t>루미리치 회수</t>
    <phoneticPr fontId="43" type="noConversion"/>
  </si>
  <si>
    <t>엘앤에프신소재회수</t>
    <phoneticPr fontId="43" type="noConversion"/>
  </si>
  <si>
    <t>1분기 종료</t>
    <phoneticPr fontId="43" type="noConversion"/>
  </si>
  <si>
    <t>2분기 종료</t>
    <phoneticPr fontId="43" type="noConversion"/>
  </si>
  <si>
    <t>시작일</t>
    <phoneticPr fontId="43" type="noConversion"/>
  </si>
  <si>
    <t>종료일</t>
    <phoneticPr fontId="43" type="noConversion"/>
  </si>
  <si>
    <t>기산일</t>
    <phoneticPr fontId="43" type="noConversion"/>
  </si>
  <si>
    <t>관리보수료</t>
    <phoneticPr fontId="43" type="noConversion"/>
  </si>
  <si>
    <t>(최종)지급일</t>
    <phoneticPr fontId="43" type="noConversion"/>
  </si>
  <si>
    <t>비고</t>
    <phoneticPr fontId="43" type="noConversion"/>
  </si>
  <si>
    <t>기지급</t>
    <phoneticPr fontId="43" type="noConversion"/>
  </si>
  <si>
    <t>기지급</t>
    <phoneticPr fontId="43" type="noConversion"/>
  </si>
  <si>
    <t>기지급</t>
    <phoneticPr fontId="43" type="noConversion"/>
  </si>
  <si>
    <t>KT-IMM 투자펀드</t>
    <phoneticPr fontId="43" type="noConversion"/>
  </si>
  <si>
    <t>출자금 총액</t>
    <phoneticPr fontId="43" type="noConversion"/>
  </si>
  <si>
    <t>관리보수료</t>
    <phoneticPr fontId="43" type="noConversion"/>
  </si>
  <si>
    <t>관리보수</t>
    <phoneticPr fontId="43" type="noConversion"/>
  </si>
  <si>
    <t>해산시까지 약정액기준 분기말 지급</t>
    <phoneticPr fontId="43" type="noConversion"/>
  </si>
  <si>
    <t>시작일</t>
    <phoneticPr fontId="43" type="noConversion"/>
  </si>
  <si>
    <t>종료일</t>
    <phoneticPr fontId="43" type="noConversion"/>
  </si>
  <si>
    <t>기산일</t>
    <phoneticPr fontId="43" type="noConversion"/>
  </si>
  <si>
    <t>관리보수료(IMM)</t>
    <phoneticPr fontId="43" type="noConversion"/>
  </si>
  <si>
    <t>지급일</t>
    <phoneticPr fontId="43" type="noConversion"/>
  </si>
  <si>
    <t>관리보수 합계</t>
    <phoneticPr fontId="43" type="noConversion"/>
  </si>
  <si>
    <t>지급완료</t>
    <phoneticPr fontId="43" type="noConversion"/>
  </si>
  <si>
    <t>IMM-Geyser 투자펀드</t>
    <phoneticPr fontId="43" type="noConversion"/>
  </si>
  <si>
    <t>투자잔액</t>
    <phoneticPr fontId="43" type="noConversion"/>
  </si>
  <si>
    <t>관리보수료</t>
    <phoneticPr fontId="43" type="noConversion"/>
  </si>
  <si>
    <t>비고</t>
    <phoneticPr fontId="43" type="noConversion"/>
  </si>
  <si>
    <t>투자일</t>
    <phoneticPr fontId="43" type="noConversion"/>
  </si>
  <si>
    <t>캐프 CPS,구주</t>
    <phoneticPr fontId="43" type="noConversion"/>
  </si>
  <si>
    <t>캐프 BW</t>
    <phoneticPr fontId="43" type="noConversion"/>
  </si>
  <si>
    <t>해산시까지 투자잔액 기준 분기말 지급</t>
    <phoneticPr fontId="43" type="noConversion"/>
  </si>
  <si>
    <t>시작일</t>
    <phoneticPr fontId="43" type="noConversion"/>
  </si>
  <si>
    <t>종료일</t>
    <phoneticPr fontId="43" type="noConversion"/>
  </si>
  <si>
    <t>기산일</t>
    <phoneticPr fontId="43" type="noConversion"/>
  </si>
  <si>
    <t>관리보수료(IMM)</t>
    <phoneticPr fontId="43" type="noConversion"/>
  </si>
  <si>
    <t>지급일</t>
    <phoneticPr fontId="43" type="noConversion"/>
  </si>
  <si>
    <t>IMM그린테크</t>
    <phoneticPr fontId="43" type="noConversion"/>
  </si>
  <si>
    <t>출자약정액</t>
    <phoneticPr fontId="43" type="noConversion"/>
  </si>
  <si>
    <t>2분기투자잔액</t>
    <phoneticPr fontId="43" type="noConversion"/>
  </si>
  <si>
    <t>3분기투자잔액</t>
  </si>
  <si>
    <t>4분기투자잔액</t>
  </si>
  <si>
    <t>약정액기준 2013.6.29 종료</t>
    <phoneticPr fontId="43" type="noConversion"/>
  </si>
  <si>
    <t>기준일</t>
    <phoneticPr fontId="43" type="noConversion"/>
  </si>
  <si>
    <t>덴티움 매각</t>
    <phoneticPr fontId="43" type="noConversion"/>
  </si>
  <si>
    <t>우형, 루미리치 회수</t>
    <phoneticPr fontId="43" type="noConversion"/>
  </si>
  <si>
    <t>루미리치 회수</t>
    <phoneticPr fontId="43" type="noConversion"/>
  </si>
  <si>
    <t>기지급</t>
    <phoneticPr fontId="43" type="noConversion"/>
  </si>
  <si>
    <t>약정액기준 관리보수 종료</t>
    <phoneticPr fontId="43" type="noConversion"/>
  </si>
  <si>
    <t xml:space="preserve">투자잔액기준(분기평잔) </t>
    <phoneticPr fontId="43" type="noConversion"/>
  </si>
  <si>
    <t>KoFC-IMM 2010</t>
    <phoneticPr fontId="43" type="noConversion"/>
  </si>
  <si>
    <t>잔액기준 관리보수율</t>
    <phoneticPr fontId="43" type="noConversion"/>
  </si>
  <si>
    <t>1분기 투자잔액</t>
    <phoneticPr fontId="43" type="noConversion"/>
  </si>
  <si>
    <t>2분기 투자잔액</t>
  </si>
  <si>
    <t>3분기 투자잔액</t>
  </si>
  <si>
    <t>4분기 투자잔액</t>
  </si>
  <si>
    <t>약정액기준 2013.2.9 종료</t>
    <phoneticPr fontId="43" type="noConversion"/>
  </si>
  <si>
    <t>제이미크론 매각</t>
    <phoneticPr fontId="43" type="noConversion"/>
  </si>
  <si>
    <t>약정액기준 관리보수 종료</t>
    <phoneticPr fontId="43" type="noConversion"/>
  </si>
  <si>
    <t xml:space="preserve">투자잔액기준(분기평잔) </t>
    <phoneticPr fontId="43" type="noConversion"/>
  </si>
  <si>
    <t xml:space="preserve">투자잔액기준(분기평잔) </t>
  </si>
  <si>
    <t>2010KIF-IMM</t>
    <phoneticPr fontId="43" type="noConversion"/>
  </si>
  <si>
    <t>출자약정액</t>
    <phoneticPr fontId="43" type="noConversion"/>
  </si>
  <si>
    <t>비고</t>
    <phoneticPr fontId="43" type="noConversion"/>
  </si>
  <si>
    <t>약정액기준 2013.9.7 종료</t>
    <phoneticPr fontId="43" type="noConversion"/>
  </si>
  <si>
    <t>비고(관리보수합계)</t>
    <phoneticPr fontId="43" type="noConversion"/>
  </si>
  <si>
    <t>미수수익</t>
    <phoneticPr fontId="43" type="noConversion"/>
  </si>
  <si>
    <t>투자적수</t>
    <phoneticPr fontId="43" type="noConversion"/>
  </si>
  <si>
    <t>빅히트 감액</t>
    <phoneticPr fontId="43" type="noConversion"/>
  </si>
  <si>
    <t>엠콤 회수</t>
    <phoneticPr fontId="43" type="noConversion"/>
  </si>
  <si>
    <t>전기이월</t>
    <phoneticPr fontId="43" type="noConversion"/>
  </si>
  <si>
    <t>더블유게임즈 투자</t>
    <phoneticPr fontId="43" type="noConversion"/>
  </si>
  <si>
    <t>우아한형제들 투자</t>
    <phoneticPr fontId="43" type="noConversion"/>
  </si>
  <si>
    <t>기가레인 매각 12,180</t>
    <phoneticPr fontId="43" type="noConversion"/>
  </si>
  <si>
    <t>기가레인 매각 13,418</t>
    <phoneticPr fontId="43" type="noConversion"/>
  </si>
  <si>
    <t>엠텔로 bw일부 상환</t>
    <phoneticPr fontId="43" type="noConversion"/>
  </si>
  <si>
    <t>안드로메다게임즈 감액</t>
    <phoneticPr fontId="43" type="noConversion"/>
  </si>
  <si>
    <t>우아한형제들 추가투자,</t>
    <phoneticPr fontId="43" type="noConversion"/>
  </si>
  <si>
    <t xml:space="preserve">예스티 전환 단주대금 입금 </t>
    <phoneticPr fontId="43" type="noConversion"/>
  </si>
  <si>
    <t xml:space="preserve"> 코반케미칼 일부 상환</t>
    <phoneticPr fontId="43" type="noConversion"/>
  </si>
  <si>
    <t xml:space="preserve"> 더블유게임즈 일부 상환 </t>
  </si>
  <si>
    <t>더블유게임즈 일부상환</t>
    <phoneticPr fontId="43" type="noConversion"/>
  </si>
  <si>
    <t xml:space="preserve"> 우아한형제들 상환 </t>
  </si>
  <si>
    <t xml:space="preserve"> 엠텔로 일부 상환 </t>
  </si>
  <si>
    <t xml:space="preserve"> 티이에스 BW투자(신주) </t>
  </si>
  <si>
    <t xml:space="preserve"> 빅히트엔터테인먼트 상환 </t>
  </si>
  <si>
    <t xml:space="preserve"> 코티비글로벌 CB투자 </t>
  </si>
  <si>
    <t xml:space="preserve"> 2분기 종료 </t>
  </si>
  <si>
    <t>더블유게임즈 매각</t>
    <phoneticPr fontId="43" type="noConversion"/>
  </si>
  <si>
    <t>엘앤에프신소재 매각, 3분기 종료</t>
    <phoneticPr fontId="43" type="noConversion"/>
  </si>
  <si>
    <t>엘앤에프신소재 매각, 감액</t>
    <phoneticPr fontId="43" type="noConversion"/>
  </si>
  <si>
    <t>코반케미칼 일부회수</t>
    <phoneticPr fontId="43" type="noConversion"/>
  </si>
  <si>
    <t>예스티 일부회수</t>
    <phoneticPr fontId="43" type="noConversion"/>
  </si>
  <si>
    <t>더블유게임즈 일부회수</t>
    <phoneticPr fontId="43" type="noConversion"/>
  </si>
  <si>
    <t>KoFC-IMM 2011</t>
    <phoneticPr fontId="43" type="noConversion"/>
  </si>
  <si>
    <t>출자약정액</t>
    <phoneticPr fontId="43" type="noConversion"/>
  </si>
  <si>
    <t>경감일수 감안 투자잔액</t>
    <phoneticPr fontId="43" type="noConversion"/>
  </si>
  <si>
    <t>지급대상금액</t>
    <phoneticPr fontId="43" type="noConversion"/>
  </si>
  <si>
    <t>관리보수</t>
    <phoneticPr fontId="43" type="noConversion"/>
  </si>
  <si>
    <t>투자잔액</t>
    <phoneticPr fontId="43" type="noConversion"/>
  </si>
  <si>
    <t>기준일</t>
    <phoneticPr fontId="43" type="noConversion"/>
  </si>
  <si>
    <t>서진캠 매각</t>
    <phoneticPr fontId="43" type="noConversion"/>
  </si>
  <si>
    <t>코반케미칼, 킨스계기 일부상환</t>
    <phoneticPr fontId="43" type="noConversion"/>
  </si>
  <si>
    <t>램테크, 아이쓰리 일부매각</t>
    <phoneticPr fontId="43" type="noConversion"/>
  </si>
  <si>
    <t>아이쓰리 일부매각</t>
    <phoneticPr fontId="43" type="noConversion"/>
  </si>
  <si>
    <t>아이쓰리시스템 회수완료, 케이씨에스 일부매각,  SBC전액 회수, 코반케미칼 일부회수 반영</t>
    <phoneticPr fontId="43" type="noConversion"/>
  </si>
  <si>
    <t>유비스 감액, 디엠비 상환, 기가레인 회수완료, 코반 일부 상환, 램테크 회수완료</t>
    <phoneticPr fontId="43" type="noConversion"/>
  </si>
  <si>
    <t xml:space="preserve">화인 매각, 헬스웰메디칼 매각, 코반 일부 상환, 킨스 일부회수, 영화테크 회수완료, 아이엠티에스 </t>
    <phoneticPr fontId="43" type="noConversion"/>
  </si>
  <si>
    <t>디엠비 20억원 상환, 헬스웰 상환, 티이에스 RCPS매각, 코반 일부 상환</t>
    <phoneticPr fontId="43" type="noConversion"/>
  </si>
  <si>
    <t>디엠비, 에스케이씨에스, 킨스계기 잔여자산 회수완료 가정, 경과일 55일/분기92일</t>
    <phoneticPr fontId="43" type="noConversion"/>
  </si>
  <si>
    <t>지급일</t>
    <phoneticPr fontId="43" type="noConversion"/>
  </si>
  <si>
    <t>약정액기준 관리보수 종료</t>
    <phoneticPr fontId="43" type="noConversion"/>
  </si>
  <si>
    <t xml:space="preserve">투자잔액기준(분기평잔) </t>
    <phoneticPr fontId="43" type="noConversion"/>
  </si>
  <si>
    <t>KoFC-IMM 2013 (R&amp;D)</t>
    <phoneticPr fontId="43" type="noConversion"/>
  </si>
  <si>
    <t>잔액기준 종료일</t>
    <phoneticPr fontId="43" type="noConversion"/>
  </si>
  <si>
    <t>출자약정액(증액)</t>
    <phoneticPr fontId="43" type="noConversion"/>
  </si>
  <si>
    <t>관리보수삭감(산업은행지연이자)</t>
    <phoneticPr fontId="43" type="noConversion"/>
  </si>
  <si>
    <t>2014.7.16 지급</t>
    <phoneticPr fontId="43" type="noConversion"/>
  </si>
  <si>
    <t>2015.01.16지급</t>
    <phoneticPr fontId="43" type="noConversion"/>
  </si>
  <si>
    <t>총회승인후 지급</t>
    <phoneticPr fontId="43" type="noConversion"/>
  </si>
  <si>
    <t>2014 IMM ICT벤처펀드</t>
    <phoneticPr fontId="43" type="noConversion"/>
  </si>
  <si>
    <t>2014 IMM AG벤처펀드</t>
    <phoneticPr fontId="43" type="noConversion"/>
  </si>
  <si>
    <t>납입출자금</t>
    <phoneticPr fontId="43" type="noConversion"/>
  </si>
  <si>
    <t>납입일</t>
    <phoneticPr fontId="43" type="noConversion"/>
  </si>
  <si>
    <t>미래원</t>
    <phoneticPr fontId="43" type="noConversion"/>
  </si>
  <si>
    <t>(등록일: 2014.3.4)</t>
    <phoneticPr fontId="43" type="noConversion"/>
  </si>
  <si>
    <t>해산시까지 납입출자금 기준 분기말 지급</t>
    <phoneticPr fontId="43" type="noConversion"/>
  </si>
  <si>
    <t>2014 IMM AG벤처펀드(증액분)</t>
    <phoneticPr fontId="43" type="noConversion"/>
  </si>
  <si>
    <t>미래원 CB이자 수령후 지급예정</t>
    <phoneticPr fontId="43" type="noConversion"/>
  </si>
  <si>
    <t>2014 성장사다리 IMM</t>
    <phoneticPr fontId="43" type="noConversion"/>
  </si>
  <si>
    <t>2015 IMM Design 벤처펀드</t>
    <phoneticPr fontId="43" type="noConversion"/>
  </si>
  <si>
    <t>약정금액</t>
    <phoneticPr fontId="43" type="noConversion"/>
  </si>
  <si>
    <t>납입금액</t>
    <phoneticPr fontId="43" type="noConversion"/>
  </si>
  <si>
    <t>납입출자금 총액의 연 1.0%에 해당하는 금액</t>
    <phoneticPr fontId="43" type="noConversion"/>
  </si>
  <si>
    <t>IMM세컨더리 벤처펀드 제1호</t>
    <phoneticPr fontId="43" type="noConversion"/>
  </si>
  <si>
    <t>3년간 약정액의 1.3%, 이후 투자잔액의 1.3%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</si>
</sst>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76" formatCode="mm&quot;월&quot;\ dd&quot;일&quot;"/>
    <numFmt numFmtId="177" formatCode="#,##0_ "/>
    <numFmt numFmtId="178" formatCode="0_);[Red]\(0\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 * #,##0_ ;_ * \-#,##0_ ;_ * &quot;-&quot;_ ;_ @_ "/>
    <numFmt numFmtId="182" formatCode="_ * #,##0.00_ ;_ * \-#,##0.00_ ;_ * &quot;-&quot;??_ ;_ @_ "/>
    <numFmt numFmtId="183" formatCode="#."/>
    <numFmt numFmtId="184" formatCode="_-[$€-2]* #,##0.00_-;\-[$€-2]* #,##0.00_-;_-[$€-2]* &quot;-&quot;??_-"/>
    <numFmt numFmtId="185" formatCode="#,##0.0_);\(#,##0.0\)"/>
    <numFmt numFmtId="186" formatCode="0.0%_);\(0.0%\)"/>
    <numFmt numFmtId="187" formatCode="#,##0.0\ \x_);\(#,##0.0\ \x\)"/>
    <numFmt numFmtId="188" formatCode="_ * #,##0.0_);_ * \(#,##0.0\)"/>
    <numFmt numFmtId="189" formatCode="_(* #,##0_);_(* \(#,##0\);_(* &quot;-&quot;_);_(@_)"/>
    <numFmt numFmtId="190" formatCode="0.0000_ "/>
    <numFmt numFmtId="191" formatCode="_-* #,##0.00_-;\-* #,##0.00_-;_-* &quot;-&quot;_-;_-@_-"/>
  </numFmts>
  <fonts count="6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b/>
      <sz val="9"/>
      <color rgb="FF0000FF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2"/>
      <name val="바탕체"/>
      <family val="1"/>
      <charset val="129"/>
    </font>
    <font>
      <sz val="10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i/>
      <sz val="10"/>
      <name val="Arial"/>
      <family val="2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0"/>
      <name val="Arial"/>
      <family val="2"/>
    </font>
    <font>
      <sz val="10"/>
      <name val="HY견고딕"/>
      <family val="1"/>
      <charset val="129"/>
    </font>
    <font>
      <sz val="8"/>
      <name val="돋움"/>
      <family val="3"/>
      <charset val="129"/>
    </font>
    <font>
      <sz val="9"/>
      <color rgb="FFFF0000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  <font>
      <sz val="10"/>
      <color rgb="FF0000FF"/>
      <name val="돋움"/>
      <family val="3"/>
      <charset val="129"/>
    </font>
    <font>
      <sz val="8"/>
      <color rgb="FFFF0000"/>
      <name val="돋움"/>
      <family val="3"/>
      <charset val="129"/>
    </font>
    <font>
      <sz val="10"/>
      <color indexed="10"/>
      <name val="돋움"/>
      <family val="3"/>
      <charset val="129"/>
    </font>
    <font>
      <sz val="10"/>
      <color rgb="FFC00000"/>
      <name val="돋움"/>
      <family val="3"/>
      <charset val="129"/>
    </font>
    <font>
      <sz val="10"/>
      <color rgb="FFFF0000"/>
      <name val="돋움"/>
      <family val="3"/>
      <charset val="129"/>
    </font>
    <font>
      <sz val="8"/>
      <color indexed="10"/>
      <name val="돋움"/>
      <family val="3"/>
      <charset val="129"/>
    </font>
    <font>
      <sz val="8"/>
      <color theme="1"/>
      <name val="돋움"/>
      <family val="3"/>
      <charset val="129"/>
    </font>
    <font>
      <sz val="8"/>
      <color rgb="FF0000FF"/>
      <name val="돋움"/>
      <family val="3"/>
      <charset val="129"/>
    </font>
    <font>
      <b/>
      <sz val="10"/>
      <color rgb="FFFF0000"/>
      <name val="돋움"/>
      <family val="3"/>
      <charset val="129"/>
    </font>
    <font>
      <b/>
      <sz val="10"/>
      <color rgb="FF0000FF"/>
      <name val="돋움"/>
      <family val="3"/>
      <charset val="129"/>
    </font>
    <font>
      <sz val="9"/>
      <name val="바탕"/>
      <family val="1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1EA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/>
    <xf numFmtId="181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4" fontId="3" fillId="0" borderId="0" applyFont="0" applyFill="0" applyBorder="0" applyAlignment="0" applyProtection="0"/>
    <xf numFmtId="183" fontId="19" fillId="0" borderId="0">
      <protection locked="0"/>
    </xf>
    <xf numFmtId="183" fontId="19" fillId="0" borderId="0">
      <protection locked="0"/>
    </xf>
    <xf numFmtId="183" fontId="20" fillId="0" borderId="0">
      <protection locked="0"/>
    </xf>
    <xf numFmtId="183" fontId="19" fillId="0" borderId="0">
      <protection locked="0"/>
    </xf>
    <xf numFmtId="183" fontId="19" fillId="0" borderId="0">
      <protection locked="0"/>
    </xf>
    <xf numFmtId="183" fontId="19" fillId="0" borderId="0">
      <protection locked="0"/>
    </xf>
    <xf numFmtId="183" fontId="20" fillId="0" borderId="0">
      <protection locked="0"/>
    </xf>
    <xf numFmtId="0" fontId="3" fillId="0" borderId="0"/>
    <xf numFmtId="41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85" fontId="23" fillId="0" borderId="0" applyNumberFormat="0" applyFill="0" applyBorder="0" applyAlignment="0" applyProtection="0">
      <alignment vertical="center"/>
    </xf>
    <xf numFmtId="15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6" fontId="23" fillId="20" borderId="1" applyNumberFormat="0" applyAlignment="0" applyProtection="0">
      <alignment vertical="center"/>
    </xf>
    <xf numFmtId="185" fontId="3" fillId="0" borderId="0">
      <alignment vertical="center"/>
    </xf>
    <xf numFmtId="187" fontId="18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6" fontId="3" fillId="0" borderId="0" applyFont="0" applyFill="0" applyBorder="0" applyAlignment="0" applyProtection="0">
      <alignment vertical="center"/>
    </xf>
    <xf numFmtId="185" fontId="24" fillId="0" borderId="0" applyNumberFormat="0" applyFill="0" applyBorder="0" applyAlignment="0" applyProtection="0">
      <alignment vertical="center"/>
    </xf>
    <xf numFmtId="188" fontId="18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" fillId="26" borderId="14" applyNumberFormat="0" applyFont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8" borderId="15" applyNumberFormat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189" fontId="31" fillId="0" borderId="0" applyFont="0" applyFill="0" applyBorder="0" applyAlignment="0" applyProtection="0"/>
    <xf numFmtId="189" fontId="3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189" fontId="31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89" fontId="31" fillId="0" borderId="0" applyFont="0" applyFill="0" applyBorder="0" applyAlignment="0" applyProtection="0"/>
    <xf numFmtId="189" fontId="31" fillId="0" borderId="0" applyFont="0" applyFill="0" applyBorder="0" applyAlignment="0" applyProtection="0"/>
    <xf numFmtId="189" fontId="31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1" borderId="13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25" borderId="21" applyNumberFormat="0" applyAlignment="0" applyProtection="0">
      <alignment vertical="center"/>
    </xf>
    <xf numFmtId="185" fontId="4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5" fillId="0" borderId="0">
      <alignment vertical="center"/>
    </xf>
    <xf numFmtId="185" fontId="18" fillId="0" borderId="0" applyBorder="0">
      <alignment vertical="center"/>
    </xf>
    <xf numFmtId="41" fontId="3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</cellStyleXfs>
  <cellXfs count="369">
    <xf numFmtId="0" fontId="0" fillId="0" borderId="0" xfId="0">
      <alignment vertical="center"/>
    </xf>
    <xf numFmtId="49" fontId="9" fillId="5" borderId="3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177" fontId="7" fillId="0" borderId="1" xfId="0" applyNumberFormat="1" applyFont="1" applyBorder="1" applyAlignment="1">
      <alignment horizontal="right" vertical="center" wrapText="1"/>
    </xf>
    <xf numFmtId="0" fontId="8" fillId="0" borderId="0" xfId="0" applyFont="1">
      <alignment vertical="center"/>
    </xf>
    <xf numFmtId="49" fontId="9" fillId="5" borderId="3" xfId="0" applyNumberFormat="1" applyFont="1" applyFill="1" applyBorder="1" applyAlignment="1">
      <alignment horizontal="center" vertical="center" wrapText="1"/>
    </xf>
    <xf numFmtId="41" fontId="9" fillId="5" borderId="3" xfId="1" applyFont="1" applyFill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0" fontId="7" fillId="0" borderId="1" xfId="1" applyNumberFormat="1" applyFont="1" applyBorder="1">
      <alignment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>
      <alignment vertical="center"/>
    </xf>
    <xf numFmtId="177" fontId="10" fillId="3" borderId="1" xfId="0" applyNumberFormat="1" applyFont="1" applyFill="1" applyBorder="1" applyAlignment="1">
      <alignment horizontal="right" vertical="center" wrapText="1"/>
    </xf>
    <xf numFmtId="41" fontId="11" fillId="3" borderId="2" xfId="1" applyFont="1" applyFill="1" applyBorder="1">
      <alignment vertical="center"/>
    </xf>
    <xf numFmtId="43" fontId="11" fillId="3" borderId="1" xfId="1" applyNumberFormat="1" applyFont="1" applyFill="1" applyBorder="1">
      <alignment vertical="center"/>
    </xf>
    <xf numFmtId="49" fontId="6" fillId="4" borderId="1" xfId="0" applyNumberFormat="1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>
      <alignment vertical="center"/>
    </xf>
    <xf numFmtId="177" fontId="6" fillId="4" borderId="1" xfId="0" applyNumberFormat="1" applyFont="1" applyFill="1" applyBorder="1" applyAlignment="1">
      <alignment horizontal="right" vertical="center" wrapText="1"/>
    </xf>
    <xf numFmtId="41" fontId="13" fillId="4" borderId="2" xfId="1" applyFont="1" applyFill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10" fontId="15" fillId="0" borderId="1" xfId="2" applyNumberFormat="1" applyFont="1" applyBorder="1">
      <alignment vertical="center"/>
    </xf>
    <xf numFmtId="10" fontId="15" fillId="0" borderId="0" xfId="2" applyNumberFormat="1" applyFont="1">
      <alignment vertical="center"/>
    </xf>
    <xf numFmtId="177" fontId="14" fillId="0" borderId="0" xfId="0" applyNumberFormat="1" applyFont="1">
      <alignment vertical="center"/>
    </xf>
    <xf numFmtId="41" fontId="14" fillId="0" borderId="0" xfId="1" applyFont="1">
      <alignment vertical="center"/>
    </xf>
    <xf numFmtId="0" fontId="15" fillId="2" borderId="1" xfId="0" applyFont="1" applyFill="1" applyBorder="1" applyAlignment="1">
      <alignment horizontal="center" vertical="center"/>
    </xf>
    <xf numFmtId="41" fontId="15" fillId="0" borderId="1" xfId="1" applyFont="1" applyBorder="1">
      <alignment vertical="center"/>
    </xf>
    <xf numFmtId="0" fontId="14" fillId="0" borderId="0" xfId="0" applyFont="1" applyAlignment="1">
      <alignment horizontal="right" vertical="center"/>
    </xf>
    <xf numFmtId="41" fontId="16" fillId="0" borderId="0" xfId="1" applyFont="1">
      <alignment vertical="center"/>
    </xf>
    <xf numFmtId="0" fontId="16" fillId="0" borderId="0" xfId="0" applyFont="1">
      <alignment vertical="center"/>
    </xf>
    <xf numFmtId="43" fontId="11" fillId="4" borderId="1" xfId="1" applyNumberFormat="1" applyFont="1" applyFill="1" applyBorder="1">
      <alignment vertical="center"/>
    </xf>
    <xf numFmtId="177" fontId="7" fillId="4" borderId="1" xfId="0" applyNumberFormat="1" applyFont="1" applyFill="1" applyBorder="1" applyAlignment="1">
      <alignment horizontal="right" vertical="center" wrapText="1"/>
    </xf>
    <xf numFmtId="43" fontId="11" fillId="4" borderId="0" xfId="1" applyNumberFormat="1" applyFont="1" applyFill="1" applyBorder="1">
      <alignment vertical="center"/>
    </xf>
    <xf numFmtId="49" fontId="13" fillId="4" borderId="0" xfId="0" applyNumberFormat="1" applyFont="1" applyFill="1" applyBorder="1" applyAlignment="1">
      <alignment horizontal="left" vertical="center" wrapText="1"/>
    </xf>
    <xf numFmtId="14" fontId="13" fillId="4" borderId="0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41" fontId="9" fillId="4" borderId="1" xfId="1" applyFont="1" applyFill="1" applyBorder="1" applyAlignment="1">
      <alignment horizontal="center" vertical="center" wrapText="1"/>
    </xf>
    <xf numFmtId="177" fontId="13" fillId="4" borderId="0" xfId="0" applyNumberFormat="1" applyFont="1" applyFill="1" applyBorder="1" applyAlignment="1">
      <alignment horizontal="right" vertical="center" wrapText="1"/>
    </xf>
    <xf numFmtId="177" fontId="9" fillId="4" borderId="0" xfId="0" applyNumberFormat="1" applyFont="1" applyFill="1" applyBorder="1" applyAlignment="1">
      <alignment horizontal="right" vertical="center" wrapText="1"/>
    </xf>
    <xf numFmtId="177" fontId="7" fillId="3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7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>
      <alignment vertical="center"/>
    </xf>
    <xf numFmtId="41" fontId="9" fillId="3" borderId="2" xfId="1" applyFont="1" applyFill="1" applyBorder="1">
      <alignment vertical="center"/>
    </xf>
    <xf numFmtId="43" fontId="9" fillId="3" borderId="1" xfId="1" applyNumberFormat="1" applyFont="1" applyFill="1" applyBorder="1">
      <alignment vertical="center"/>
    </xf>
    <xf numFmtId="14" fontId="0" fillId="0" borderId="0" xfId="0" applyNumberFormat="1">
      <alignment vertical="center"/>
    </xf>
    <xf numFmtId="9" fontId="0" fillId="0" borderId="0" xfId="0" applyNumberFormat="1">
      <alignment vertical="center"/>
    </xf>
    <xf numFmtId="3" fontId="0" fillId="0" borderId="0" xfId="0" applyNumberFormat="1">
      <alignment vertical="center"/>
    </xf>
    <xf numFmtId="9" fontId="14" fillId="0" borderId="0" xfId="0" applyNumberFormat="1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1" xfId="0" applyNumberFormat="1" applyBorder="1">
      <alignment vertical="center"/>
    </xf>
    <xf numFmtId="0" fontId="12" fillId="0" borderId="0" xfId="0" applyFont="1">
      <alignment vertical="center"/>
    </xf>
    <xf numFmtId="41" fontId="7" fillId="0" borderId="1" xfId="1" applyFont="1" applyBorder="1" applyAlignment="1">
      <alignment horizontal="center" vertical="center" wrapText="1"/>
    </xf>
    <xf numFmtId="0" fontId="0" fillId="0" borderId="0" xfId="0">
      <alignment vertical="center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1" xfId="1" applyFont="1" applyBorder="1" applyAlignment="1">
      <alignment horizontal="right" vertical="center"/>
    </xf>
    <xf numFmtId="43" fontId="7" fillId="0" borderId="1" xfId="1" applyNumberFormat="1" applyFont="1" applyBorder="1">
      <alignment vertical="center"/>
    </xf>
    <xf numFmtId="10" fontId="15" fillId="0" borderId="1" xfId="2" applyNumberFormat="1" applyFont="1" applyBorder="1">
      <alignment vertical="center"/>
    </xf>
    <xf numFmtId="41" fontId="9" fillId="4" borderId="1" xfId="1" applyFont="1" applyFill="1" applyBorder="1" applyAlignment="1">
      <alignment horizontal="center" vertical="center" wrapText="1"/>
    </xf>
    <xf numFmtId="43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>
      <alignment vertical="center"/>
    </xf>
    <xf numFmtId="0" fontId="3" fillId="0" borderId="1" xfId="9" applyBorder="1" applyAlignment="1">
      <alignment vertical="center"/>
    </xf>
    <xf numFmtId="41" fontId="3" fillId="0" borderId="1" xfId="9" applyNumberFormat="1" applyBorder="1" applyAlignment="1">
      <alignment vertical="center"/>
    </xf>
    <xf numFmtId="41" fontId="4" fillId="29" borderId="1" xfId="116" applyFont="1" applyFill="1" applyBorder="1" applyAlignment="1">
      <alignment horizontal="center"/>
    </xf>
    <xf numFmtId="10" fontId="4" fillId="29" borderId="1" xfId="116" applyNumberFormat="1" applyFont="1" applyFill="1" applyBorder="1" applyAlignment="1">
      <alignment horizontal="center"/>
    </xf>
    <xf numFmtId="0" fontId="4" fillId="29" borderId="1" xfId="9" applyFont="1" applyFill="1" applyBorder="1" applyAlignment="1">
      <alignment horizontal="center"/>
    </xf>
    <xf numFmtId="0" fontId="4" fillId="29" borderId="1" xfId="9" applyFont="1" applyFill="1" applyBorder="1" applyAlignment="1">
      <alignment horizontal="center" vertical="center"/>
    </xf>
    <xf numFmtId="41" fontId="4" fillId="29" borderId="1" xfId="1" applyFont="1" applyFill="1" applyBorder="1" applyAlignment="1">
      <alignment horizontal="center" vertical="center"/>
    </xf>
    <xf numFmtId="14" fontId="4" fillId="3" borderId="1" xfId="9" applyNumberFormat="1" applyFont="1" applyFill="1" applyBorder="1" applyAlignment="1">
      <alignment horizontal="center" vertical="center"/>
    </xf>
    <xf numFmtId="41" fontId="4" fillId="3" borderId="1" xfId="116" applyFont="1" applyFill="1" applyBorder="1" applyAlignment="1"/>
    <xf numFmtId="41" fontId="4" fillId="3" borderId="1" xfId="116" applyFont="1" applyFill="1" applyBorder="1" applyAlignment="1">
      <alignment horizontal="center" vertical="center"/>
    </xf>
    <xf numFmtId="43" fontId="4" fillId="3" borderId="1" xfId="1" applyNumberFormat="1" applyFont="1" applyFill="1" applyBorder="1" applyAlignment="1">
      <alignment horizontal="center" vertical="center"/>
    </xf>
    <xf numFmtId="41" fontId="4" fillId="4" borderId="1" xfId="1" applyFont="1" applyFill="1" applyBorder="1" applyAlignment="1">
      <alignment horizontal="center" vertical="center"/>
    </xf>
    <xf numFmtId="41" fontId="4" fillId="3" borderId="1" xfId="1" applyFont="1" applyFill="1" applyBorder="1" applyAlignment="1"/>
    <xf numFmtId="0" fontId="4" fillId="0" borderId="0" xfId="189" applyFont="1"/>
    <xf numFmtId="41" fontId="4" fillId="0" borderId="0" xfId="116" applyFont="1"/>
    <xf numFmtId="0" fontId="4" fillId="0" borderId="0" xfId="189" applyFont="1" applyBorder="1"/>
    <xf numFmtId="0" fontId="4" fillId="0" borderId="22" xfId="189" applyFont="1" applyBorder="1"/>
    <xf numFmtId="41" fontId="4" fillId="0" borderId="22" xfId="116" applyFont="1" applyBorder="1"/>
    <xf numFmtId="0" fontId="42" fillId="0" borderId="23" xfId="189" applyFont="1" applyBorder="1"/>
    <xf numFmtId="41" fontId="4" fillId="0" borderId="0" xfId="116" applyFont="1" applyFill="1" applyBorder="1"/>
    <xf numFmtId="0" fontId="4" fillId="0" borderId="24" xfId="189" applyFont="1" applyBorder="1"/>
    <xf numFmtId="0" fontId="4" fillId="0" borderId="23" xfId="189" applyFont="1" applyBorder="1"/>
    <xf numFmtId="0" fontId="4" fillId="0" borderId="25" xfId="189" applyFont="1" applyBorder="1" applyAlignment="1">
      <alignment horizontal="center"/>
    </xf>
    <xf numFmtId="0" fontId="4" fillId="0" borderId="1" xfId="189" applyFont="1" applyBorder="1" applyAlignment="1">
      <alignment horizontal="center"/>
    </xf>
    <xf numFmtId="41" fontId="44" fillId="0" borderId="0" xfId="116" applyFont="1" applyAlignment="1">
      <alignment vertical="center"/>
    </xf>
    <xf numFmtId="41" fontId="4" fillId="0" borderId="25" xfId="116" applyFont="1" applyBorder="1"/>
    <xf numFmtId="10" fontId="4" fillId="0" borderId="1" xfId="116" applyNumberFormat="1" applyFont="1" applyBorder="1"/>
    <xf numFmtId="41" fontId="43" fillId="3" borderId="1" xfId="116" applyFont="1" applyFill="1" applyBorder="1" applyAlignment="1">
      <alignment horizontal="center"/>
    </xf>
    <xf numFmtId="41" fontId="4" fillId="30" borderId="0" xfId="116" applyFont="1" applyFill="1" applyBorder="1" applyAlignment="1">
      <alignment horizontal="center"/>
    </xf>
    <xf numFmtId="10" fontId="4" fillId="30" borderId="0" xfId="116" applyNumberFormat="1" applyFont="1" applyFill="1" applyBorder="1" applyAlignment="1">
      <alignment horizontal="center"/>
    </xf>
    <xf numFmtId="41" fontId="4" fillId="0" borderId="0" xfId="116" applyFont="1" applyBorder="1"/>
    <xf numFmtId="10" fontId="4" fillId="0" borderId="0" xfId="116" applyNumberFormat="1" applyFont="1" applyBorder="1"/>
    <xf numFmtId="14" fontId="43" fillId="0" borderId="0" xfId="116" applyNumberFormat="1" applyFont="1" applyFill="1" applyBorder="1" applyAlignment="1">
      <alignment horizontal="center"/>
    </xf>
    <xf numFmtId="41" fontId="4" fillId="0" borderId="24" xfId="189" applyNumberFormat="1" applyFont="1" applyBorder="1"/>
    <xf numFmtId="14" fontId="43" fillId="0" borderId="0" xfId="116" applyNumberFormat="1" applyFont="1" applyFill="1" applyBorder="1" applyAlignment="1">
      <alignment horizontal="left"/>
    </xf>
    <xf numFmtId="41" fontId="45" fillId="2" borderId="26" xfId="116" applyFont="1" applyFill="1" applyBorder="1" applyAlignment="1">
      <alignment horizontal="center"/>
    </xf>
    <xf numFmtId="10" fontId="45" fillId="2" borderId="26" xfId="116" applyNumberFormat="1" applyFont="1" applyFill="1" applyBorder="1" applyAlignment="1">
      <alignment horizontal="center"/>
    </xf>
    <xf numFmtId="0" fontId="45" fillId="2" borderId="26" xfId="189" applyFont="1" applyFill="1" applyBorder="1" applyAlignment="1">
      <alignment horizontal="center"/>
    </xf>
    <xf numFmtId="14" fontId="4" fillId="0" borderId="26" xfId="189" applyNumberFormat="1" applyFont="1" applyBorder="1"/>
    <xf numFmtId="41" fontId="4" fillId="0" borderId="26" xfId="116" applyFont="1" applyBorder="1"/>
    <xf numFmtId="41" fontId="4" fillId="0" borderId="26" xfId="116" applyFont="1" applyFill="1" applyBorder="1"/>
    <xf numFmtId="14" fontId="4" fillId="0" borderId="26" xfId="116" applyNumberFormat="1" applyFont="1" applyBorder="1"/>
    <xf numFmtId="0" fontId="4" fillId="0" borderId="26" xfId="189" applyFont="1" applyBorder="1"/>
    <xf numFmtId="41" fontId="4" fillId="0" borderId="0" xfId="189" applyNumberFormat="1" applyFont="1" applyBorder="1"/>
    <xf numFmtId="14" fontId="4" fillId="0" borderId="26" xfId="116" applyNumberFormat="1" applyFont="1" applyFill="1" applyBorder="1"/>
    <xf numFmtId="14" fontId="4" fillId="0" borderId="26" xfId="189" applyNumberFormat="1" applyFont="1" applyFill="1" applyBorder="1"/>
    <xf numFmtId="14" fontId="4" fillId="0" borderId="26" xfId="116" applyNumberFormat="1" applyFont="1" applyFill="1" applyBorder="1" applyAlignment="1">
      <alignment horizontal="right"/>
    </xf>
    <xf numFmtId="14" fontId="4" fillId="3" borderId="26" xfId="189" applyNumberFormat="1" applyFont="1" applyFill="1" applyBorder="1"/>
    <xf numFmtId="41" fontId="4" fillId="3" borderId="26" xfId="116" applyFont="1" applyFill="1" applyBorder="1"/>
    <xf numFmtId="14" fontId="4" fillId="3" borderId="26" xfId="116" applyNumberFormat="1" applyFont="1" applyFill="1" applyBorder="1" applyAlignment="1">
      <alignment horizontal="right"/>
    </xf>
    <xf numFmtId="41" fontId="46" fillId="0" borderId="0" xfId="116" applyFont="1"/>
    <xf numFmtId="41" fontId="46" fillId="0" borderId="0" xfId="116" applyFont="1" applyBorder="1"/>
    <xf numFmtId="0" fontId="46" fillId="0" borderId="0" xfId="189" applyFont="1"/>
    <xf numFmtId="14" fontId="46" fillId="0" borderId="26" xfId="189" applyNumberFormat="1" applyFont="1" applyFill="1" applyBorder="1"/>
    <xf numFmtId="14" fontId="46" fillId="0" borderId="26" xfId="189" applyNumberFormat="1" applyFont="1" applyFill="1" applyBorder="1" applyAlignment="1">
      <alignment vertical="center"/>
    </xf>
    <xf numFmtId="41" fontId="46" fillId="0" borderId="26" xfId="116" applyFont="1" applyFill="1" applyBorder="1"/>
    <xf numFmtId="14" fontId="46" fillId="0" borderId="26" xfId="116" applyNumberFormat="1" applyFont="1" applyFill="1" applyBorder="1" applyAlignment="1">
      <alignment horizontal="right"/>
    </xf>
    <xf numFmtId="14" fontId="47" fillId="0" borderId="26" xfId="189" applyNumberFormat="1" applyFont="1" applyFill="1" applyBorder="1"/>
    <xf numFmtId="14" fontId="47" fillId="0" borderId="26" xfId="189" applyNumberFormat="1" applyFont="1" applyFill="1" applyBorder="1" applyAlignment="1">
      <alignment vertical="center"/>
    </xf>
    <xf numFmtId="41" fontId="47" fillId="0" borderId="26" xfId="116" applyFont="1" applyFill="1" applyBorder="1"/>
    <xf numFmtId="14" fontId="47" fillId="0" borderId="26" xfId="116" applyNumberFormat="1" applyFont="1" applyFill="1" applyBorder="1" applyAlignment="1">
      <alignment horizontal="right"/>
    </xf>
    <xf numFmtId="0" fontId="4" fillId="0" borderId="26" xfId="189" applyFont="1" applyFill="1" applyBorder="1"/>
    <xf numFmtId="14" fontId="4" fillId="0" borderId="23" xfId="189" applyNumberFormat="1" applyFont="1" applyBorder="1"/>
    <xf numFmtId="14" fontId="4" fillId="0" borderId="0" xfId="189" applyNumberFormat="1" applyFont="1" applyBorder="1"/>
    <xf numFmtId="41" fontId="47" fillId="4" borderId="0" xfId="116" applyFont="1" applyFill="1" applyBorder="1"/>
    <xf numFmtId="14" fontId="4" fillId="0" borderId="27" xfId="189" applyNumberFormat="1" applyFont="1" applyBorder="1"/>
    <xf numFmtId="14" fontId="4" fillId="0" borderId="28" xfId="189" applyNumberFormat="1" applyFont="1" applyBorder="1"/>
    <xf numFmtId="41" fontId="4" fillId="0" borderId="28" xfId="116" applyFont="1" applyBorder="1"/>
    <xf numFmtId="0" fontId="4" fillId="0" borderId="28" xfId="189" applyFont="1" applyBorder="1"/>
    <xf numFmtId="0" fontId="4" fillId="0" borderId="29" xfId="189" applyFont="1" applyBorder="1"/>
    <xf numFmtId="190" fontId="4" fillId="0" borderId="0" xfId="189" applyNumberFormat="1" applyFont="1"/>
    <xf numFmtId="41" fontId="4" fillId="3" borderId="1" xfId="116" applyFont="1" applyFill="1" applyBorder="1"/>
    <xf numFmtId="41" fontId="48" fillId="0" borderId="0" xfId="116" applyFont="1" applyFill="1" applyBorder="1"/>
    <xf numFmtId="41" fontId="4" fillId="0" borderId="23" xfId="116" applyFont="1" applyBorder="1"/>
    <xf numFmtId="14" fontId="4" fillId="0" borderId="0" xfId="116" applyNumberFormat="1" applyFont="1" applyBorder="1"/>
    <xf numFmtId="41" fontId="49" fillId="0" borderId="24" xfId="189" applyNumberFormat="1" applyFont="1" applyBorder="1"/>
    <xf numFmtId="14" fontId="4" fillId="0" borderId="23" xfId="116" applyNumberFormat="1" applyFont="1" applyBorder="1"/>
    <xf numFmtId="41" fontId="49" fillId="0" borderId="24" xfId="116" applyFont="1" applyBorder="1"/>
    <xf numFmtId="14" fontId="4" fillId="0" borderId="0" xfId="116" applyNumberFormat="1" applyFont="1" applyFill="1" applyBorder="1"/>
    <xf numFmtId="14" fontId="4" fillId="3" borderId="23" xfId="189" applyNumberFormat="1" applyFont="1" applyFill="1" applyBorder="1"/>
    <xf numFmtId="14" fontId="4" fillId="3" borderId="0" xfId="189" applyNumberFormat="1" applyFont="1" applyFill="1" applyBorder="1"/>
    <xf numFmtId="41" fontId="4" fillId="3" borderId="0" xfId="116" applyFont="1" applyFill="1" applyBorder="1"/>
    <xf numFmtId="14" fontId="4" fillId="3" borderId="0" xfId="116" applyNumberFormat="1" applyFont="1" applyFill="1" applyBorder="1"/>
    <xf numFmtId="41" fontId="4" fillId="3" borderId="0" xfId="116" applyFont="1" applyFill="1"/>
    <xf numFmtId="0" fontId="4" fillId="3" borderId="0" xfId="189" applyFont="1" applyFill="1" applyBorder="1"/>
    <xf numFmtId="14" fontId="4" fillId="3" borderId="0" xfId="189" applyNumberFormat="1" applyFont="1" applyFill="1"/>
    <xf numFmtId="0" fontId="4" fillId="3" borderId="0" xfId="189" applyFont="1" applyFill="1"/>
    <xf numFmtId="43" fontId="47" fillId="3" borderId="0" xfId="116" applyNumberFormat="1" applyFont="1" applyFill="1" applyBorder="1"/>
    <xf numFmtId="43" fontId="47" fillId="31" borderId="0" xfId="116" applyNumberFormat="1" applyFont="1" applyFill="1" applyBorder="1"/>
    <xf numFmtId="14" fontId="46" fillId="3" borderId="23" xfId="189" applyNumberFormat="1" applyFont="1" applyFill="1" applyBorder="1"/>
    <xf numFmtId="14" fontId="46" fillId="3" borderId="0" xfId="189" applyNumberFormat="1" applyFont="1" applyFill="1" applyBorder="1"/>
    <xf numFmtId="41" fontId="46" fillId="3" borderId="0" xfId="116" applyFont="1" applyFill="1" applyBorder="1"/>
    <xf numFmtId="14" fontId="46" fillId="3" borderId="0" xfId="116" applyNumberFormat="1" applyFont="1" applyFill="1" applyBorder="1"/>
    <xf numFmtId="41" fontId="50" fillId="3" borderId="24" xfId="189" applyNumberFormat="1" applyFont="1" applyFill="1" applyBorder="1"/>
    <xf numFmtId="41" fontId="4" fillId="3" borderId="24" xfId="189" applyNumberFormat="1" applyFont="1" applyFill="1" applyBorder="1"/>
    <xf numFmtId="43" fontId="4" fillId="3" borderId="0" xfId="116" applyNumberFormat="1" applyFont="1" applyFill="1" applyBorder="1"/>
    <xf numFmtId="0" fontId="47" fillId="3" borderId="0" xfId="189" applyFont="1" applyFill="1"/>
    <xf numFmtId="14" fontId="4" fillId="0" borderId="23" xfId="189" applyNumberFormat="1" applyFont="1" applyFill="1" applyBorder="1"/>
    <xf numFmtId="14" fontId="4" fillId="0" borderId="0" xfId="189" applyNumberFormat="1" applyFont="1" applyFill="1" applyBorder="1"/>
    <xf numFmtId="14" fontId="4" fillId="3" borderId="0" xfId="116" applyNumberFormat="1" applyFont="1" applyFill="1" applyBorder="1" applyAlignment="1">
      <alignment horizontal="right"/>
    </xf>
    <xf numFmtId="41" fontId="4" fillId="0" borderId="24" xfId="189" applyNumberFormat="1" applyFont="1" applyFill="1" applyBorder="1"/>
    <xf numFmtId="0" fontId="47" fillId="31" borderId="0" xfId="189" applyFont="1" applyFill="1"/>
    <xf numFmtId="14" fontId="47" fillId="0" borderId="23" xfId="189" applyNumberFormat="1" applyFont="1" applyFill="1" applyBorder="1"/>
    <xf numFmtId="14" fontId="47" fillId="0" borderId="0" xfId="189" applyNumberFormat="1" applyFont="1" applyFill="1" applyBorder="1"/>
    <xf numFmtId="41" fontId="47" fillId="0" borderId="0" xfId="116" applyFont="1" applyFill="1" applyBorder="1"/>
    <xf numFmtId="14" fontId="47" fillId="3" borderId="0" xfId="116" applyNumberFormat="1" applyFont="1" applyFill="1" applyBorder="1" applyAlignment="1">
      <alignment horizontal="right"/>
    </xf>
    <xf numFmtId="41" fontId="47" fillId="0" borderId="24" xfId="189" applyNumberFormat="1" applyFont="1" applyFill="1" applyBorder="1"/>
    <xf numFmtId="41" fontId="47" fillId="3" borderId="0" xfId="116" applyFont="1" applyFill="1"/>
    <xf numFmtId="41" fontId="4" fillId="0" borderId="1" xfId="116" applyFont="1" applyBorder="1"/>
    <xf numFmtId="0" fontId="49" fillId="0" borderId="24" xfId="189" applyFont="1" applyBorder="1"/>
    <xf numFmtId="0" fontId="49" fillId="3" borderId="24" xfId="189" applyFont="1" applyFill="1" applyBorder="1"/>
    <xf numFmtId="0" fontId="4" fillId="3" borderId="24" xfId="189" applyFont="1" applyFill="1" applyBorder="1"/>
    <xf numFmtId="0" fontId="46" fillId="3" borderId="24" xfId="189" applyFont="1" applyFill="1" applyBorder="1"/>
    <xf numFmtId="41" fontId="46" fillId="3" borderId="0" xfId="116" applyFont="1" applyFill="1"/>
    <xf numFmtId="0" fontId="46" fillId="3" borderId="0" xfId="189" applyFont="1" applyFill="1"/>
    <xf numFmtId="0" fontId="47" fillId="0" borderId="0" xfId="189" applyFont="1"/>
    <xf numFmtId="0" fontId="4" fillId="0" borderId="24" xfId="189" applyFont="1" applyFill="1" applyBorder="1"/>
    <xf numFmtId="41" fontId="47" fillId="31" borderId="0" xfId="116" applyFont="1" applyFill="1"/>
    <xf numFmtId="14" fontId="47" fillId="3" borderId="23" xfId="189" applyNumberFormat="1" applyFont="1" applyFill="1" applyBorder="1"/>
    <xf numFmtId="14" fontId="47" fillId="3" borderId="0" xfId="189" applyNumberFormat="1" applyFont="1" applyFill="1" applyBorder="1"/>
    <xf numFmtId="41" fontId="47" fillId="3" borderId="0" xfId="116" applyFont="1" applyFill="1" applyBorder="1"/>
    <xf numFmtId="14" fontId="47" fillId="3" borderId="0" xfId="116" applyNumberFormat="1" applyFont="1" applyFill="1" applyBorder="1"/>
    <xf numFmtId="0" fontId="47" fillId="3" borderId="24" xfId="189" applyFont="1" applyFill="1" applyBorder="1"/>
    <xf numFmtId="41" fontId="4" fillId="32" borderId="0" xfId="116" applyFont="1" applyFill="1" applyBorder="1"/>
    <xf numFmtId="41" fontId="51" fillId="0" borderId="0" xfId="116" applyFont="1" applyFill="1" applyBorder="1" applyAlignment="1">
      <alignment horizontal="center"/>
    </xf>
    <xf numFmtId="41" fontId="43" fillId="3" borderId="1" xfId="116" applyFont="1" applyFill="1" applyBorder="1"/>
    <xf numFmtId="41" fontId="51" fillId="0" borderId="0" xfId="116" applyFont="1" applyFill="1" applyBorder="1"/>
    <xf numFmtId="41" fontId="43" fillId="3" borderId="0" xfId="116" applyFont="1" applyFill="1" applyBorder="1"/>
    <xf numFmtId="41" fontId="43" fillId="0" borderId="0" xfId="116" applyFont="1" applyFill="1" applyBorder="1" applyAlignment="1">
      <alignment horizontal="left"/>
    </xf>
    <xf numFmtId="0" fontId="52" fillId="0" borderId="24" xfId="189" applyFont="1" applyBorder="1"/>
    <xf numFmtId="14" fontId="4" fillId="0" borderId="0" xfId="116" applyNumberFormat="1" applyFont="1" applyFill="1" applyBorder="1" applyAlignment="1">
      <alignment horizontal="right"/>
    </xf>
    <xf numFmtId="14" fontId="46" fillId="3" borderId="0" xfId="116" applyNumberFormat="1" applyFont="1" applyFill="1" applyBorder="1" applyAlignment="1">
      <alignment horizontal="right"/>
    </xf>
    <xf numFmtId="0" fontId="53" fillId="3" borderId="24" xfId="189" applyFont="1" applyFill="1" applyBorder="1"/>
    <xf numFmtId="43" fontId="46" fillId="3" borderId="0" xfId="116" applyNumberFormat="1" applyFont="1" applyFill="1" applyBorder="1"/>
    <xf numFmtId="0" fontId="43" fillId="0" borderId="24" xfId="189" applyFont="1" applyBorder="1"/>
    <xf numFmtId="14" fontId="47" fillId="3" borderId="0" xfId="189" applyNumberFormat="1" applyFont="1" applyFill="1"/>
    <xf numFmtId="14" fontId="47" fillId="0" borderId="0" xfId="116" applyNumberFormat="1" applyFont="1" applyFill="1" applyBorder="1" applyAlignment="1">
      <alignment horizontal="right"/>
    </xf>
    <xf numFmtId="0" fontId="54" fillId="0" borderId="24" xfId="189" applyFont="1" applyBorder="1"/>
    <xf numFmtId="0" fontId="4" fillId="33" borderId="30" xfId="189" applyFont="1" applyFill="1" applyBorder="1"/>
    <xf numFmtId="0" fontId="4" fillId="33" borderId="22" xfId="189" applyFont="1" applyFill="1" applyBorder="1"/>
    <xf numFmtId="41" fontId="4" fillId="33" borderId="22" xfId="116" applyFont="1" applyFill="1" applyBorder="1"/>
    <xf numFmtId="0" fontId="4" fillId="33" borderId="31" xfId="189" applyFont="1" applyFill="1" applyBorder="1"/>
    <xf numFmtId="0" fontId="4" fillId="33" borderId="23" xfId="189" applyFont="1" applyFill="1" applyBorder="1"/>
    <xf numFmtId="0" fontId="4" fillId="33" borderId="0" xfId="189" applyFont="1" applyFill="1" applyBorder="1"/>
    <xf numFmtId="41" fontId="4" fillId="33" borderId="0" xfId="116" applyFont="1" applyFill="1" applyBorder="1"/>
    <xf numFmtId="0" fontId="4" fillId="33" borderId="24" xfId="189" applyFont="1" applyFill="1" applyBorder="1"/>
    <xf numFmtId="0" fontId="42" fillId="33" borderId="23" xfId="189" applyFont="1" applyFill="1" applyBorder="1"/>
    <xf numFmtId="0" fontId="51" fillId="33" borderId="0" xfId="189" applyFont="1" applyFill="1" applyBorder="1"/>
    <xf numFmtId="10" fontId="51" fillId="33" borderId="0" xfId="189" applyNumberFormat="1" applyFont="1" applyFill="1" applyBorder="1"/>
    <xf numFmtId="0" fontId="4" fillId="33" borderId="25" xfId="189" applyFont="1" applyFill="1" applyBorder="1" applyAlignment="1">
      <alignment horizontal="center"/>
    </xf>
    <xf numFmtId="0" fontId="4" fillId="33" borderId="1" xfId="189" applyFont="1" applyFill="1" applyBorder="1" applyAlignment="1">
      <alignment horizontal="center"/>
    </xf>
    <xf numFmtId="41" fontId="51" fillId="33" borderId="0" xfId="116" applyFont="1" applyFill="1" applyBorder="1" applyAlignment="1">
      <alignment horizontal="center"/>
    </xf>
    <xf numFmtId="41" fontId="51" fillId="33" borderId="24" xfId="116" applyFont="1" applyFill="1" applyBorder="1" applyAlignment="1">
      <alignment horizontal="center"/>
    </xf>
    <xf numFmtId="41" fontId="4" fillId="33" borderId="25" xfId="116" applyFont="1" applyFill="1" applyBorder="1"/>
    <xf numFmtId="10" fontId="4" fillId="33" borderId="1" xfId="116" applyNumberFormat="1" applyFont="1" applyFill="1" applyBorder="1"/>
    <xf numFmtId="41" fontId="43" fillId="33" borderId="1" xfId="116" applyFont="1" applyFill="1" applyBorder="1"/>
    <xf numFmtId="41" fontId="51" fillId="33" borderId="0" xfId="116" applyFont="1" applyFill="1" applyBorder="1"/>
    <xf numFmtId="41" fontId="51" fillId="33" borderId="24" xfId="116" applyFont="1" applyFill="1" applyBorder="1"/>
    <xf numFmtId="41" fontId="51" fillId="0" borderId="0" xfId="116" applyFont="1"/>
    <xf numFmtId="41" fontId="4" fillId="33" borderId="23" xfId="116" applyFont="1" applyFill="1" applyBorder="1"/>
    <xf numFmtId="10" fontId="4" fillId="33" borderId="0" xfId="116" applyNumberFormat="1" applyFont="1" applyFill="1" applyBorder="1"/>
    <xf numFmtId="14" fontId="43" fillId="33" borderId="0" xfId="116" applyNumberFormat="1" applyFont="1" applyFill="1" applyBorder="1" applyAlignment="1">
      <alignment horizontal="left"/>
    </xf>
    <xf numFmtId="14" fontId="4" fillId="33" borderId="0" xfId="116" applyNumberFormat="1" applyFont="1" applyFill="1" applyBorder="1" applyAlignment="1">
      <alignment horizontal="left"/>
    </xf>
    <xf numFmtId="14" fontId="4" fillId="33" borderId="23" xfId="116" applyNumberFormat="1" applyFont="1" applyFill="1" applyBorder="1"/>
    <xf numFmtId="14" fontId="4" fillId="33" borderId="0" xfId="116" applyNumberFormat="1" applyFont="1" applyFill="1" applyBorder="1"/>
    <xf numFmtId="14" fontId="4" fillId="33" borderId="0" xfId="189" applyNumberFormat="1" applyFont="1" applyFill="1" applyBorder="1"/>
    <xf numFmtId="14" fontId="4" fillId="33" borderId="23" xfId="189" applyNumberFormat="1" applyFont="1" applyFill="1" applyBorder="1"/>
    <xf numFmtId="0" fontId="52" fillId="33" borderId="24" xfId="189" applyFont="1" applyFill="1" applyBorder="1"/>
    <xf numFmtId="14" fontId="4" fillId="33" borderId="0" xfId="116" applyNumberFormat="1" applyFont="1" applyFill="1" applyBorder="1" applyAlignment="1">
      <alignment horizontal="right"/>
    </xf>
    <xf numFmtId="14" fontId="46" fillId="33" borderId="23" xfId="189" applyNumberFormat="1" applyFont="1" applyFill="1" applyBorder="1"/>
    <xf numFmtId="14" fontId="46" fillId="33" borderId="0" xfId="189" applyNumberFormat="1" applyFont="1" applyFill="1" applyBorder="1"/>
    <xf numFmtId="41" fontId="46" fillId="33" borderId="0" xfId="116" applyFont="1" applyFill="1" applyBorder="1"/>
    <xf numFmtId="14" fontId="46" fillId="33" borderId="0" xfId="116" applyNumberFormat="1" applyFont="1" applyFill="1" applyBorder="1" applyAlignment="1">
      <alignment horizontal="right"/>
    </xf>
    <xf numFmtId="0" fontId="43" fillId="33" borderId="24" xfId="189" applyFont="1" applyFill="1" applyBorder="1"/>
    <xf numFmtId="14" fontId="4" fillId="33" borderId="27" xfId="189" applyNumberFormat="1" applyFont="1" applyFill="1" applyBorder="1"/>
    <xf numFmtId="14" fontId="4" fillId="33" borderId="28" xfId="189" applyNumberFormat="1" applyFont="1" applyFill="1" applyBorder="1"/>
    <xf numFmtId="41" fontId="4" fillId="33" borderId="28" xfId="116" applyFont="1" applyFill="1" applyBorder="1"/>
    <xf numFmtId="0" fontId="4" fillId="33" borderId="28" xfId="189" applyFont="1" applyFill="1" applyBorder="1"/>
    <xf numFmtId="0" fontId="4" fillId="33" borderId="29" xfId="189" applyFont="1" applyFill="1" applyBorder="1"/>
    <xf numFmtId="41" fontId="4" fillId="0" borderId="0" xfId="189" applyNumberFormat="1" applyFont="1"/>
    <xf numFmtId="0" fontId="49" fillId="0" borderId="0" xfId="189" applyFont="1" applyBorder="1"/>
    <xf numFmtId="0" fontId="49" fillId="0" borderId="0" xfId="189" applyFont="1" applyBorder="1" applyAlignment="1">
      <alignment horizontal="center"/>
    </xf>
    <xf numFmtId="41" fontId="4" fillId="0" borderId="0" xfId="116" applyFont="1" applyFill="1" applyBorder="1" applyAlignment="1"/>
    <xf numFmtId="41" fontId="46" fillId="3" borderId="0" xfId="116" applyFont="1" applyFill="1" applyBorder="1" applyAlignment="1"/>
    <xf numFmtId="41" fontId="46" fillId="31" borderId="0" xfId="116" applyFont="1" applyFill="1" applyBorder="1" applyAlignment="1"/>
    <xf numFmtId="41" fontId="46" fillId="3" borderId="0" xfId="116" applyFont="1" applyFill="1" applyBorder="1" applyAlignment="1">
      <alignment horizontal="left"/>
    </xf>
    <xf numFmtId="41" fontId="46" fillId="3" borderId="0" xfId="189" applyNumberFormat="1" applyFont="1" applyFill="1"/>
    <xf numFmtId="41" fontId="47" fillId="0" borderId="0" xfId="116" applyFont="1"/>
    <xf numFmtId="43" fontId="47" fillId="4" borderId="0" xfId="116" applyNumberFormat="1" applyFont="1" applyFill="1" applyBorder="1"/>
    <xf numFmtId="41" fontId="4" fillId="0" borderId="24" xfId="116" applyFont="1" applyBorder="1"/>
    <xf numFmtId="0" fontId="4" fillId="0" borderId="0" xfId="189" applyFont="1" applyFill="1" applyBorder="1"/>
    <xf numFmtId="14" fontId="4" fillId="0" borderId="28" xfId="189" applyNumberFormat="1" applyFont="1" applyFill="1" applyBorder="1"/>
    <xf numFmtId="41" fontId="4" fillId="0" borderId="28" xfId="116" applyFont="1" applyFill="1" applyBorder="1"/>
    <xf numFmtId="0" fontId="4" fillId="0" borderId="28" xfId="189" applyFont="1" applyFill="1" applyBorder="1"/>
    <xf numFmtId="0" fontId="42" fillId="0" borderId="23" xfId="189" applyFont="1" applyFill="1" applyBorder="1"/>
    <xf numFmtId="41" fontId="51" fillId="0" borderId="0" xfId="116" applyFont="1" applyBorder="1"/>
    <xf numFmtId="41" fontId="4" fillId="2" borderId="23" xfId="116" applyFont="1" applyFill="1" applyBorder="1" applyAlignment="1">
      <alignment horizontal="center"/>
    </xf>
    <xf numFmtId="10" fontId="4" fillId="2" borderId="0" xfId="116" applyNumberFormat="1" applyFont="1" applyFill="1" applyBorder="1" applyAlignment="1">
      <alignment horizontal="center"/>
    </xf>
    <xf numFmtId="41" fontId="4" fillId="2" borderId="0" xfId="116" applyFont="1" applyFill="1" applyBorder="1" applyAlignment="1">
      <alignment horizontal="center"/>
    </xf>
    <xf numFmtId="191" fontId="4" fillId="0" borderId="0" xfId="116" applyNumberFormat="1" applyFont="1" applyFill="1" applyBorder="1"/>
    <xf numFmtId="41" fontId="47" fillId="0" borderId="23" xfId="116" applyFont="1" applyBorder="1"/>
    <xf numFmtId="14" fontId="47" fillId="0" borderId="0" xfId="116" applyNumberFormat="1" applyFont="1" applyBorder="1"/>
    <xf numFmtId="191" fontId="47" fillId="0" borderId="0" xfId="116" applyNumberFormat="1" applyFont="1" applyFill="1" applyBorder="1"/>
    <xf numFmtId="43" fontId="4" fillId="0" borderId="24" xfId="189" applyNumberFormat="1" applyFont="1" applyBorder="1"/>
    <xf numFmtId="41" fontId="4" fillId="0" borderId="0" xfId="116" applyFont="1" applyFill="1"/>
    <xf numFmtId="0" fontId="52" fillId="0" borderId="24" xfId="189" applyFont="1" applyFill="1" applyBorder="1"/>
    <xf numFmtId="41" fontId="46" fillId="3" borderId="0" xfId="116" applyNumberFormat="1" applyFont="1" applyFill="1" applyBorder="1"/>
    <xf numFmtId="14" fontId="46" fillId="0" borderId="23" xfId="189" applyNumberFormat="1" applyFont="1" applyFill="1" applyBorder="1"/>
    <xf numFmtId="14" fontId="46" fillId="0" borderId="0" xfId="189" applyNumberFormat="1" applyFont="1" applyFill="1" applyBorder="1"/>
    <xf numFmtId="41" fontId="46" fillId="0" borderId="0" xfId="116" applyFont="1" applyFill="1" applyBorder="1"/>
    <xf numFmtId="41" fontId="46" fillId="0" borderId="0" xfId="116" applyNumberFormat="1" applyFont="1" applyFill="1" applyBorder="1"/>
    <xf numFmtId="14" fontId="46" fillId="0" borderId="0" xfId="116" applyNumberFormat="1" applyFont="1" applyFill="1" applyBorder="1" applyAlignment="1">
      <alignment horizontal="right"/>
    </xf>
    <xf numFmtId="0" fontId="53" fillId="0" borderId="24" xfId="189" applyFont="1" applyFill="1" applyBorder="1"/>
    <xf numFmtId="41" fontId="47" fillId="0" borderId="0" xfId="116" applyNumberFormat="1" applyFont="1" applyFill="1" applyBorder="1"/>
    <xf numFmtId="0" fontId="54" fillId="0" borderId="24" xfId="189" applyFont="1" applyFill="1" applyBorder="1"/>
    <xf numFmtId="41" fontId="47" fillId="0" borderId="0" xfId="116" applyFont="1" applyBorder="1"/>
    <xf numFmtId="0" fontId="4" fillId="0" borderId="0" xfId="189" applyFont="1" applyFill="1"/>
    <xf numFmtId="0" fontId="55" fillId="0" borderId="23" xfId="189" applyFont="1" applyBorder="1" applyAlignment="1">
      <alignment horizontal="center"/>
    </xf>
    <xf numFmtId="14" fontId="55" fillId="0" borderId="0" xfId="189" applyNumberFormat="1" applyFont="1" applyBorder="1" applyAlignment="1">
      <alignment horizontal="center"/>
    </xf>
    <xf numFmtId="10" fontId="4" fillId="3" borderId="0" xfId="116" applyNumberFormat="1" applyFont="1" applyFill="1" applyBorder="1"/>
    <xf numFmtId="41" fontId="4" fillId="3" borderId="0" xfId="116" applyFont="1" applyFill="1" applyBorder="1" applyAlignment="1">
      <alignment horizontal="center"/>
    </xf>
    <xf numFmtId="10" fontId="4" fillId="3" borderId="0" xfId="116" applyNumberFormat="1" applyFont="1" applyFill="1" applyBorder="1" applyAlignment="1">
      <alignment horizontal="center"/>
    </xf>
    <xf numFmtId="14" fontId="4" fillId="3" borderId="0" xfId="116" applyNumberFormat="1" applyFont="1" applyFill="1" applyBorder="1" applyAlignment="1">
      <alignment horizontal="center"/>
    </xf>
    <xf numFmtId="3" fontId="4" fillId="0" borderId="0" xfId="189" applyNumberFormat="1" applyFont="1" applyBorder="1"/>
    <xf numFmtId="3" fontId="4" fillId="3" borderId="0" xfId="189" applyNumberFormat="1" applyFont="1" applyFill="1" applyBorder="1"/>
    <xf numFmtId="3" fontId="46" fillId="3" borderId="0" xfId="189" applyNumberFormat="1" applyFont="1" applyFill="1" applyBorder="1"/>
    <xf numFmtId="0" fontId="46" fillId="3" borderId="0" xfId="189" applyFont="1" applyFill="1" applyBorder="1"/>
    <xf numFmtId="3" fontId="4" fillId="0" borderId="0" xfId="189" applyNumberFormat="1" applyFont="1" applyFill="1" applyBorder="1"/>
    <xf numFmtId="14" fontId="47" fillId="34" borderId="23" xfId="189" applyNumberFormat="1" applyFont="1" applyFill="1" applyBorder="1"/>
    <xf numFmtId="14" fontId="47" fillId="34" borderId="0" xfId="189" applyNumberFormat="1" applyFont="1" applyFill="1" applyBorder="1"/>
    <xf numFmtId="41" fontId="47" fillId="34" borderId="0" xfId="116" applyFont="1" applyFill="1" applyBorder="1"/>
    <xf numFmtId="14" fontId="47" fillId="34" borderId="0" xfId="116" applyNumberFormat="1" applyFont="1" applyFill="1" applyBorder="1"/>
    <xf numFmtId="3" fontId="47" fillId="34" borderId="0" xfId="189" applyNumberFormat="1" applyFont="1" applyFill="1" applyBorder="1"/>
    <xf numFmtId="178" fontId="47" fillId="34" borderId="0" xfId="116" applyNumberFormat="1" applyFont="1" applyFill="1" applyBorder="1"/>
    <xf numFmtId="41" fontId="56" fillId="0" borderId="0" xfId="116" applyFont="1" applyBorder="1"/>
    <xf numFmtId="41" fontId="56" fillId="32" borderId="0" xfId="116" applyFont="1" applyFill="1" applyBorder="1"/>
    <xf numFmtId="41" fontId="4" fillId="32" borderId="1" xfId="116" applyFont="1" applyFill="1" applyBorder="1"/>
    <xf numFmtId="0" fontId="52" fillId="3" borderId="24" xfId="189" applyFont="1" applyFill="1" applyBorder="1"/>
    <xf numFmtId="0" fontId="46" fillId="0" borderId="0" xfId="189" applyFont="1" applyBorder="1"/>
    <xf numFmtId="14" fontId="56" fillId="3" borderId="0" xfId="116" applyNumberFormat="1" applyFont="1" applyFill="1" applyBorder="1"/>
    <xf numFmtId="3" fontId="47" fillId="3" borderId="0" xfId="189" applyNumberFormat="1" applyFont="1" applyFill="1" applyBorder="1"/>
    <xf numFmtId="41" fontId="47" fillId="0" borderId="0" xfId="189" applyNumberFormat="1" applyFont="1" applyBorder="1"/>
    <xf numFmtId="41" fontId="4" fillId="3" borderId="0" xfId="189" applyNumberFormat="1" applyFont="1" applyFill="1" applyBorder="1"/>
    <xf numFmtId="41" fontId="47" fillId="3" borderId="0" xfId="189" applyNumberFormat="1" applyFont="1" applyFill="1" applyBorder="1"/>
    <xf numFmtId="41" fontId="47" fillId="3" borderId="0" xfId="189" applyNumberFormat="1" applyFont="1" applyFill="1"/>
    <xf numFmtId="41" fontId="56" fillId="35" borderId="0" xfId="116" applyFont="1" applyFill="1" applyBorder="1"/>
    <xf numFmtId="0" fontId="42" fillId="0" borderId="30" xfId="189" applyFont="1" applyFill="1" applyBorder="1"/>
    <xf numFmtId="41" fontId="4" fillId="0" borderId="22" xfId="116" applyFont="1" applyFill="1" applyBorder="1"/>
    <xf numFmtId="0" fontId="4" fillId="0" borderId="31" xfId="189" applyFont="1" applyBorder="1"/>
    <xf numFmtId="0" fontId="4" fillId="0" borderId="0" xfId="189" applyFont="1" applyFill="1" applyBorder="1" applyAlignment="1">
      <alignment horizontal="center"/>
    </xf>
    <xf numFmtId="41" fontId="4" fillId="0" borderId="1" xfId="116" applyFont="1" applyFill="1" applyBorder="1"/>
    <xf numFmtId="10" fontId="4" fillId="0" borderId="0" xfId="116" applyNumberFormat="1" applyFont="1" applyFill="1" applyBorder="1"/>
    <xf numFmtId="14" fontId="47" fillId="0" borderId="0" xfId="116" applyNumberFormat="1" applyFont="1" applyFill="1" applyBorder="1"/>
    <xf numFmtId="3" fontId="47" fillId="0" borderId="0" xfId="189" applyNumberFormat="1" applyFont="1" applyFill="1" applyBorder="1"/>
    <xf numFmtId="0" fontId="54" fillId="3" borderId="24" xfId="189" applyFont="1" applyFill="1" applyBorder="1"/>
    <xf numFmtId="0" fontId="43" fillId="0" borderId="24" xfId="189" applyFont="1" applyFill="1" applyBorder="1"/>
    <xf numFmtId="14" fontId="47" fillId="31" borderId="0" xfId="189" applyNumberFormat="1" applyFont="1" applyFill="1" applyBorder="1"/>
    <xf numFmtId="41" fontId="47" fillId="31" borderId="0" xfId="116" applyFont="1" applyFill="1" applyBorder="1"/>
    <xf numFmtId="14" fontId="47" fillId="31" borderId="0" xfId="116" applyNumberFormat="1" applyFont="1" applyFill="1" applyBorder="1"/>
    <xf numFmtId="0" fontId="54" fillId="31" borderId="0" xfId="189" applyFont="1" applyFill="1" applyBorder="1"/>
    <xf numFmtId="41" fontId="56" fillId="0" borderId="0" xfId="189" applyNumberFormat="1" applyFont="1"/>
    <xf numFmtId="41" fontId="56" fillId="35" borderId="0" xfId="116" applyFont="1" applyFill="1"/>
    <xf numFmtId="0" fontId="43" fillId="3" borderId="0" xfId="189" applyFont="1" applyFill="1" applyBorder="1"/>
    <xf numFmtId="0" fontId="54" fillId="34" borderId="0" xfId="189" applyFont="1" applyFill="1" applyBorder="1"/>
    <xf numFmtId="41" fontId="47" fillId="34" borderId="0" xfId="116" applyFont="1" applyFill="1"/>
    <xf numFmtId="0" fontId="47" fillId="34" borderId="0" xfId="189" applyFont="1" applyFill="1" applyBorder="1"/>
    <xf numFmtId="0" fontId="47" fillId="34" borderId="0" xfId="189" applyFont="1" applyFill="1"/>
    <xf numFmtId="3" fontId="57" fillId="36" borderId="32" xfId="189" applyNumberFormat="1" applyFont="1" applyFill="1" applyBorder="1" applyAlignment="1">
      <alignment horizontal="right" vertical="center" wrapText="1"/>
    </xf>
    <xf numFmtId="3" fontId="4" fillId="0" borderId="0" xfId="189" applyNumberFormat="1" applyFont="1"/>
  </cellXfs>
  <cellStyles count="226">
    <cellStyle name="20% - 강조색1 2" xfId="34"/>
    <cellStyle name="20% - 강조색2 2" xfId="35"/>
    <cellStyle name="20% - 강조색3 2" xfId="36"/>
    <cellStyle name="20% - 강조색4 2" xfId="37"/>
    <cellStyle name="20% - 강조색5 2" xfId="38"/>
    <cellStyle name="20% - 강조색6 2" xfId="39"/>
    <cellStyle name="40% - 강조색1 2" xfId="40"/>
    <cellStyle name="40% - 강조색2 2" xfId="41"/>
    <cellStyle name="40% - 강조색3 2" xfId="42"/>
    <cellStyle name="40% - 강조색4 2" xfId="43"/>
    <cellStyle name="40% - 강조색5 2" xfId="44"/>
    <cellStyle name="40% - 강조색6 2" xfId="45"/>
    <cellStyle name="60% - 강조색1 2" xfId="46"/>
    <cellStyle name="60% - 강조색2 2" xfId="47"/>
    <cellStyle name="60% - 강조색3 2" xfId="48"/>
    <cellStyle name="60% - 강조색4 2" xfId="49"/>
    <cellStyle name="60% - 강조색5 2" xfId="50"/>
    <cellStyle name="60% - 강조색6 2" xfId="51"/>
    <cellStyle name="Blue" xfId="52"/>
    <cellStyle name="Comma [0]_laroux" xfId="12"/>
    <cellStyle name="Comma_laroux" xfId="13"/>
    <cellStyle name="Currency [0]_laroux" xfId="14"/>
    <cellStyle name="Currency_laroux" xfId="15"/>
    <cellStyle name="Date" xfId="53"/>
    <cellStyle name="Euro" xfId="16"/>
    <cellStyle name="Euro 10" xfId="54"/>
    <cellStyle name="Euro 11" xfId="55"/>
    <cellStyle name="Euro 2" xfId="56"/>
    <cellStyle name="Euro 3" xfId="57"/>
    <cellStyle name="Euro 4" xfId="58"/>
    <cellStyle name="Euro 5" xfId="59"/>
    <cellStyle name="Euro 6" xfId="60"/>
    <cellStyle name="Euro 7" xfId="61"/>
    <cellStyle name="Euro 8" xfId="62"/>
    <cellStyle name="Euro 9" xfId="63"/>
    <cellStyle name="F2" xfId="17"/>
    <cellStyle name="F3" xfId="18"/>
    <cellStyle name="F4" xfId="19"/>
    <cellStyle name="F5" xfId="20"/>
    <cellStyle name="F6" xfId="21"/>
    <cellStyle name="F7" xfId="22"/>
    <cellStyle name="F8" xfId="23"/>
    <cellStyle name="Input" xfId="64"/>
    <cellStyle name="m" xfId="65"/>
    <cellStyle name="multiple" xfId="66"/>
    <cellStyle name="Normal" xfId="67"/>
    <cellStyle name="p" xfId="68"/>
    <cellStyle name="red" xfId="69"/>
    <cellStyle name="Underline" xfId="70"/>
    <cellStyle name="강조색1 2" xfId="71"/>
    <cellStyle name="강조색2 2" xfId="72"/>
    <cellStyle name="강조색3 2" xfId="73"/>
    <cellStyle name="강조색4 2" xfId="74"/>
    <cellStyle name="강조색5 2" xfId="75"/>
    <cellStyle name="강조색6 2" xfId="76"/>
    <cellStyle name="경고문 2" xfId="77"/>
    <cellStyle name="계산 2" xfId="78"/>
    <cellStyle name="나쁨 2" xfId="79"/>
    <cellStyle name="메모 2" xfId="80"/>
    <cellStyle name="백분율" xfId="2" builtinId="5"/>
    <cellStyle name="백분율 2" xfId="6"/>
    <cellStyle name="백분율 2 10" xfId="82"/>
    <cellStyle name="백분율 2 11" xfId="83"/>
    <cellStyle name="백분율 2 12" xfId="84"/>
    <cellStyle name="백분율 2 13" xfId="85"/>
    <cellStyle name="백분율 2 14" xfId="86"/>
    <cellStyle name="백분율 2 15" xfId="87"/>
    <cellStyle name="백분율 2 16" xfId="88"/>
    <cellStyle name="백분율 2 17" xfId="89"/>
    <cellStyle name="백분율 2 18" xfId="90"/>
    <cellStyle name="백분율 2 19" xfId="91"/>
    <cellStyle name="백분율 2 2" xfId="92"/>
    <cellStyle name="백분율 2 20" xfId="93"/>
    <cellStyle name="백분율 2 21" xfId="94"/>
    <cellStyle name="백분율 2 22" xfId="95"/>
    <cellStyle name="백분율 2 23" xfId="96"/>
    <cellStyle name="백분율 2 24" xfId="97"/>
    <cellStyle name="백분율 2 25" xfId="98"/>
    <cellStyle name="백분율 2 26" xfId="81"/>
    <cellStyle name="백분율 2 3" xfId="99"/>
    <cellStyle name="백분율 2 4" xfId="100"/>
    <cellStyle name="백분율 2 5" xfId="101"/>
    <cellStyle name="백분율 2 6" xfId="102"/>
    <cellStyle name="백분율 2 7" xfId="103"/>
    <cellStyle name="백분율 2 8" xfId="104"/>
    <cellStyle name="백분율 2 9" xfId="105"/>
    <cellStyle name="보통 2" xfId="106"/>
    <cellStyle name="설명 텍스트 2" xfId="107"/>
    <cellStyle name="셀 확인 2" xfId="108"/>
    <cellStyle name="쉼표 [0]" xfId="1" builtinId="6"/>
    <cellStyle name="쉼표 [0] 11" xfId="109"/>
    <cellStyle name="쉼표 [0] 12" xfId="110"/>
    <cellStyle name="쉼표 [0] 13" xfId="111"/>
    <cellStyle name="쉼표 [0] 16" xfId="112"/>
    <cellStyle name="쉼표 [0] 2" xfId="4"/>
    <cellStyle name="쉼표 [0] 2 10" xfId="114"/>
    <cellStyle name="쉼표 [0] 2 11" xfId="115"/>
    <cellStyle name="쉼표 [0] 2 12" xfId="116"/>
    <cellStyle name="쉼표 [0] 2 13" xfId="117"/>
    <cellStyle name="쉼표 [0] 2 14" xfId="118"/>
    <cellStyle name="쉼표 [0] 2 15" xfId="119"/>
    <cellStyle name="쉼표 [0] 2 16" xfId="120"/>
    <cellStyle name="쉼표 [0] 2 17" xfId="215"/>
    <cellStyle name="쉼표 [0] 2 18" xfId="113"/>
    <cellStyle name="쉼표 [0] 2 2" xfId="121"/>
    <cellStyle name="쉼표 [0] 2 2 2" xfId="122"/>
    <cellStyle name="쉼표 [0] 2 2 2 2" xfId="216"/>
    <cellStyle name="쉼표 [0] 2 2 3" xfId="123"/>
    <cellStyle name="쉼표 [0] 2 2 3 2" xfId="217"/>
    <cellStyle name="쉼표 [0] 2 2 4" xfId="124"/>
    <cellStyle name="쉼표 [0] 2 2 4 2" xfId="218"/>
    <cellStyle name="쉼표 [0] 2 2 5" xfId="125"/>
    <cellStyle name="쉼표 [0] 2 2 6" xfId="126"/>
    <cellStyle name="쉼표 [0] 2 2 7" xfId="127"/>
    <cellStyle name="쉼표 [0] 2 2 8" xfId="128"/>
    <cellStyle name="쉼표 [0] 2 3" xfId="129"/>
    <cellStyle name="쉼표 [0] 2 3 2" xfId="130"/>
    <cellStyle name="쉼표 [0] 2 3 3" xfId="219"/>
    <cellStyle name="쉼표 [0] 2 4" xfId="131"/>
    <cellStyle name="쉼표 [0] 2 4 2" xfId="132"/>
    <cellStyle name="쉼표 [0] 2 4 3" xfId="220"/>
    <cellStyle name="쉼표 [0] 2 5" xfId="133"/>
    <cellStyle name="쉼표 [0] 2 5 2" xfId="134"/>
    <cellStyle name="쉼표 [0] 2 5 3" xfId="221"/>
    <cellStyle name="쉼표 [0] 2 6" xfId="135"/>
    <cellStyle name="쉼표 [0] 2 6 2" xfId="136"/>
    <cellStyle name="쉼표 [0] 2 6 3" xfId="222"/>
    <cellStyle name="쉼표 [0] 2 7" xfId="137"/>
    <cellStyle name="쉼표 [0] 2 7 2" xfId="223"/>
    <cellStyle name="쉼표 [0] 2 8" xfId="138"/>
    <cellStyle name="쉼표 [0] 2 8 2" xfId="224"/>
    <cellStyle name="쉼표 [0] 2 9" xfId="139"/>
    <cellStyle name="쉼표 [0] 20" xfId="140"/>
    <cellStyle name="쉼표 [0] 22" xfId="141"/>
    <cellStyle name="쉼표 [0] 23" xfId="142"/>
    <cellStyle name="쉼표 [0] 3" xfId="3"/>
    <cellStyle name="쉼표 [0] 3 2" xfId="143"/>
    <cellStyle name="쉼표 [0] 3 2 2" xfId="144"/>
    <cellStyle name="쉼표 [0] 3 2 3" xfId="145"/>
    <cellStyle name="쉼표 [0] 3 2 4" xfId="225"/>
    <cellStyle name="쉼표 [0] 3 3" xfId="146"/>
    <cellStyle name="쉼표 [0] 3 4" xfId="25"/>
    <cellStyle name="쉼표 [0] 4" xfId="29"/>
    <cellStyle name="쉼표 [0] 4 2" xfId="147"/>
    <cellStyle name="쉼표 [0] 4 3" xfId="148"/>
    <cellStyle name="쉼표 [0] 4 4" xfId="149"/>
    <cellStyle name="쉼표 [0] 5" xfId="27"/>
    <cellStyle name="쉼표 [0] 6" xfId="28"/>
    <cellStyle name="쉼표 [0] 7" xfId="32"/>
    <cellStyle name="쉼표 [0] 9" xfId="150"/>
    <cellStyle name="연결된 셀 2" xfId="151"/>
    <cellStyle name="요약 2" xfId="152"/>
    <cellStyle name="입력 2" xfId="153"/>
    <cellStyle name="제목 1 2" xfId="154"/>
    <cellStyle name="제목 2 2" xfId="155"/>
    <cellStyle name="제목 3 2" xfId="156"/>
    <cellStyle name="제목 4 2" xfId="157"/>
    <cellStyle name="제목 5" xfId="158"/>
    <cellStyle name="좋음 2" xfId="159"/>
    <cellStyle name="출력 2" xfId="160"/>
    <cellStyle name="콤마 [0]_97MBO" xfId="10"/>
    <cellStyle name="콤마_97MBO" xfId="11"/>
    <cellStyle name="ㅍ" xfId="161"/>
    <cellStyle name="표준" xfId="0" builtinId="0"/>
    <cellStyle name="표준 13" xfId="162"/>
    <cellStyle name="표준 14" xfId="163"/>
    <cellStyle name="표준 17" xfId="164"/>
    <cellStyle name="표준 18" xfId="165"/>
    <cellStyle name="표준 2" xfId="5"/>
    <cellStyle name="표준 2 10" xfId="166"/>
    <cellStyle name="표준 2 11" xfId="167"/>
    <cellStyle name="표준 2 12" xfId="168"/>
    <cellStyle name="표준 2 13" xfId="169"/>
    <cellStyle name="표준 2 14" xfId="170"/>
    <cellStyle name="표준 2 15" xfId="171"/>
    <cellStyle name="표준 2 16" xfId="172"/>
    <cellStyle name="표준 2 17" xfId="173"/>
    <cellStyle name="표준 2 18" xfId="174"/>
    <cellStyle name="표준 2 19" xfId="175"/>
    <cellStyle name="표준 2 2" xfId="176"/>
    <cellStyle name="표준 2 2 2" xfId="177"/>
    <cellStyle name="표준 2 2 2 2" xfId="178"/>
    <cellStyle name="표준 2 2 3" xfId="179"/>
    <cellStyle name="표준 2 2 3 2" xfId="180"/>
    <cellStyle name="표준 2 2 4" xfId="181"/>
    <cellStyle name="표준 2 2 5" xfId="182"/>
    <cellStyle name="표준 2 2 6" xfId="183"/>
    <cellStyle name="표준 2 20" xfId="184"/>
    <cellStyle name="표준 2 21" xfId="185"/>
    <cellStyle name="표준 2 22" xfId="186"/>
    <cellStyle name="표준 2 23" xfId="187"/>
    <cellStyle name="표준 2 24" xfId="188"/>
    <cellStyle name="표준 2 25" xfId="189"/>
    <cellStyle name="표준 2 26" xfId="190"/>
    <cellStyle name="표준 2 27" xfId="191"/>
    <cellStyle name="표준 2 28" xfId="192"/>
    <cellStyle name="표준 2 29" xfId="193"/>
    <cellStyle name="표준 2 3" xfId="194"/>
    <cellStyle name="표준 2 3 2" xfId="195"/>
    <cellStyle name="표준 2 3 3" xfId="196"/>
    <cellStyle name="표준 2 3 4" xfId="197"/>
    <cellStyle name="표준 2 3 5" xfId="198"/>
    <cellStyle name="표준 2 3 6" xfId="199"/>
    <cellStyle name="표준 2 30" xfId="9"/>
    <cellStyle name="표준 2 4" xfId="200"/>
    <cellStyle name="표준 2 4 2" xfId="201"/>
    <cellStyle name="표준 2 5" xfId="202"/>
    <cellStyle name="표준 2 5 2" xfId="203"/>
    <cellStyle name="표준 2 6" xfId="204"/>
    <cellStyle name="표준 2 6 2" xfId="205"/>
    <cellStyle name="표준 2 7" xfId="206"/>
    <cellStyle name="표준 2 8" xfId="207"/>
    <cellStyle name="표준 2 9" xfId="208"/>
    <cellStyle name="표준 20" xfId="209"/>
    <cellStyle name="표준 3" xfId="7"/>
    <cellStyle name="표준 3 2" xfId="210"/>
    <cellStyle name="표준 3 3" xfId="211"/>
    <cellStyle name="표준 3 4" xfId="212"/>
    <cellStyle name="표준 3 5" xfId="24"/>
    <cellStyle name="표준 4" xfId="8"/>
    <cellStyle name="표준 4 2" xfId="30"/>
    <cellStyle name="표준 5" xfId="26"/>
    <cellStyle name="표준 6" xfId="31"/>
    <cellStyle name="표준 7" xfId="33"/>
    <cellStyle name="표준 9" xfId="213"/>
    <cellStyle name="ㅜ" xfId="2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hj\kim%20hj%20&#44277;&#50976;\&#50629;&#47924;&#51088;&#47308;\&#51312;&#54633;\&#51204;&#52404;&#51312;&#54633;&#54788;&#54889;\&#44288;&#47532;&#48372;&#49688;\20160930_&#51312;&#54633;&#54788;&#54889;&#48143;%20&#44288;&#47532;&#48372;&#49688;&#47308;_IMM&#44256;&#50976;_&#52572;&#513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&#44592;&#54925;\&#44277;&#53685;\&#48372;&#44256;&#51088;&#47308;\&#51109;&#45824;&#54364;&#48372;&#44256;\&#52292;&#44428;&#54788;&#548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&#44592;&#54925;\200212_&#52628;&#51221;&#51116;&#47924;\&#51312;&#54633;&#44288;&#47532;&#48372;&#49688;&#4730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&#53804;&#51088;\&#49324;&#54980;&#44288;&#47532;\&#51204;&#52404;&#47785;&#47197;\&#50640;&#51060;&#48708;&#50472;&#45367;\&#50640;&#51060;&#48708;&#50472;&#45367;_&#50836;&#50557;&#51221;&#483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현황"/>
      <sheetName val="관리보수1"/>
      <sheetName val="관리보수2 "/>
      <sheetName val="자금집행"/>
      <sheetName val="2010KIF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채권현황"/>
      <sheetName val="원리금회수스케줄"/>
      <sheetName val="종근당건강(GEO-5,IMM2,3)"/>
      <sheetName val="이니엄(IMM12)"/>
      <sheetName val="나비야(IMM12)"/>
      <sheetName val="포스미디어(국민연금)"/>
      <sheetName val="대여금현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합관리보수료2001.6(예상)"/>
      <sheetName val="조합별특약및보수기준2001.12.31"/>
      <sheetName val="조합별특약및보수기준2002.11.31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11"/>
      <sheetName val="011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C34" sqref="C34"/>
    </sheetView>
  </sheetViews>
  <sheetFormatPr defaultRowHeight="16.5" x14ac:dyDescent="0.3"/>
  <cols>
    <col min="1" max="1" width="11" bestFit="1" customWidth="1"/>
    <col min="2" max="2" width="20.5" customWidth="1"/>
    <col min="3" max="3" width="11.125" bestFit="1" customWidth="1"/>
    <col min="4" max="4" width="13" bestFit="1" customWidth="1"/>
    <col min="5" max="5" width="16.5" bestFit="1" customWidth="1"/>
    <col min="6" max="6" width="14.625" customWidth="1"/>
    <col min="7" max="7" width="14.625" bestFit="1" customWidth="1"/>
    <col min="8" max="8" width="17.625" bestFit="1" customWidth="1"/>
  </cols>
  <sheetData>
    <row r="1" spans="1:7" x14ac:dyDescent="0.3">
      <c r="A1" s="86" t="s">
        <v>5</v>
      </c>
      <c r="B1" s="87" t="s">
        <v>6</v>
      </c>
      <c r="C1" s="87" t="s">
        <v>7</v>
      </c>
      <c r="D1" s="87" t="s">
        <v>8</v>
      </c>
      <c r="E1" s="87" t="s">
        <v>14</v>
      </c>
      <c r="F1" s="88"/>
      <c r="G1" s="89"/>
    </row>
    <row r="2" spans="1:7" x14ac:dyDescent="0.3">
      <c r="A2" s="90" t="s">
        <v>2</v>
      </c>
      <c r="B2" s="91"/>
      <c r="C2" s="92" t="s">
        <v>49</v>
      </c>
      <c r="D2" s="91"/>
      <c r="E2" s="91" t="s">
        <v>15</v>
      </c>
      <c r="F2" s="93" t="s">
        <v>16</v>
      </c>
      <c r="G2" s="94"/>
    </row>
    <row r="3" spans="1:7" x14ac:dyDescent="0.3">
      <c r="A3" s="90" t="s">
        <v>59</v>
      </c>
      <c r="B3" s="91"/>
      <c r="C3" s="92" t="s">
        <v>50</v>
      </c>
      <c r="D3" s="91"/>
      <c r="E3" s="91" t="s">
        <v>19</v>
      </c>
      <c r="F3" s="91" t="s">
        <v>20</v>
      </c>
      <c r="G3" s="94"/>
    </row>
    <row r="4" spans="1:7" x14ac:dyDescent="0.3">
      <c r="A4" s="90" t="s">
        <v>4</v>
      </c>
      <c r="B4" s="91"/>
      <c r="C4" s="91"/>
      <c r="D4" s="91"/>
      <c r="E4" s="91" t="s">
        <v>17</v>
      </c>
      <c r="F4" s="91" t="s">
        <v>18</v>
      </c>
      <c r="G4" s="94"/>
    </row>
    <row r="5" spans="1:7" s="72" customFormat="1" x14ac:dyDescent="0.3">
      <c r="A5" s="90" t="s">
        <v>58</v>
      </c>
      <c r="B5" s="91"/>
      <c r="C5" s="91"/>
      <c r="D5" s="91"/>
      <c r="E5" s="91"/>
      <c r="F5" s="91"/>
      <c r="G5" s="94"/>
    </row>
    <row r="6" spans="1:7" x14ac:dyDescent="0.3">
      <c r="A6" s="90" t="s">
        <v>9</v>
      </c>
      <c r="B6" s="91"/>
      <c r="C6" s="91"/>
      <c r="D6" s="91"/>
      <c r="E6" s="91"/>
      <c r="F6" s="91"/>
      <c r="G6" s="94"/>
    </row>
    <row r="7" spans="1:7" x14ac:dyDescent="0.3">
      <c r="A7" s="95" t="s">
        <v>10</v>
      </c>
      <c r="B7" s="96"/>
      <c r="C7" s="96"/>
      <c r="D7" s="96"/>
      <c r="E7" s="96"/>
      <c r="F7" s="96"/>
      <c r="G7" s="97"/>
    </row>
    <row r="8" spans="1:7" s="72" customFormat="1" x14ac:dyDescent="0.3">
      <c r="A8" s="91"/>
      <c r="B8" s="91"/>
      <c r="C8" s="91"/>
      <c r="D8" s="91"/>
      <c r="E8" s="91"/>
      <c r="F8" s="91"/>
      <c r="G8" s="91"/>
    </row>
    <row r="9" spans="1:7" s="72" customFormat="1" x14ac:dyDescent="0.3">
      <c r="A9" s="98" t="s">
        <v>55</v>
      </c>
      <c r="B9" s="91"/>
      <c r="C9" s="91"/>
      <c r="D9" s="91"/>
      <c r="E9" s="91"/>
      <c r="F9" s="91"/>
      <c r="G9" s="91"/>
    </row>
    <row r="10" spans="1:7" x14ac:dyDescent="0.3">
      <c r="A10" t="s">
        <v>0</v>
      </c>
      <c r="B10" t="s">
        <v>46</v>
      </c>
    </row>
    <row r="11" spans="1:7" s="72" customFormat="1" x14ac:dyDescent="0.3">
      <c r="A11" s="72" t="s">
        <v>45</v>
      </c>
      <c r="B11" s="63">
        <v>42643</v>
      </c>
    </row>
    <row r="12" spans="1:7" s="72" customFormat="1" x14ac:dyDescent="0.3">
      <c r="A12" s="72" t="s">
        <v>48</v>
      </c>
      <c r="B12" s="73">
        <v>53000000000</v>
      </c>
    </row>
    <row r="13" spans="1:7" s="72" customFormat="1" x14ac:dyDescent="0.3">
      <c r="A13" s="72" t="s">
        <v>54</v>
      </c>
      <c r="B13" s="73">
        <v>39244294280</v>
      </c>
    </row>
    <row r="14" spans="1:7" s="72" customFormat="1" x14ac:dyDescent="0.3">
      <c r="A14" s="72" t="s">
        <v>14</v>
      </c>
      <c r="B14" s="68">
        <v>42552</v>
      </c>
      <c r="C14" s="68">
        <v>42643</v>
      </c>
    </row>
    <row r="15" spans="1:7" x14ac:dyDescent="0.3">
      <c r="A15" t="s">
        <v>5</v>
      </c>
      <c r="B15" s="68">
        <v>42552</v>
      </c>
      <c r="C15" s="63">
        <v>42623</v>
      </c>
      <c r="D15" t="s">
        <v>47</v>
      </c>
    </row>
    <row r="16" spans="1:7" s="72" customFormat="1" x14ac:dyDescent="0.3">
      <c r="B16" s="68">
        <v>42624</v>
      </c>
      <c r="C16" s="63">
        <v>42643</v>
      </c>
      <c r="D16" s="72" t="s">
        <v>3</v>
      </c>
      <c r="E16" s="65"/>
    </row>
    <row r="17" spans="1:8" x14ac:dyDescent="0.3">
      <c r="A17" t="s">
        <v>1</v>
      </c>
      <c r="B17" s="77" t="s">
        <v>2</v>
      </c>
      <c r="C17" s="64">
        <v>0.02</v>
      </c>
    </row>
    <row r="18" spans="1:8" x14ac:dyDescent="0.3">
      <c r="B18" s="77" t="s">
        <v>3</v>
      </c>
      <c r="C18" s="64">
        <v>0.02</v>
      </c>
    </row>
    <row r="21" spans="1:8" s="72" customFormat="1" x14ac:dyDescent="0.3"/>
    <row r="22" spans="1:8" x14ac:dyDescent="0.3">
      <c r="A22" s="83" t="s">
        <v>12</v>
      </c>
      <c r="B22" s="83" t="s">
        <v>14</v>
      </c>
      <c r="C22" s="83" t="s">
        <v>5</v>
      </c>
      <c r="D22" s="83" t="s">
        <v>7</v>
      </c>
      <c r="E22" s="83" t="s">
        <v>51</v>
      </c>
      <c r="F22" s="83" t="s">
        <v>14</v>
      </c>
      <c r="G22" s="83" t="s">
        <v>52</v>
      </c>
      <c r="H22" s="83" t="s">
        <v>53</v>
      </c>
    </row>
    <row r="23" spans="1:8" x14ac:dyDescent="0.3">
      <c r="A23" s="67">
        <v>42552</v>
      </c>
      <c r="B23" s="67">
        <v>42623</v>
      </c>
      <c r="C23" s="75" t="s">
        <v>47</v>
      </c>
      <c r="D23" s="69">
        <f>C17</f>
        <v>0.02</v>
      </c>
      <c r="E23" s="84">
        <f>B12</f>
        <v>53000000000</v>
      </c>
      <c r="F23" s="76">
        <f>B23-A23+1</f>
        <v>72</v>
      </c>
      <c r="G23" s="76">
        <f>B24-A23+1</f>
        <v>92</v>
      </c>
      <c r="H23" s="78">
        <f>INT(E23*D23/4*F23/G23)</f>
        <v>207391304</v>
      </c>
    </row>
    <row r="24" spans="1:8" x14ac:dyDescent="0.3">
      <c r="A24" s="67">
        <v>42624</v>
      </c>
      <c r="B24" s="67">
        <v>42643</v>
      </c>
      <c r="C24" s="75" t="s">
        <v>50</v>
      </c>
      <c r="D24" s="69">
        <f>C18</f>
        <v>0.02</v>
      </c>
      <c r="E24" s="84">
        <f>B13</f>
        <v>39244294280</v>
      </c>
      <c r="F24" s="76">
        <f>B24-A24+1</f>
        <v>20</v>
      </c>
      <c r="G24" s="85">
        <f>G23</f>
        <v>92</v>
      </c>
      <c r="H24" s="78">
        <f>INT(E24*D24/4*F24/G24)</f>
        <v>42656841</v>
      </c>
    </row>
    <row r="27" spans="1:8" x14ac:dyDescent="0.3">
      <c r="A27" t="s">
        <v>56</v>
      </c>
    </row>
    <row r="28" spans="1:8" x14ac:dyDescent="0.3">
      <c r="A28" s="72" t="s">
        <v>0</v>
      </c>
      <c r="B28" s="72" t="s">
        <v>57</v>
      </c>
      <c r="C28" s="72"/>
    </row>
    <row r="29" spans="1:8" x14ac:dyDescent="0.3">
      <c r="A29" s="72" t="s">
        <v>45</v>
      </c>
      <c r="B29" s="63">
        <v>42551</v>
      </c>
      <c r="C29" s="72"/>
    </row>
    <row r="30" spans="1:8" x14ac:dyDescent="0.3">
      <c r="A30" s="72" t="s">
        <v>48</v>
      </c>
      <c r="B30" s="73">
        <v>32000000000</v>
      </c>
      <c r="C30" s="72"/>
    </row>
    <row r="31" spans="1:8" x14ac:dyDescent="0.3">
      <c r="A31" s="72" t="s">
        <v>54</v>
      </c>
      <c r="B31" s="73">
        <v>9987480702</v>
      </c>
      <c r="C31" s="72"/>
    </row>
    <row r="32" spans="1:8" s="99" customFormat="1" x14ac:dyDescent="0.3">
      <c r="A32" s="99" t="s">
        <v>14</v>
      </c>
      <c r="B32" s="68">
        <v>42370</v>
      </c>
      <c r="C32" s="68">
        <v>42551</v>
      </c>
    </row>
    <row r="33" spans="1:8" s="99" customFormat="1" x14ac:dyDescent="0.3">
      <c r="A33" s="99" t="s">
        <v>5</v>
      </c>
      <c r="B33" s="68">
        <v>42370</v>
      </c>
      <c r="C33" s="68">
        <v>42551</v>
      </c>
      <c r="D33" s="99" t="s">
        <v>74</v>
      </c>
    </row>
    <row r="34" spans="1:8" s="99" customFormat="1" x14ac:dyDescent="0.3">
      <c r="A34" s="99" t="s">
        <v>1</v>
      </c>
      <c r="B34" s="77" t="s">
        <v>4</v>
      </c>
      <c r="C34" s="64">
        <v>0.02</v>
      </c>
    </row>
    <row r="35" spans="1:8" x14ac:dyDescent="0.15">
      <c r="A35" s="102" t="s">
        <v>11</v>
      </c>
      <c r="B35" s="103" t="s">
        <v>13</v>
      </c>
      <c r="C35" s="102" t="s">
        <v>60</v>
      </c>
      <c r="D35" s="102" t="s">
        <v>73</v>
      </c>
      <c r="E35" s="104" t="s">
        <v>61</v>
      </c>
      <c r="F35" s="105" t="s">
        <v>62</v>
      </c>
      <c r="G35" s="111" t="s">
        <v>63</v>
      </c>
      <c r="H35" s="106" t="s">
        <v>64</v>
      </c>
    </row>
    <row r="36" spans="1:8" x14ac:dyDescent="0.15">
      <c r="A36" s="107">
        <v>42370</v>
      </c>
      <c r="B36" s="107">
        <v>42372</v>
      </c>
      <c r="C36" s="109">
        <v>3</v>
      </c>
      <c r="D36" s="108">
        <v>13243813517</v>
      </c>
      <c r="E36" s="112">
        <f>2%*$D36*C36/366</f>
        <v>2171116.9699999997</v>
      </c>
      <c r="F36" s="108">
        <v>0</v>
      </c>
      <c r="G36" s="110">
        <v>1085558.4849999999</v>
      </c>
      <c r="H36" s="100"/>
    </row>
    <row r="37" spans="1:8" x14ac:dyDescent="0.15">
      <c r="A37" s="107">
        <v>42373</v>
      </c>
      <c r="B37" s="107">
        <v>42373</v>
      </c>
      <c r="C37" s="109">
        <v>1</v>
      </c>
      <c r="D37" s="108">
        <v>13178039463</v>
      </c>
      <c r="E37" s="112">
        <f t="shared" ref="E37:E54" si="0">2%*$D37*C37/366</f>
        <v>720111.44606557384</v>
      </c>
      <c r="F37" s="108" t="s">
        <v>65</v>
      </c>
      <c r="G37" s="110">
        <v>360055.72303278692</v>
      </c>
      <c r="H37" s="101">
        <v>65774054</v>
      </c>
    </row>
    <row r="38" spans="1:8" x14ac:dyDescent="0.15">
      <c r="A38" s="107">
        <v>42374</v>
      </c>
      <c r="B38" s="107">
        <v>42388</v>
      </c>
      <c r="C38" s="109">
        <v>15</v>
      </c>
      <c r="D38" s="108">
        <v>12984017299</v>
      </c>
      <c r="E38" s="112">
        <f t="shared" si="0"/>
        <v>10642637.130327869</v>
      </c>
      <c r="F38" s="108" t="s">
        <v>66</v>
      </c>
      <c r="G38" s="110">
        <v>5321318.5651639346</v>
      </c>
      <c r="H38" s="101">
        <v>194022164</v>
      </c>
    </row>
    <row r="39" spans="1:8" x14ac:dyDescent="0.15">
      <c r="A39" s="107">
        <v>42389</v>
      </c>
      <c r="B39" s="107">
        <v>42389</v>
      </c>
      <c r="C39" s="109">
        <v>1</v>
      </c>
      <c r="D39" s="108">
        <v>12854017299</v>
      </c>
      <c r="E39" s="112">
        <f t="shared" si="0"/>
        <v>702405.31688524596</v>
      </c>
      <c r="F39" s="108" t="s">
        <v>67</v>
      </c>
      <c r="G39" s="110">
        <v>351202.65844262298</v>
      </c>
      <c r="H39" s="101">
        <v>130000000</v>
      </c>
    </row>
    <row r="40" spans="1:8" x14ac:dyDescent="0.15">
      <c r="A40" s="107">
        <v>42390</v>
      </c>
      <c r="B40" s="107">
        <v>42423</v>
      </c>
      <c r="C40" s="109">
        <v>34</v>
      </c>
      <c r="D40" s="108">
        <v>12782517299</v>
      </c>
      <c r="E40" s="112">
        <f t="shared" si="0"/>
        <v>23748939.244043715</v>
      </c>
      <c r="F40" s="108" t="s">
        <v>67</v>
      </c>
      <c r="G40" s="110">
        <v>11874469.622021858</v>
      </c>
      <c r="H40" s="101">
        <v>71500000</v>
      </c>
    </row>
    <row r="41" spans="1:8" x14ac:dyDescent="0.15">
      <c r="A41" s="107">
        <v>42424</v>
      </c>
      <c r="B41" s="107">
        <v>42425</v>
      </c>
      <c r="C41" s="109">
        <v>2</v>
      </c>
      <c r="D41" s="108">
        <v>12652517299</v>
      </c>
      <c r="E41" s="112">
        <f t="shared" si="0"/>
        <v>1382788.7758469947</v>
      </c>
      <c r="F41" s="108" t="s">
        <v>67</v>
      </c>
      <c r="G41" s="110">
        <v>691394.38792349736</v>
      </c>
      <c r="H41" s="101">
        <v>130000000</v>
      </c>
    </row>
    <row r="42" spans="1:8" x14ac:dyDescent="0.15">
      <c r="A42" s="107">
        <v>42426</v>
      </c>
      <c r="B42" s="107">
        <v>42429</v>
      </c>
      <c r="C42" s="109">
        <v>4</v>
      </c>
      <c r="D42" s="108">
        <v>12572446126</v>
      </c>
      <c r="E42" s="112">
        <f t="shared" si="0"/>
        <v>2748075.6559562841</v>
      </c>
      <c r="F42" s="108" t="s">
        <v>68</v>
      </c>
      <c r="G42" s="110">
        <v>1374037.8279781421</v>
      </c>
      <c r="H42" s="101">
        <v>80071173</v>
      </c>
    </row>
    <row r="43" spans="1:8" x14ac:dyDescent="0.15">
      <c r="A43" s="107">
        <v>42430</v>
      </c>
      <c r="B43" s="107">
        <v>42431</v>
      </c>
      <c r="C43" s="109">
        <v>2</v>
      </c>
      <c r="D43" s="108">
        <v>12572446126</v>
      </c>
      <c r="E43" s="112">
        <f t="shared" si="0"/>
        <v>1374037.8279781421</v>
      </c>
      <c r="F43" s="108">
        <v>0</v>
      </c>
      <c r="G43" s="110">
        <v>687018.91398907104</v>
      </c>
      <c r="H43" s="101">
        <v>0</v>
      </c>
    </row>
    <row r="44" spans="1:8" x14ac:dyDescent="0.15">
      <c r="A44" s="107">
        <v>42432</v>
      </c>
      <c r="B44" s="107">
        <v>42432</v>
      </c>
      <c r="C44" s="109">
        <v>1</v>
      </c>
      <c r="D44" s="108">
        <v>12530832126</v>
      </c>
      <c r="E44" s="112">
        <f t="shared" si="0"/>
        <v>684744.92491803283</v>
      </c>
      <c r="F44" s="108" t="s">
        <v>69</v>
      </c>
      <c r="G44" s="110">
        <v>342372.46245901642</v>
      </c>
      <c r="H44" s="101">
        <v>41614000</v>
      </c>
    </row>
    <row r="45" spans="1:8" x14ac:dyDescent="0.15">
      <c r="A45" s="107">
        <v>42433</v>
      </c>
      <c r="B45" s="107">
        <v>42442</v>
      </c>
      <c r="C45" s="109">
        <v>10</v>
      </c>
      <c r="D45" s="108">
        <v>12488582126</v>
      </c>
      <c r="E45" s="112">
        <f t="shared" si="0"/>
        <v>6824361.8174863392</v>
      </c>
      <c r="F45" s="108" t="s">
        <v>70</v>
      </c>
      <c r="G45" s="110">
        <v>3412180.9087431696</v>
      </c>
      <c r="H45" s="101">
        <v>42250000</v>
      </c>
    </row>
    <row r="46" spans="1:8" x14ac:dyDescent="0.15">
      <c r="A46" s="107">
        <v>42443</v>
      </c>
      <c r="B46" s="107">
        <v>42443</v>
      </c>
      <c r="C46" s="109">
        <v>1</v>
      </c>
      <c r="D46" s="108">
        <v>12483902126</v>
      </c>
      <c r="E46" s="112">
        <f t="shared" si="0"/>
        <v>682180.44404371583</v>
      </c>
      <c r="F46" s="108" t="s">
        <v>70</v>
      </c>
      <c r="G46" s="110">
        <v>341090.22202185792</v>
      </c>
      <c r="H46" s="101">
        <v>4680000</v>
      </c>
    </row>
    <row r="47" spans="1:8" x14ac:dyDescent="0.15">
      <c r="A47" s="107">
        <v>42444</v>
      </c>
      <c r="B47" s="107">
        <v>42452</v>
      </c>
      <c r="C47" s="109">
        <v>9</v>
      </c>
      <c r="D47" s="108">
        <v>12386402126</v>
      </c>
      <c r="E47" s="112">
        <f t="shared" si="0"/>
        <v>6091673.1767213121</v>
      </c>
      <c r="F47" s="108" t="s">
        <v>70</v>
      </c>
      <c r="G47" s="110">
        <v>3045836.5883606561</v>
      </c>
      <c r="H47" s="101">
        <v>97500000</v>
      </c>
    </row>
    <row r="48" spans="1:8" x14ac:dyDescent="0.15">
      <c r="A48" s="107">
        <v>42453</v>
      </c>
      <c r="B48" s="107">
        <v>42459</v>
      </c>
      <c r="C48" s="109">
        <v>7</v>
      </c>
      <c r="D48" s="108">
        <v>12366902126</v>
      </c>
      <c r="E48" s="112">
        <f t="shared" si="0"/>
        <v>4730509.0099453554</v>
      </c>
      <c r="F48" s="108" t="s">
        <v>70</v>
      </c>
      <c r="G48" s="110">
        <v>2365254.5049726777</v>
      </c>
      <c r="H48" s="101">
        <v>19500000</v>
      </c>
    </row>
    <row r="49" spans="1:8" x14ac:dyDescent="0.15">
      <c r="A49" s="107">
        <v>42461</v>
      </c>
      <c r="B49" s="107">
        <v>42467</v>
      </c>
      <c r="C49" s="109">
        <v>8</v>
      </c>
      <c r="D49" s="108">
        <v>12020402126</v>
      </c>
      <c r="E49" s="112">
        <f t="shared" si="0"/>
        <v>5254820.6015300546</v>
      </c>
      <c r="F49" s="108" t="s">
        <v>71</v>
      </c>
      <c r="G49" s="110">
        <v>2627410.3007650273</v>
      </c>
      <c r="H49" s="101">
        <v>346500000</v>
      </c>
    </row>
    <row r="50" spans="1:8" x14ac:dyDescent="0.15">
      <c r="A50" s="107">
        <v>42468</v>
      </c>
      <c r="B50" s="107">
        <v>42470</v>
      </c>
      <c r="C50" s="109">
        <v>3</v>
      </c>
      <c r="D50" s="108">
        <v>11941141126</v>
      </c>
      <c r="E50" s="112">
        <f t="shared" si="0"/>
        <v>1957564.1190163936</v>
      </c>
      <c r="F50" s="108" t="s">
        <v>70</v>
      </c>
      <c r="G50" s="110">
        <v>978782.05950819678</v>
      </c>
      <c r="H50" s="101">
        <v>425761000</v>
      </c>
    </row>
    <row r="51" spans="1:8" x14ac:dyDescent="0.15">
      <c r="A51" s="107">
        <v>42471</v>
      </c>
      <c r="B51" s="107">
        <v>42477</v>
      </c>
      <c r="C51" s="109">
        <v>7</v>
      </c>
      <c r="D51" s="108">
        <v>11919054126</v>
      </c>
      <c r="E51" s="112">
        <f t="shared" si="0"/>
        <v>4559201.0318032792</v>
      </c>
      <c r="F51" s="108" t="s">
        <v>70</v>
      </c>
      <c r="G51" s="110">
        <v>2279600.5159016396</v>
      </c>
      <c r="H51" s="101">
        <v>22087000</v>
      </c>
    </row>
    <row r="52" spans="1:8" x14ac:dyDescent="0.15">
      <c r="A52" s="107">
        <v>42478</v>
      </c>
      <c r="B52" s="107">
        <v>42544</v>
      </c>
      <c r="C52" s="109">
        <v>67</v>
      </c>
      <c r="D52" s="108">
        <v>11907406126</v>
      </c>
      <c r="E52" s="112">
        <f t="shared" si="0"/>
        <v>43595421.335628413</v>
      </c>
      <c r="F52" s="108" t="s">
        <v>70</v>
      </c>
      <c r="G52" s="110">
        <v>21797710.667814206</v>
      </c>
      <c r="H52" s="101">
        <v>11648000</v>
      </c>
    </row>
    <row r="53" spans="1:8" x14ac:dyDescent="0.15">
      <c r="A53" s="107">
        <v>42545</v>
      </c>
      <c r="B53" s="107">
        <v>42550</v>
      </c>
      <c r="C53" s="109">
        <v>6</v>
      </c>
      <c r="D53" s="108">
        <v>10333980702</v>
      </c>
      <c r="E53" s="112">
        <f t="shared" si="0"/>
        <v>3388190.3940983606</v>
      </c>
      <c r="F53" s="108" t="s">
        <v>72</v>
      </c>
      <c r="G53" s="110">
        <v>1694095.1970491803</v>
      </c>
      <c r="H53" s="101">
        <v>1573425424</v>
      </c>
    </row>
    <row r="54" spans="1:8" x14ac:dyDescent="0.15">
      <c r="A54" s="107">
        <v>42551</v>
      </c>
      <c r="B54" s="107">
        <v>42551</v>
      </c>
      <c r="C54" s="109">
        <v>1</v>
      </c>
      <c r="D54" s="108">
        <v>9987480702</v>
      </c>
      <c r="E54" s="112">
        <f t="shared" si="0"/>
        <v>545763.97278688522</v>
      </c>
      <c r="F54" s="108" t="s">
        <v>71</v>
      </c>
      <c r="G54" s="110">
        <v>272881.98639344261</v>
      </c>
      <c r="H54" s="101">
        <v>346500000</v>
      </c>
    </row>
    <row r="55" spans="1:8" x14ac:dyDescent="0.3">
      <c r="E55" s="74">
        <f>SUM(E36:E54)</f>
        <v>121804543.19508198</v>
      </c>
      <c r="G55" s="82">
        <f>SUM(G36:G54)</f>
        <v>60902271.59754099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3" workbookViewId="0">
      <selection activeCell="H43" sqref="H43"/>
    </sheetView>
  </sheetViews>
  <sheetFormatPr defaultRowHeight="16.5" x14ac:dyDescent="0.3"/>
  <cols>
    <col min="2" max="2" width="9.75" bestFit="1" customWidth="1"/>
    <col min="3" max="3" width="15" bestFit="1" customWidth="1"/>
    <col min="4" max="4" width="14.375" bestFit="1" customWidth="1"/>
    <col min="5" max="5" width="17.75" style="5" bestFit="1" customWidth="1"/>
    <col min="6" max="7" width="13.125" bestFit="1" customWidth="1"/>
    <col min="8" max="8" width="13.25" bestFit="1" customWidth="1"/>
    <col min="9" max="9" width="12.25" bestFit="1" customWidth="1"/>
    <col min="10" max="11" width="12.875" bestFit="1" customWidth="1"/>
    <col min="12" max="12" width="16.375" bestFit="1" customWidth="1"/>
  </cols>
  <sheetData>
    <row r="1" spans="1:12" x14ac:dyDescent="0.3">
      <c r="A1" t="s">
        <v>21</v>
      </c>
    </row>
    <row r="2" spans="1:12" ht="17.25" x14ac:dyDescent="0.3">
      <c r="A2" s="7" t="s">
        <v>22</v>
      </c>
      <c r="B2" s="4"/>
      <c r="C2" s="4"/>
      <c r="D2" s="4"/>
      <c r="F2" s="4" t="s">
        <v>75</v>
      </c>
      <c r="G2" s="64">
        <v>0.08</v>
      </c>
      <c r="H2" s="4"/>
      <c r="I2" s="4"/>
      <c r="J2" s="4"/>
      <c r="K2" s="4"/>
      <c r="L2" s="4"/>
    </row>
    <row r="3" spans="1:12" ht="24" x14ac:dyDescent="0.3">
      <c r="A3" s="8" t="s">
        <v>23</v>
      </c>
      <c r="B3" s="8" t="s">
        <v>24</v>
      </c>
      <c r="C3" s="8" t="s">
        <v>25</v>
      </c>
      <c r="D3" s="9" t="s">
        <v>44</v>
      </c>
      <c r="E3" s="1" t="s">
        <v>26</v>
      </c>
      <c r="F3" s="8" t="s">
        <v>27</v>
      </c>
      <c r="G3" s="8" t="s">
        <v>28</v>
      </c>
      <c r="H3" s="8" t="s">
        <v>29</v>
      </c>
      <c r="I3" s="10" t="s">
        <v>30</v>
      </c>
      <c r="J3" s="11" t="s">
        <v>31</v>
      </c>
      <c r="K3" s="11" t="s">
        <v>32</v>
      </c>
      <c r="L3" s="11" t="s">
        <v>33</v>
      </c>
    </row>
    <row r="4" spans="1:12" x14ac:dyDescent="0.3">
      <c r="A4" s="12" t="s">
        <v>34</v>
      </c>
      <c r="B4" s="13">
        <v>40421</v>
      </c>
      <c r="C4" s="14" t="s">
        <v>35</v>
      </c>
      <c r="D4" s="71">
        <f>IF(C4=$C$4,-E4,H4)</f>
        <v>-3200000000</v>
      </c>
      <c r="E4" s="2">
        <v>3200000000</v>
      </c>
      <c r="F4" s="6">
        <v>0</v>
      </c>
      <c r="G4" s="6">
        <v>0</v>
      </c>
      <c r="H4" s="6">
        <v>0</v>
      </c>
      <c r="I4" s="15"/>
      <c r="J4" s="6">
        <v>-3200000000</v>
      </c>
      <c r="K4" s="6">
        <v>-3200000000</v>
      </c>
      <c r="L4" s="16"/>
    </row>
    <row r="5" spans="1:12" x14ac:dyDescent="0.3">
      <c r="A5" s="12" t="s">
        <v>34</v>
      </c>
      <c r="B5" s="13">
        <v>40633</v>
      </c>
      <c r="C5" s="14" t="s">
        <v>35</v>
      </c>
      <c r="D5" s="71">
        <f t="shared" ref="D5:D34" si="0">IF(C5=$C$4,-E5,H5)</f>
        <v>-1248000000</v>
      </c>
      <c r="E5" s="2">
        <v>1248000000</v>
      </c>
      <c r="F5" s="6">
        <v>0</v>
      </c>
      <c r="G5" s="6">
        <v>0</v>
      </c>
      <c r="H5" s="6">
        <v>0</v>
      </c>
      <c r="I5" s="15"/>
      <c r="J5" s="6">
        <v>-1248000000</v>
      </c>
      <c r="K5" s="6">
        <v>-1248000000</v>
      </c>
      <c r="L5" s="79">
        <f>D4*(1+$G$2)^((B5-B4)/365)+D5</f>
        <v>-4594287322.4818907</v>
      </c>
    </row>
    <row r="6" spans="1:12" x14ac:dyDescent="0.3">
      <c r="A6" s="12" t="s">
        <v>34</v>
      </c>
      <c r="B6" s="13">
        <v>40696</v>
      </c>
      <c r="C6" s="14" t="s">
        <v>35</v>
      </c>
      <c r="D6" s="71">
        <f t="shared" si="0"/>
        <v>-672000000</v>
      </c>
      <c r="E6" s="2">
        <v>672000000</v>
      </c>
      <c r="F6" s="6">
        <v>0</v>
      </c>
      <c r="G6" s="6">
        <v>0</v>
      </c>
      <c r="H6" s="6">
        <v>0</v>
      </c>
      <c r="I6" s="15"/>
      <c r="J6" s="6">
        <v>-672000000</v>
      </c>
      <c r="K6" s="6">
        <v>-672000000</v>
      </c>
      <c r="L6" s="79">
        <f>L5*(1+$G$2)^((B6-B5)/365)+D6</f>
        <v>-5327723541.545126</v>
      </c>
    </row>
    <row r="7" spans="1:12" x14ac:dyDescent="0.3">
      <c r="A7" s="12" t="s">
        <v>34</v>
      </c>
      <c r="B7" s="13">
        <v>40829</v>
      </c>
      <c r="C7" s="14" t="s">
        <v>35</v>
      </c>
      <c r="D7" s="71">
        <f t="shared" si="0"/>
        <v>-128000000</v>
      </c>
      <c r="E7" s="2">
        <v>128000000</v>
      </c>
      <c r="F7" s="6">
        <v>0</v>
      </c>
      <c r="G7" s="6">
        <v>0</v>
      </c>
      <c r="H7" s="6">
        <v>0</v>
      </c>
      <c r="I7" s="15"/>
      <c r="J7" s="6">
        <v>-128000000</v>
      </c>
      <c r="K7" s="6">
        <v>-128000000</v>
      </c>
      <c r="L7" s="79">
        <f t="shared" ref="L7:L31" si="1">L6*(1+$G$2)^((B7-B6)/365)+D7</f>
        <v>-5607245353.8228321</v>
      </c>
    </row>
    <row r="8" spans="1:12" x14ac:dyDescent="0.3">
      <c r="A8" s="12" t="s">
        <v>34</v>
      </c>
      <c r="B8" s="13">
        <v>40910</v>
      </c>
      <c r="C8" s="14" t="s">
        <v>35</v>
      </c>
      <c r="D8" s="71">
        <f t="shared" si="0"/>
        <v>-320000000</v>
      </c>
      <c r="E8" s="2">
        <v>320000000</v>
      </c>
      <c r="F8" s="6">
        <v>0</v>
      </c>
      <c r="G8" s="6">
        <v>0</v>
      </c>
      <c r="H8" s="6">
        <v>0</v>
      </c>
      <c r="I8" s="15"/>
      <c r="J8" s="6">
        <v>-320000000</v>
      </c>
      <c r="K8" s="6">
        <v>-320000000</v>
      </c>
      <c r="L8" s="79">
        <f t="shared" si="1"/>
        <v>-6023834113.6869898</v>
      </c>
    </row>
    <row r="9" spans="1:12" x14ac:dyDescent="0.3">
      <c r="A9" s="12" t="s">
        <v>34</v>
      </c>
      <c r="B9" s="13">
        <v>40938</v>
      </c>
      <c r="C9" s="14" t="s">
        <v>35</v>
      </c>
      <c r="D9" s="71">
        <f t="shared" si="0"/>
        <v>-320000000</v>
      </c>
      <c r="E9" s="2">
        <v>320000000</v>
      </c>
      <c r="F9" s="6">
        <v>0</v>
      </c>
      <c r="G9" s="6">
        <v>0</v>
      </c>
      <c r="H9" s="6">
        <v>0</v>
      </c>
      <c r="I9" s="15"/>
      <c r="J9" s="6">
        <v>-320000000</v>
      </c>
      <c r="K9" s="6">
        <v>-320000000</v>
      </c>
      <c r="L9" s="79">
        <f t="shared" si="1"/>
        <v>-6379503180.1073627</v>
      </c>
    </row>
    <row r="10" spans="1:12" x14ac:dyDescent="0.3">
      <c r="A10" s="12" t="s">
        <v>34</v>
      </c>
      <c r="B10" s="13">
        <v>40968</v>
      </c>
      <c r="C10" s="14" t="s">
        <v>35</v>
      </c>
      <c r="D10" s="71">
        <f t="shared" si="0"/>
        <v>-2880000000</v>
      </c>
      <c r="E10" s="2">
        <v>2880000000</v>
      </c>
      <c r="F10" s="6">
        <v>0</v>
      </c>
      <c r="G10" s="6">
        <v>0</v>
      </c>
      <c r="H10" s="6">
        <v>0</v>
      </c>
      <c r="I10" s="15"/>
      <c r="J10" s="6">
        <v>-2880000000</v>
      </c>
      <c r="K10" s="6">
        <v>-2880000000</v>
      </c>
      <c r="L10" s="79">
        <f t="shared" si="1"/>
        <v>-9299985042.6439686</v>
      </c>
    </row>
    <row r="11" spans="1:12" x14ac:dyDescent="0.3">
      <c r="A11" s="12" t="s">
        <v>34</v>
      </c>
      <c r="B11" s="13">
        <v>41129</v>
      </c>
      <c r="C11" s="14" t="s">
        <v>35</v>
      </c>
      <c r="D11" s="71">
        <f t="shared" si="0"/>
        <v>-960000000</v>
      </c>
      <c r="E11" s="2">
        <v>960000000</v>
      </c>
      <c r="F11" s="6">
        <v>0</v>
      </c>
      <c r="G11" s="6">
        <v>0</v>
      </c>
      <c r="H11" s="6">
        <v>0</v>
      </c>
      <c r="I11" s="15"/>
      <c r="J11" s="6">
        <v>-960000000</v>
      </c>
      <c r="K11" s="6">
        <v>-960000000</v>
      </c>
      <c r="L11" s="79">
        <f t="shared" si="1"/>
        <v>-10581113349.784876</v>
      </c>
    </row>
    <row r="12" spans="1:12" x14ac:dyDescent="0.3">
      <c r="A12" s="12" t="s">
        <v>34</v>
      </c>
      <c r="B12" s="13">
        <v>41214</v>
      </c>
      <c r="C12" s="14" t="s">
        <v>35</v>
      </c>
      <c r="D12" s="71">
        <f t="shared" si="0"/>
        <v>-2240000000</v>
      </c>
      <c r="E12" s="2">
        <v>2240000000</v>
      </c>
      <c r="F12" s="6">
        <v>0</v>
      </c>
      <c r="G12" s="6">
        <v>0</v>
      </c>
      <c r="H12" s="6">
        <v>0</v>
      </c>
      <c r="I12" s="15"/>
      <c r="J12" s="6">
        <v>-2240000000</v>
      </c>
      <c r="K12" s="6">
        <v>-2240000000</v>
      </c>
      <c r="L12" s="79">
        <f t="shared" si="1"/>
        <v>-13012462255.075676</v>
      </c>
    </row>
    <row r="13" spans="1:12" x14ac:dyDescent="0.3">
      <c r="A13" s="12" t="s">
        <v>34</v>
      </c>
      <c r="B13" s="13">
        <v>41254</v>
      </c>
      <c r="C13" s="14" t="s">
        <v>35</v>
      </c>
      <c r="D13" s="71">
        <f t="shared" si="0"/>
        <v>-320000000</v>
      </c>
      <c r="E13" s="2">
        <v>320000000</v>
      </c>
      <c r="F13" s="6">
        <v>0</v>
      </c>
      <c r="G13" s="6">
        <v>0</v>
      </c>
      <c r="H13" s="6">
        <v>0</v>
      </c>
      <c r="I13" s="15"/>
      <c r="J13" s="6">
        <v>-320000000</v>
      </c>
      <c r="K13" s="6">
        <v>-320000000</v>
      </c>
      <c r="L13" s="79">
        <f t="shared" si="1"/>
        <v>-13442674606.86067</v>
      </c>
    </row>
    <row r="14" spans="1:12" x14ac:dyDescent="0.3">
      <c r="A14" s="12" t="s">
        <v>34</v>
      </c>
      <c r="B14" s="13">
        <v>41270</v>
      </c>
      <c r="C14" s="14" t="s">
        <v>35</v>
      </c>
      <c r="D14" s="71">
        <f t="shared" si="0"/>
        <v>-1280000000</v>
      </c>
      <c r="E14" s="2">
        <v>1280000000</v>
      </c>
      <c r="F14" s="6">
        <v>0</v>
      </c>
      <c r="G14" s="6">
        <v>0</v>
      </c>
      <c r="H14" s="6">
        <v>0</v>
      </c>
      <c r="I14" s="15"/>
      <c r="J14" s="6">
        <v>-1280000000</v>
      </c>
      <c r="K14" s="6">
        <v>-1280000000</v>
      </c>
      <c r="L14" s="79">
        <f t="shared" si="1"/>
        <v>-14768101864.505909</v>
      </c>
    </row>
    <row r="15" spans="1:12" x14ac:dyDescent="0.3">
      <c r="A15" s="12" t="s">
        <v>34</v>
      </c>
      <c r="B15" s="13">
        <v>41331</v>
      </c>
      <c r="C15" s="14" t="s">
        <v>35</v>
      </c>
      <c r="D15" s="71">
        <f t="shared" si="0"/>
        <v>-320000000</v>
      </c>
      <c r="E15" s="2">
        <v>320000000</v>
      </c>
      <c r="F15" s="6">
        <v>0</v>
      </c>
      <c r="G15" s="6">
        <v>0</v>
      </c>
      <c r="H15" s="6">
        <v>0</v>
      </c>
      <c r="I15" s="15"/>
      <c r="J15" s="6">
        <v>-320000000</v>
      </c>
      <c r="K15" s="6">
        <v>-320000000</v>
      </c>
      <c r="L15" s="79">
        <f t="shared" si="1"/>
        <v>-15279275730.006138</v>
      </c>
    </row>
    <row r="16" spans="1:12" x14ac:dyDescent="0.3">
      <c r="A16" s="12" t="s">
        <v>34</v>
      </c>
      <c r="B16" s="13">
        <v>41388</v>
      </c>
      <c r="C16" s="14" t="s">
        <v>35</v>
      </c>
      <c r="D16" s="71">
        <f t="shared" si="0"/>
        <v>-992000000</v>
      </c>
      <c r="E16" s="2">
        <v>992000000</v>
      </c>
      <c r="F16" s="6">
        <v>0</v>
      </c>
      <c r="G16" s="6">
        <v>0</v>
      </c>
      <c r="H16" s="6">
        <v>0</v>
      </c>
      <c r="I16" s="15"/>
      <c r="J16" s="6">
        <v>-992000000</v>
      </c>
      <c r="K16" s="6">
        <v>-992000000</v>
      </c>
      <c r="L16" s="79">
        <f t="shared" si="1"/>
        <v>-16456018779.299902</v>
      </c>
    </row>
    <row r="17" spans="1:13" x14ac:dyDescent="0.3">
      <c r="A17" s="12" t="s">
        <v>34</v>
      </c>
      <c r="B17" s="13">
        <v>41453</v>
      </c>
      <c r="C17" s="14" t="s">
        <v>35</v>
      </c>
      <c r="D17" s="71">
        <f t="shared" si="0"/>
        <v>-3145000000</v>
      </c>
      <c r="E17" s="2">
        <v>3145000000</v>
      </c>
      <c r="F17" s="6">
        <v>0</v>
      </c>
      <c r="G17" s="6">
        <v>0</v>
      </c>
      <c r="H17" s="6">
        <v>0</v>
      </c>
      <c r="I17" s="15"/>
      <c r="J17" s="6">
        <v>-3145000000</v>
      </c>
      <c r="K17" s="6">
        <v>-3145000000</v>
      </c>
      <c r="L17" s="79">
        <f t="shared" si="1"/>
        <v>-19828107564.761108</v>
      </c>
    </row>
    <row r="18" spans="1:13" x14ac:dyDescent="0.3">
      <c r="A18" s="12" t="s">
        <v>34</v>
      </c>
      <c r="B18" s="13">
        <v>41554</v>
      </c>
      <c r="C18" s="14" t="s">
        <v>35</v>
      </c>
      <c r="D18" s="71">
        <f t="shared" si="0"/>
        <v>-215000000</v>
      </c>
      <c r="E18" s="2">
        <v>215000000</v>
      </c>
      <c r="F18" s="6">
        <v>0</v>
      </c>
      <c r="G18" s="6">
        <v>0</v>
      </c>
      <c r="H18" s="6">
        <v>0</v>
      </c>
      <c r="I18" s="15"/>
      <c r="J18" s="6">
        <v>-215000000</v>
      </c>
      <c r="K18" s="6">
        <v>-215000000</v>
      </c>
      <c r="L18" s="79">
        <f t="shared" si="1"/>
        <v>-20469896645.038879</v>
      </c>
    </row>
    <row r="19" spans="1:13" x14ac:dyDescent="0.3">
      <c r="A19" s="12" t="s">
        <v>34</v>
      </c>
      <c r="B19" s="13">
        <v>41578</v>
      </c>
      <c r="C19" s="14" t="s">
        <v>36</v>
      </c>
      <c r="D19" s="71">
        <f t="shared" si="0"/>
        <v>2900000000</v>
      </c>
      <c r="E19" s="2">
        <v>0</v>
      </c>
      <c r="F19" s="6">
        <v>2900000000</v>
      </c>
      <c r="G19" s="6">
        <v>0</v>
      </c>
      <c r="H19" s="6">
        <v>2900000000</v>
      </c>
      <c r="I19" s="15"/>
      <c r="J19" s="6">
        <v>2900000000</v>
      </c>
      <c r="K19" s="6">
        <v>2900000000</v>
      </c>
      <c r="L19" s="79">
        <f t="shared" si="1"/>
        <v>-17673746115.879662</v>
      </c>
    </row>
    <row r="20" spans="1:13" x14ac:dyDescent="0.3">
      <c r="A20" s="12" t="s">
        <v>34</v>
      </c>
      <c r="B20" s="13">
        <v>41642</v>
      </c>
      <c r="C20" s="14" t="s">
        <v>35</v>
      </c>
      <c r="D20" s="71">
        <f t="shared" si="0"/>
        <v>-1280000000</v>
      </c>
      <c r="E20" s="2">
        <v>1280000000</v>
      </c>
      <c r="F20" s="6">
        <v>0</v>
      </c>
      <c r="G20" s="6">
        <v>0</v>
      </c>
      <c r="H20" s="6">
        <v>0</v>
      </c>
      <c r="I20" s="15"/>
      <c r="J20" s="6">
        <v>-1280000000</v>
      </c>
      <c r="K20" s="6">
        <v>-1280000000</v>
      </c>
      <c r="L20" s="79">
        <f t="shared" si="1"/>
        <v>-19193861647.539536</v>
      </c>
    </row>
    <row r="21" spans="1:13" x14ac:dyDescent="0.3">
      <c r="A21" s="12" t="s">
        <v>34</v>
      </c>
      <c r="B21" s="13">
        <v>41662</v>
      </c>
      <c r="C21" s="14" t="s">
        <v>35</v>
      </c>
      <c r="D21" s="71">
        <f t="shared" si="0"/>
        <v>-2880000000</v>
      </c>
      <c r="E21" s="2">
        <v>2880000000</v>
      </c>
      <c r="F21" s="6">
        <v>0</v>
      </c>
      <c r="G21" s="6">
        <v>0</v>
      </c>
      <c r="H21" s="6">
        <v>0</v>
      </c>
      <c r="I21" s="15"/>
      <c r="J21" s="6">
        <v>-2880000000</v>
      </c>
      <c r="K21" s="6">
        <v>-2880000000</v>
      </c>
      <c r="L21" s="79">
        <f t="shared" si="1"/>
        <v>-22154973900.899345</v>
      </c>
    </row>
    <row r="22" spans="1:13" x14ac:dyDescent="0.3">
      <c r="A22" s="12" t="s">
        <v>34</v>
      </c>
      <c r="B22" s="13">
        <v>41968</v>
      </c>
      <c r="C22" s="14" t="s">
        <v>35</v>
      </c>
      <c r="D22" s="71">
        <f t="shared" si="0"/>
        <v>-2880000000</v>
      </c>
      <c r="E22" s="2">
        <v>2880000000</v>
      </c>
      <c r="F22" s="6">
        <v>0</v>
      </c>
      <c r="G22" s="6">
        <v>0</v>
      </c>
      <c r="H22" s="6">
        <v>0</v>
      </c>
      <c r="I22" s="15"/>
      <c r="J22" s="6">
        <v>-2880000000</v>
      </c>
      <c r="K22" s="6">
        <v>-2880000000</v>
      </c>
      <c r="L22" s="79">
        <f t="shared" si="1"/>
        <v>-26511552510.871624</v>
      </c>
    </row>
    <row r="23" spans="1:13" x14ac:dyDescent="0.3">
      <c r="A23" s="12" t="s">
        <v>34</v>
      </c>
      <c r="B23" s="13">
        <v>42109</v>
      </c>
      <c r="C23" s="14" t="s">
        <v>36</v>
      </c>
      <c r="D23" s="71">
        <f t="shared" si="0"/>
        <v>7200000000</v>
      </c>
      <c r="E23" s="2">
        <v>0</v>
      </c>
      <c r="F23" s="6">
        <v>1300000000</v>
      </c>
      <c r="G23" s="6">
        <v>5900000000</v>
      </c>
      <c r="H23" s="6">
        <v>7200000000</v>
      </c>
      <c r="I23" s="15"/>
      <c r="J23" s="6">
        <v>7200000000</v>
      </c>
      <c r="K23" s="6">
        <v>7200000000</v>
      </c>
      <c r="L23" s="79">
        <f t="shared" si="1"/>
        <v>-20111578616.443806</v>
      </c>
    </row>
    <row r="24" spans="1:13" x14ac:dyDescent="0.3">
      <c r="A24" s="12" t="s">
        <v>34</v>
      </c>
      <c r="B24" s="13">
        <v>42121</v>
      </c>
      <c r="C24" s="14" t="s">
        <v>36</v>
      </c>
      <c r="D24" s="71">
        <f t="shared" si="0"/>
        <v>2600000000</v>
      </c>
      <c r="E24" s="2">
        <v>0</v>
      </c>
      <c r="F24" s="6">
        <v>2600000000</v>
      </c>
      <c r="G24" s="6">
        <v>0</v>
      </c>
      <c r="H24" s="6">
        <v>2600000000</v>
      </c>
      <c r="I24" s="15"/>
      <c r="J24" s="6">
        <v>2600000000</v>
      </c>
      <c r="K24" s="6">
        <v>2600000000</v>
      </c>
      <c r="L24" s="79">
        <f t="shared" si="1"/>
        <v>-17562529887.693577</v>
      </c>
    </row>
    <row r="25" spans="1:13" x14ac:dyDescent="0.3">
      <c r="A25" s="12" t="s">
        <v>34</v>
      </c>
      <c r="B25" s="13">
        <v>42139</v>
      </c>
      <c r="C25" s="14" t="s">
        <v>35</v>
      </c>
      <c r="D25" s="71">
        <f t="shared" si="0"/>
        <v>-3520000000</v>
      </c>
      <c r="E25" s="2">
        <v>3520000000</v>
      </c>
      <c r="F25" s="6">
        <v>0</v>
      </c>
      <c r="G25" s="6">
        <v>0</v>
      </c>
      <c r="H25" s="6">
        <v>0</v>
      </c>
      <c r="I25" s="15"/>
      <c r="J25" s="6">
        <v>-3520000000</v>
      </c>
      <c r="K25" s="6">
        <v>-3520000000</v>
      </c>
      <c r="L25" s="79">
        <f t="shared" si="1"/>
        <v>-21149312293.347645</v>
      </c>
    </row>
    <row r="26" spans="1:13" x14ac:dyDescent="0.3">
      <c r="A26" s="12" t="s">
        <v>34</v>
      </c>
      <c r="B26" s="13">
        <v>42174</v>
      </c>
      <c r="C26" s="14" t="s">
        <v>35</v>
      </c>
      <c r="D26" s="71">
        <f t="shared" si="0"/>
        <v>-3200000000</v>
      </c>
      <c r="E26" s="2">
        <v>3200000000</v>
      </c>
      <c r="F26" s="6">
        <v>0</v>
      </c>
      <c r="G26" s="6">
        <v>0</v>
      </c>
      <c r="H26" s="6">
        <v>0</v>
      </c>
      <c r="I26" s="15"/>
      <c r="J26" s="6">
        <v>-3200000000</v>
      </c>
      <c r="K26" s="6">
        <v>-3200000000</v>
      </c>
      <c r="L26" s="79">
        <f t="shared" si="1"/>
        <v>-24505967869.639633</v>
      </c>
    </row>
    <row r="27" spans="1:13" x14ac:dyDescent="0.3">
      <c r="A27" s="12" t="s">
        <v>34</v>
      </c>
      <c r="B27" s="13">
        <v>42212</v>
      </c>
      <c r="C27" s="14" t="s">
        <v>36</v>
      </c>
      <c r="D27" s="71">
        <f t="shared" si="0"/>
        <v>7800000000</v>
      </c>
      <c r="E27" s="2">
        <v>0</v>
      </c>
      <c r="F27" s="6">
        <v>2200000000</v>
      </c>
      <c r="G27" s="6">
        <v>5600000000</v>
      </c>
      <c r="H27" s="6">
        <v>7800000000</v>
      </c>
      <c r="I27" s="15"/>
      <c r="J27" s="6">
        <v>7800000000</v>
      </c>
      <c r="K27" s="6">
        <v>7800000000</v>
      </c>
      <c r="L27" s="79">
        <f t="shared" si="1"/>
        <v>-16903107779.933426</v>
      </c>
    </row>
    <row r="28" spans="1:13" x14ac:dyDescent="0.3">
      <c r="A28" s="12" t="s">
        <v>34</v>
      </c>
      <c r="B28" s="13">
        <v>42254</v>
      </c>
      <c r="C28" s="14" t="s">
        <v>36</v>
      </c>
      <c r="D28" s="71">
        <f t="shared" si="0"/>
        <v>1800000000</v>
      </c>
      <c r="E28" s="2">
        <v>0</v>
      </c>
      <c r="F28" s="6">
        <v>1200000000</v>
      </c>
      <c r="G28" s="6">
        <v>600000000</v>
      </c>
      <c r="H28" s="6">
        <v>1800000000</v>
      </c>
      <c r="I28" s="15"/>
      <c r="J28" s="6">
        <v>1800000000</v>
      </c>
      <c r="K28" s="6">
        <v>1800000000</v>
      </c>
      <c r="L28" s="79">
        <f t="shared" si="1"/>
        <v>-15253462944.59877</v>
      </c>
    </row>
    <row r="29" spans="1:13" x14ac:dyDescent="0.3">
      <c r="A29" s="12" t="s">
        <v>34</v>
      </c>
      <c r="B29" s="13">
        <v>42285</v>
      </c>
      <c r="C29" s="14" t="s">
        <v>36</v>
      </c>
      <c r="D29" s="71">
        <f t="shared" si="0"/>
        <v>3100000000</v>
      </c>
      <c r="E29" s="2">
        <v>0</v>
      </c>
      <c r="F29" s="6">
        <v>2800000000</v>
      </c>
      <c r="G29" s="6">
        <v>300000000</v>
      </c>
      <c r="H29" s="6">
        <v>3100000000</v>
      </c>
      <c r="I29" s="15"/>
      <c r="J29" s="6">
        <v>3100000000</v>
      </c>
      <c r="K29" s="6">
        <v>3100000000</v>
      </c>
      <c r="L29" s="79">
        <f t="shared" si="1"/>
        <v>-12253492503.352453</v>
      </c>
    </row>
    <row r="30" spans="1:13" x14ac:dyDescent="0.3">
      <c r="A30" s="12" t="s">
        <v>34</v>
      </c>
      <c r="B30" s="13">
        <v>42383</v>
      </c>
      <c r="C30" s="14" t="s">
        <v>36</v>
      </c>
      <c r="D30" s="71">
        <f t="shared" si="0"/>
        <v>6200000000</v>
      </c>
      <c r="E30" s="2">
        <v>0</v>
      </c>
      <c r="F30" s="6">
        <v>1600000000</v>
      </c>
      <c r="G30" s="6">
        <v>4600000000</v>
      </c>
      <c r="H30" s="6">
        <v>6200000000</v>
      </c>
      <c r="I30" s="15"/>
      <c r="J30" s="6">
        <v>6200000000</v>
      </c>
      <c r="K30" s="6">
        <v>6200000000</v>
      </c>
      <c r="L30" s="79">
        <f t="shared" si="1"/>
        <v>-6309326812.5681343</v>
      </c>
    </row>
    <row r="31" spans="1:13" x14ac:dyDescent="0.3">
      <c r="A31" s="12" t="s">
        <v>34</v>
      </c>
      <c r="B31" s="13">
        <v>42431</v>
      </c>
      <c r="C31" s="14" t="s">
        <v>36</v>
      </c>
      <c r="D31" s="71">
        <f t="shared" si="0"/>
        <v>1000000000</v>
      </c>
      <c r="E31" s="2">
        <v>0</v>
      </c>
      <c r="F31" s="6">
        <v>1000000000</v>
      </c>
      <c r="G31" s="6">
        <v>0</v>
      </c>
      <c r="H31" s="6">
        <v>1000000000</v>
      </c>
      <c r="I31" s="15"/>
      <c r="J31" s="6">
        <v>1000000000</v>
      </c>
      <c r="K31" s="6">
        <v>1000000000</v>
      </c>
      <c r="L31" s="79">
        <f t="shared" si="1"/>
        <v>-5373507137.4023895</v>
      </c>
    </row>
    <row r="32" spans="1:13" x14ac:dyDescent="0.3">
      <c r="A32" s="17" t="s">
        <v>34</v>
      </c>
      <c r="B32" s="18">
        <v>42559</v>
      </c>
      <c r="C32" s="19" t="s">
        <v>36</v>
      </c>
      <c r="D32" s="71">
        <f t="shared" si="0"/>
        <v>9600000000</v>
      </c>
      <c r="E32" s="3"/>
      <c r="F32" s="21">
        <v>9600000000</v>
      </c>
      <c r="G32" s="20">
        <v>0</v>
      </c>
      <c r="H32" s="21">
        <v>9600000000</v>
      </c>
      <c r="I32" s="22">
        <v>815898416</v>
      </c>
      <c r="J32" s="21">
        <v>8784101584</v>
      </c>
      <c r="K32" s="6">
        <v>9600000000</v>
      </c>
      <c r="L32" s="23">
        <v>4079492077.5239544</v>
      </c>
      <c r="M32" s="70" t="s">
        <v>43</v>
      </c>
    </row>
    <row r="33" spans="1:13" x14ac:dyDescent="0.3">
      <c r="A33" s="56" t="s">
        <v>34</v>
      </c>
      <c r="B33" s="57">
        <v>42681</v>
      </c>
      <c r="C33" s="58" t="s">
        <v>36</v>
      </c>
      <c r="D33" s="71">
        <f t="shared" si="0"/>
        <v>1900000000</v>
      </c>
      <c r="E33" s="59"/>
      <c r="F33" s="51">
        <v>1900000000</v>
      </c>
      <c r="G33" s="60">
        <v>0</v>
      </c>
      <c r="H33" s="51">
        <v>1900000000</v>
      </c>
      <c r="I33" s="61">
        <v>380000000</v>
      </c>
      <c r="J33" s="51">
        <v>1520000000</v>
      </c>
      <c r="K33" s="51">
        <v>1900000000</v>
      </c>
      <c r="L33" s="62">
        <v>1900000000</v>
      </c>
      <c r="M33" s="70" t="s">
        <v>43</v>
      </c>
    </row>
    <row r="34" spans="1:13" x14ac:dyDescent="0.3">
      <c r="A34" s="24" t="s">
        <v>34</v>
      </c>
      <c r="B34" s="25">
        <v>42698</v>
      </c>
      <c r="C34" s="26" t="s">
        <v>36</v>
      </c>
      <c r="D34" s="71">
        <f t="shared" si="0"/>
        <v>1640000000</v>
      </c>
      <c r="E34" s="52"/>
      <c r="F34" s="28">
        <v>1640000000</v>
      </c>
      <c r="G34" s="27">
        <v>0</v>
      </c>
      <c r="H34" s="28">
        <v>1640000000</v>
      </c>
      <c r="I34" s="29">
        <v>328000000</v>
      </c>
      <c r="J34" s="28">
        <v>1312000000</v>
      </c>
      <c r="K34" s="43">
        <v>1640000000</v>
      </c>
      <c r="L34" s="42">
        <v>1640000000</v>
      </c>
      <c r="M34" s="70" t="s">
        <v>43</v>
      </c>
    </row>
    <row r="35" spans="1:13" x14ac:dyDescent="0.3">
      <c r="A35" s="45"/>
      <c r="B35" s="46"/>
      <c r="C35" s="47"/>
      <c r="D35" s="48">
        <f>SUM(D4:D34)</f>
        <v>13740000000</v>
      </c>
      <c r="E35" s="53"/>
      <c r="F35" s="81">
        <f>SUM(F4:F34)</f>
        <v>28740000000</v>
      </c>
      <c r="G35" s="81">
        <f>SUM(G4:G34)</f>
        <v>17000000000</v>
      </c>
      <c r="H35" s="81">
        <f>SUM(H4:H34)</f>
        <v>45740000000</v>
      </c>
      <c r="I35" s="81">
        <f>SUM(I4:I34)</f>
        <v>1523898416</v>
      </c>
      <c r="J35" s="49"/>
      <c r="K35" s="50"/>
      <c r="L35" s="44"/>
    </row>
    <row r="36" spans="1:13" x14ac:dyDescent="0.3">
      <c r="A36" s="30"/>
      <c r="B36" s="31"/>
      <c r="C36" s="32" t="s">
        <v>37</v>
      </c>
      <c r="D36" s="33">
        <f>XIRR(D4:D34,B4:B34)</f>
        <v>0.1529899895191193</v>
      </c>
      <c r="E36" s="54" t="s">
        <v>38</v>
      </c>
      <c r="F36" s="34">
        <v>0.13993493914604185</v>
      </c>
      <c r="G36" s="30"/>
      <c r="H36" s="35"/>
      <c r="I36" s="30"/>
      <c r="J36" s="30"/>
      <c r="K36" s="80">
        <f>XIRR(K4:K34,B4:B34)</f>
        <v>0.1529899895191193</v>
      </c>
      <c r="L36" s="36"/>
    </row>
    <row r="37" spans="1:13" x14ac:dyDescent="0.3">
      <c r="A37" s="30"/>
      <c r="B37" s="31"/>
      <c r="C37" s="32" t="s">
        <v>39</v>
      </c>
      <c r="D37" s="33">
        <v>0.42937500000000001</v>
      </c>
      <c r="E37" s="54" t="s">
        <v>40</v>
      </c>
      <c r="F37" s="34">
        <v>0.38175317450000001</v>
      </c>
      <c r="G37" s="30"/>
      <c r="H37" s="30"/>
      <c r="I37" s="30"/>
      <c r="J37" s="30"/>
      <c r="K37" s="30"/>
      <c r="L37" s="30"/>
    </row>
    <row r="38" spans="1:13" x14ac:dyDescent="0.3">
      <c r="A38" s="30"/>
      <c r="B38" s="31"/>
      <c r="C38" s="37" t="s">
        <v>41</v>
      </c>
      <c r="D38" s="38">
        <v>1640000000</v>
      </c>
      <c r="E38" s="55"/>
      <c r="F38" s="30"/>
      <c r="G38" s="39"/>
      <c r="H38" s="36"/>
      <c r="I38" s="30"/>
      <c r="J38" s="30"/>
      <c r="K38" s="30"/>
      <c r="L38" s="30"/>
    </row>
    <row r="39" spans="1:13" x14ac:dyDescent="0.3">
      <c r="A39" s="30"/>
      <c r="B39" s="31"/>
      <c r="C39" s="37" t="s">
        <v>42</v>
      </c>
      <c r="D39" s="38">
        <f>D38*20%</f>
        <v>328000000</v>
      </c>
      <c r="E39" s="66">
        <v>0.2</v>
      </c>
      <c r="F39" s="30"/>
      <c r="G39" s="30"/>
      <c r="H39" s="30"/>
      <c r="I39" s="30"/>
      <c r="J39" s="30"/>
      <c r="K39" s="30"/>
      <c r="L39" s="30"/>
    </row>
    <row r="40" spans="1:13" x14ac:dyDescent="0.3">
      <c r="A40" s="4"/>
      <c r="B40" s="4"/>
      <c r="C40" s="4"/>
      <c r="D40" s="36"/>
      <c r="F40" s="40"/>
      <c r="G40" s="41"/>
      <c r="H40" s="4"/>
      <c r="I40" s="4"/>
      <c r="J40" s="4"/>
      <c r="K40" s="4"/>
      <c r="L40" s="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3"/>
  <sheetViews>
    <sheetView showGridLines="0" tabSelected="1" view="pageBreakPreview" zoomScaleNormal="100" zoomScaleSheetLayoutView="100" workbookViewId="0">
      <selection activeCell="E16" sqref="E16"/>
    </sheetView>
  </sheetViews>
  <sheetFormatPr defaultRowHeight="12" x14ac:dyDescent="0.15"/>
  <cols>
    <col min="1" max="1" width="17.75" style="113" customWidth="1"/>
    <col min="2" max="2" width="16.25" style="113" customWidth="1"/>
    <col min="3" max="3" width="31.75" style="113" customWidth="1"/>
    <col min="4" max="4" width="26.5" style="114" bestFit="1" customWidth="1"/>
    <col min="5" max="5" width="16.25" style="113" customWidth="1"/>
    <col min="6" max="6" width="18.75" style="113" customWidth="1"/>
    <col min="7" max="7" width="16.75" style="114" customWidth="1"/>
    <col min="8" max="8" width="12.125" style="115" bestFit="1" customWidth="1"/>
    <col min="9" max="9" width="10.75" style="113" bestFit="1" customWidth="1"/>
    <col min="10" max="10" width="12.875" style="113" bestFit="1" customWidth="1"/>
    <col min="11" max="11" width="17.25" style="113" customWidth="1"/>
    <col min="12" max="12" width="10.75" style="113" bestFit="1" customWidth="1"/>
    <col min="13" max="256" width="9" style="113"/>
    <col min="257" max="257" width="17.75" style="113" customWidth="1"/>
    <col min="258" max="258" width="16.25" style="113" customWidth="1"/>
    <col min="259" max="259" width="31.75" style="113" customWidth="1"/>
    <col min="260" max="260" width="26.5" style="113" bestFit="1" customWidth="1"/>
    <col min="261" max="261" width="16.25" style="113" customWidth="1"/>
    <col min="262" max="262" width="18.75" style="113" customWidth="1"/>
    <col min="263" max="263" width="16.75" style="113" customWidth="1"/>
    <col min="264" max="264" width="12.125" style="113" bestFit="1" customWidth="1"/>
    <col min="265" max="265" width="10.75" style="113" bestFit="1" customWidth="1"/>
    <col min="266" max="266" width="12.875" style="113" bestFit="1" customWidth="1"/>
    <col min="267" max="267" width="17.25" style="113" customWidth="1"/>
    <col min="268" max="268" width="10.75" style="113" bestFit="1" customWidth="1"/>
    <col min="269" max="512" width="9" style="113"/>
    <col min="513" max="513" width="17.75" style="113" customWidth="1"/>
    <col min="514" max="514" width="16.25" style="113" customWidth="1"/>
    <col min="515" max="515" width="31.75" style="113" customWidth="1"/>
    <col min="516" max="516" width="26.5" style="113" bestFit="1" customWidth="1"/>
    <col min="517" max="517" width="16.25" style="113" customWidth="1"/>
    <col min="518" max="518" width="18.75" style="113" customWidth="1"/>
    <col min="519" max="519" width="16.75" style="113" customWidth="1"/>
    <col min="520" max="520" width="12.125" style="113" bestFit="1" customWidth="1"/>
    <col min="521" max="521" width="10.75" style="113" bestFit="1" customWidth="1"/>
    <col min="522" max="522" width="12.875" style="113" bestFit="1" customWidth="1"/>
    <col min="523" max="523" width="17.25" style="113" customWidth="1"/>
    <col min="524" max="524" width="10.75" style="113" bestFit="1" customWidth="1"/>
    <col min="525" max="768" width="9" style="113"/>
    <col min="769" max="769" width="17.75" style="113" customWidth="1"/>
    <col min="770" max="770" width="16.25" style="113" customWidth="1"/>
    <col min="771" max="771" width="31.75" style="113" customWidth="1"/>
    <col min="772" max="772" width="26.5" style="113" bestFit="1" customWidth="1"/>
    <col min="773" max="773" width="16.25" style="113" customWidth="1"/>
    <col min="774" max="774" width="18.75" style="113" customWidth="1"/>
    <col min="775" max="775" width="16.75" style="113" customWidth="1"/>
    <col min="776" max="776" width="12.125" style="113" bestFit="1" customWidth="1"/>
    <col min="777" max="777" width="10.75" style="113" bestFit="1" customWidth="1"/>
    <col min="778" max="778" width="12.875" style="113" bestFit="1" customWidth="1"/>
    <col min="779" max="779" width="17.25" style="113" customWidth="1"/>
    <col min="780" max="780" width="10.75" style="113" bestFit="1" customWidth="1"/>
    <col min="781" max="1024" width="9" style="113"/>
    <col min="1025" max="1025" width="17.75" style="113" customWidth="1"/>
    <col min="1026" max="1026" width="16.25" style="113" customWidth="1"/>
    <col min="1027" max="1027" width="31.75" style="113" customWidth="1"/>
    <col min="1028" max="1028" width="26.5" style="113" bestFit="1" customWidth="1"/>
    <col min="1029" max="1029" width="16.25" style="113" customWidth="1"/>
    <col min="1030" max="1030" width="18.75" style="113" customWidth="1"/>
    <col min="1031" max="1031" width="16.75" style="113" customWidth="1"/>
    <col min="1032" max="1032" width="12.125" style="113" bestFit="1" customWidth="1"/>
    <col min="1033" max="1033" width="10.75" style="113" bestFit="1" customWidth="1"/>
    <col min="1034" max="1034" width="12.875" style="113" bestFit="1" customWidth="1"/>
    <col min="1035" max="1035" width="17.25" style="113" customWidth="1"/>
    <col min="1036" max="1036" width="10.75" style="113" bestFit="1" customWidth="1"/>
    <col min="1037" max="1280" width="9" style="113"/>
    <col min="1281" max="1281" width="17.75" style="113" customWidth="1"/>
    <col min="1282" max="1282" width="16.25" style="113" customWidth="1"/>
    <col min="1283" max="1283" width="31.75" style="113" customWidth="1"/>
    <col min="1284" max="1284" width="26.5" style="113" bestFit="1" customWidth="1"/>
    <col min="1285" max="1285" width="16.25" style="113" customWidth="1"/>
    <col min="1286" max="1286" width="18.75" style="113" customWidth="1"/>
    <col min="1287" max="1287" width="16.75" style="113" customWidth="1"/>
    <col min="1288" max="1288" width="12.125" style="113" bestFit="1" customWidth="1"/>
    <col min="1289" max="1289" width="10.75" style="113" bestFit="1" customWidth="1"/>
    <col min="1290" max="1290" width="12.875" style="113" bestFit="1" customWidth="1"/>
    <col min="1291" max="1291" width="17.25" style="113" customWidth="1"/>
    <col min="1292" max="1292" width="10.75" style="113" bestFit="1" customWidth="1"/>
    <col min="1293" max="1536" width="9" style="113"/>
    <col min="1537" max="1537" width="17.75" style="113" customWidth="1"/>
    <col min="1538" max="1538" width="16.25" style="113" customWidth="1"/>
    <col min="1539" max="1539" width="31.75" style="113" customWidth="1"/>
    <col min="1540" max="1540" width="26.5" style="113" bestFit="1" customWidth="1"/>
    <col min="1541" max="1541" width="16.25" style="113" customWidth="1"/>
    <col min="1542" max="1542" width="18.75" style="113" customWidth="1"/>
    <col min="1543" max="1543" width="16.75" style="113" customWidth="1"/>
    <col min="1544" max="1544" width="12.125" style="113" bestFit="1" customWidth="1"/>
    <col min="1545" max="1545" width="10.75" style="113" bestFit="1" customWidth="1"/>
    <col min="1546" max="1546" width="12.875" style="113" bestFit="1" customWidth="1"/>
    <col min="1547" max="1547" width="17.25" style="113" customWidth="1"/>
    <col min="1548" max="1548" width="10.75" style="113" bestFit="1" customWidth="1"/>
    <col min="1549" max="1792" width="9" style="113"/>
    <col min="1793" max="1793" width="17.75" style="113" customWidth="1"/>
    <col min="1794" max="1794" width="16.25" style="113" customWidth="1"/>
    <col min="1795" max="1795" width="31.75" style="113" customWidth="1"/>
    <col min="1796" max="1796" width="26.5" style="113" bestFit="1" customWidth="1"/>
    <col min="1797" max="1797" width="16.25" style="113" customWidth="1"/>
    <col min="1798" max="1798" width="18.75" style="113" customWidth="1"/>
    <col min="1799" max="1799" width="16.75" style="113" customWidth="1"/>
    <col min="1800" max="1800" width="12.125" style="113" bestFit="1" customWidth="1"/>
    <col min="1801" max="1801" width="10.75" style="113" bestFit="1" customWidth="1"/>
    <col min="1802" max="1802" width="12.875" style="113" bestFit="1" customWidth="1"/>
    <col min="1803" max="1803" width="17.25" style="113" customWidth="1"/>
    <col min="1804" max="1804" width="10.75" style="113" bestFit="1" customWidth="1"/>
    <col min="1805" max="2048" width="9" style="113"/>
    <col min="2049" max="2049" width="17.75" style="113" customWidth="1"/>
    <col min="2050" max="2050" width="16.25" style="113" customWidth="1"/>
    <col min="2051" max="2051" width="31.75" style="113" customWidth="1"/>
    <col min="2052" max="2052" width="26.5" style="113" bestFit="1" customWidth="1"/>
    <col min="2053" max="2053" width="16.25" style="113" customWidth="1"/>
    <col min="2054" max="2054" width="18.75" style="113" customWidth="1"/>
    <col min="2055" max="2055" width="16.75" style="113" customWidth="1"/>
    <col min="2056" max="2056" width="12.125" style="113" bestFit="1" customWidth="1"/>
    <col min="2057" max="2057" width="10.75" style="113" bestFit="1" customWidth="1"/>
    <col min="2058" max="2058" width="12.875" style="113" bestFit="1" customWidth="1"/>
    <col min="2059" max="2059" width="17.25" style="113" customWidth="1"/>
    <col min="2060" max="2060" width="10.75" style="113" bestFit="1" customWidth="1"/>
    <col min="2061" max="2304" width="9" style="113"/>
    <col min="2305" max="2305" width="17.75" style="113" customWidth="1"/>
    <col min="2306" max="2306" width="16.25" style="113" customWidth="1"/>
    <col min="2307" max="2307" width="31.75" style="113" customWidth="1"/>
    <col min="2308" max="2308" width="26.5" style="113" bestFit="1" customWidth="1"/>
    <col min="2309" max="2309" width="16.25" style="113" customWidth="1"/>
    <col min="2310" max="2310" width="18.75" style="113" customWidth="1"/>
    <col min="2311" max="2311" width="16.75" style="113" customWidth="1"/>
    <col min="2312" max="2312" width="12.125" style="113" bestFit="1" customWidth="1"/>
    <col min="2313" max="2313" width="10.75" style="113" bestFit="1" customWidth="1"/>
    <col min="2314" max="2314" width="12.875" style="113" bestFit="1" customWidth="1"/>
    <col min="2315" max="2315" width="17.25" style="113" customWidth="1"/>
    <col min="2316" max="2316" width="10.75" style="113" bestFit="1" customWidth="1"/>
    <col min="2317" max="2560" width="9" style="113"/>
    <col min="2561" max="2561" width="17.75" style="113" customWidth="1"/>
    <col min="2562" max="2562" width="16.25" style="113" customWidth="1"/>
    <col min="2563" max="2563" width="31.75" style="113" customWidth="1"/>
    <col min="2564" max="2564" width="26.5" style="113" bestFit="1" customWidth="1"/>
    <col min="2565" max="2565" width="16.25" style="113" customWidth="1"/>
    <col min="2566" max="2566" width="18.75" style="113" customWidth="1"/>
    <col min="2567" max="2567" width="16.75" style="113" customWidth="1"/>
    <col min="2568" max="2568" width="12.125" style="113" bestFit="1" customWidth="1"/>
    <col min="2569" max="2569" width="10.75" style="113" bestFit="1" customWidth="1"/>
    <col min="2570" max="2570" width="12.875" style="113" bestFit="1" customWidth="1"/>
    <col min="2571" max="2571" width="17.25" style="113" customWidth="1"/>
    <col min="2572" max="2572" width="10.75" style="113" bestFit="1" customWidth="1"/>
    <col min="2573" max="2816" width="9" style="113"/>
    <col min="2817" max="2817" width="17.75" style="113" customWidth="1"/>
    <col min="2818" max="2818" width="16.25" style="113" customWidth="1"/>
    <col min="2819" max="2819" width="31.75" style="113" customWidth="1"/>
    <col min="2820" max="2820" width="26.5" style="113" bestFit="1" customWidth="1"/>
    <col min="2821" max="2821" width="16.25" style="113" customWidth="1"/>
    <col min="2822" max="2822" width="18.75" style="113" customWidth="1"/>
    <col min="2823" max="2823" width="16.75" style="113" customWidth="1"/>
    <col min="2824" max="2824" width="12.125" style="113" bestFit="1" customWidth="1"/>
    <col min="2825" max="2825" width="10.75" style="113" bestFit="1" customWidth="1"/>
    <col min="2826" max="2826" width="12.875" style="113" bestFit="1" customWidth="1"/>
    <col min="2827" max="2827" width="17.25" style="113" customWidth="1"/>
    <col min="2828" max="2828" width="10.75" style="113" bestFit="1" customWidth="1"/>
    <col min="2829" max="3072" width="9" style="113"/>
    <col min="3073" max="3073" width="17.75" style="113" customWidth="1"/>
    <col min="3074" max="3074" width="16.25" style="113" customWidth="1"/>
    <col min="3075" max="3075" width="31.75" style="113" customWidth="1"/>
    <col min="3076" max="3076" width="26.5" style="113" bestFit="1" customWidth="1"/>
    <col min="3077" max="3077" width="16.25" style="113" customWidth="1"/>
    <col min="3078" max="3078" width="18.75" style="113" customWidth="1"/>
    <col min="3079" max="3079" width="16.75" style="113" customWidth="1"/>
    <col min="3080" max="3080" width="12.125" style="113" bestFit="1" customWidth="1"/>
    <col min="3081" max="3081" width="10.75" style="113" bestFit="1" customWidth="1"/>
    <col min="3082" max="3082" width="12.875" style="113" bestFit="1" customWidth="1"/>
    <col min="3083" max="3083" width="17.25" style="113" customWidth="1"/>
    <col min="3084" max="3084" width="10.75" style="113" bestFit="1" customWidth="1"/>
    <col min="3085" max="3328" width="9" style="113"/>
    <col min="3329" max="3329" width="17.75" style="113" customWidth="1"/>
    <col min="3330" max="3330" width="16.25" style="113" customWidth="1"/>
    <col min="3331" max="3331" width="31.75" style="113" customWidth="1"/>
    <col min="3332" max="3332" width="26.5" style="113" bestFit="1" customWidth="1"/>
    <col min="3333" max="3333" width="16.25" style="113" customWidth="1"/>
    <col min="3334" max="3334" width="18.75" style="113" customWidth="1"/>
    <col min="3335" max="3335" width="16.75" style="113" customWidth="1"/>
    <col min="3336" max="3336" width="12.125" style="113" bestFit="1" customWidth="1"/>
    <col min="3337" max="3337" width="10.75" style="113" bestFit="1" customWidth="1"/>
    <col min="3338" max="3338" width="12.875" style="113" bestFit="1" customWidth="1"/>
    <col min="3339" max="3339" width="17.25" style="113" customWidth="1"/>
    <col min="3340" max="3340" width="10.75" style="113" bestFit="1" customWidth="1"/>
    <col min="3341" max="3584" width="9" style="113"/>
    <col min="3585" max="3585" width="17.75" style="113" customWidth="1"/>
    <col min="3586" max="3586" width="16.25" style="113" customWidth="1"/>
    <col min="3587" max="3587" width="31.75" style="113" customWidth="1"/>
    <col min="3588" max="3588" width="26.5" style="113" bestFit="1" customWidth="1"/>
    <col min="3589" max="3589" width="16.25" style="113" customWidth="1"/>
    <col min="3590" max="3590" width="18.75" style="113" customWidth="1"/>
    <col min="3591" max="3591" width="16.75" style="113" customWidth="1"/>
    <col min="3592" max="3592" width="12.125" style="113" bestFit="1" customWidth="1"/>
    <col min="3593" max="3593" width="10.75" style="113" bestFit="1" customWidth="1"/>
    <col min="3594" max="3594" width="12.875" style="113" bestFit="1" customWidth="1"/>
    <col min="3595" max="3595" width="17.25" style="113" customWidth="1"/>
    <col min="3596" max="3596" width="10.75" style="113" bestFit="1" customWidth="1"/>
    <col min="3597" max="3840" width="9" style="113"/>
    <col min="3841" max="3841" width="17.75" style="113" customWidth="1"/>
    <col min="3842" max="3842" width="16.25" style="113" customWidth="1"/>
    <col min="3843" max="3843" width="31.75" style="113" customWidth="1"/>
    <col min="3844" max="3844" width="26.5" style="113" bestFit="1" customWidth="1"/>
    <col min="3845" max="3845" width="16.25" style="113" customWidth="1"/>
    <col min="3846" max="3846" width="18.75" style="113" customWidth="1"/>
    <col min="3847" max="3847" width="16.75" style="113" customWidth="1"/>
    <col min="3848" max="3848" width="12.125" style="113" bestFit="1" customWidth="1"/>
    <col min="3849" max="3849" width="10.75" style="113" bestFit="1" customWidth="1"/>
    <col min="3850" max="3850" width="12.875" style="113" bestFit="1" customWidth="1"/>
    <col min="3851" max="3851" width="17.25" style="113" customWidth="1"/>
    <col min="3852" max="3852" width="10.75" style="113" bestFit="1" customWidth="1"/>
    <col min="3853" max="4096" width="9" style="113"/>
    <col min="4097" max="4097" width="17.75" style="113" customWidth="1"/>
    <col min="4098" max="4098" width="16.25" style="113" customWidth="1"/>
    <col min="4099" max="4099" width="31.75" style="113" customWidth="1"/>
    <col min="4100" max="4100" width="26.5" style="113" bestFit="1" customWidth="1"/>
    <col min="4101" max="4101" width="16.25" style="113" customWidth="1"/>
    <col min="4102" max="4102" width="18.75" style="113" customWidth="1"/>
    <col min="4103" max="4103" width="16.75" style="113" customWidth="1"/>
    <col min="4104" max="4104" width="12.125" style="113" bestFit="1" customWidth="1"/>
    <col min="4105" max="4105" width="10.75" style="113" bestFit="1" customWidth="1"/>
    <col min="4106" max="4106" width="12.875" style="113" bestFit="1" customWidth="1"/>
    <col min="4107" max="4107" width="17.25" style="113" customWidth="1"/>
    <col min="4108" max="4108" width="10.75" style="113" bestFit="1" customWidth="1"/>
    <col min="4109" max="4352" width="9" style="113"/>
    <col min="4353" max="4353" width="17.75" style="113" customWidth="1"/>
    <col min="4354" max="4354" width="16.25" style="113" customWidth="1"/>
    <col min="4355" max="4355" width="31.75" style="113" customWidth="1"/>
    <col min="4356" max="4356" width="26.5" style="113" bestFit="1" customWidth="1"/>
    <col min="4357" max="4357" width="16.25" style="113" customWidth="1"/>
    <col min="4358" max="4358" width="18.75" style="113" customWidth="1"/>
    <col min="4359" max="4359" width="16.75" style="113" customWidth="1"/>
    <col min="4360" max="4360" width="12.125" style="113" bestFit="1" customWidth="1"/>
    <col min="4361" max="4361" width="10.75" style="113" bestFit="1" customWidth="1"/>
    <col min="4362" max="4362" width="12.875" style="113" bestFit="1" customWidth="1"/>
    <col min="4363" max="4363" width="17.25" style="113" customWidth="1"/>
    <col min="4364" max="4364" width="10.75" style="113" bestFit="1" customWidth="1"/>
    <col min="4365" max="4608" width="9" style="113"/>
    <col min="4609" max="4609" width="17.75" style="113" customWidth="1"/>
    <col min="4610" max="4610" width="16.25" style="113" customWidth="1"/>
    <col min="4611" max="4611" width="31.75" style="113" customWidth="1"/>
    <col min="4612" max="4612" width="26.5" style="113" bestFit="1" customWidth="1"/>
    <col min="4613" max="4613" width="16.25" style="113" customWidth="1"/>
    <col min="4614" max="4614" width="18.75" style="113" customWidth="1"/>
    <col min="4615" max="4615" width="16.75" style="113" customWidth="1"/>
    <col min="4616" max="4616" width="12.125" style="113" bestFit="1" customWidth="1"/>
    <col min="4617" max="4617" width="10.75" style="113" bestFit="1" customWidth="1"/>
    <col min="4618" max="4618" width="12.875" style="113" bestFit="1" customWidth="1"/>
    <col min="4619" max="4619" width="17.25" style="113" customWidth="1"/>
    <col min="4620" max="4620" width="10.75" style="113" bestFit="1" customWidth="1"/>
    <col min="4621" max="4864" width="9" style="113"/>
    <col min="4865" max="4865" width="17.75" style="113" customWidth="1"/>
    <col min="4866" max="4866" width="16.25" style="113" customWidth="1"/>
    <col min="4867" max="4867" width="31.75" style="113" customWidth="1"/>
    <col min="4868" max="4868" width="26.5" style="113" bestFit="1" customWidth="1"/>
    <col min="4869" max="4869" width="16.25" style="113" customWidth="1"/>
    <col min="4870" max="4870" width="18.75" style="113" customWidth="1"/>
    <col min="4871" max="4871" width="16.75" style="113" customWidth="1"/>
    <col min="4872" max="4872" width="12.125" style="113" bestFit="1" customWidth="1"/>
    <col min="4873" max="4873" width="10.75" style="113" bestFit="1" customWidth="1"/>
    <col min="4874" max="4874" width="12.875" style="113" bestFit="1" customWidth="1"/>
    <col min="4875" max="4875" width="17.25" style="113" customWidth="1"/>
    <col min="4876" max="4876" width="10.75" style="113" bestFit="1" customWidth="1"/>
    <col min="4877" max="5120" width="9" style="113"/>
    <col min="5121" max="5121" width="17.75" style="113" customWidth="1"/>
    <col min="5122" max="5122" width="16.25" style="113" customWidth="1"/>
    <col min="5123" max="5123" width="31.75" style="113" customWidth="1"/>
    <col min="5124" max="5124" width="26.5" style="113" bestFit="1" customWidth="1"/>
    <col min="5125" max="5125" width="16.25" style="113" customWidth="1"/>
    <col min="5126" max="5126" width="18.75" style="113" customWidth="1"/>
    <col min="5127" max="5127" width="16.75" style="113" customWidth="1"/>
    <col min="5128" max="5128" width="12.125" style="113" bestFit="1" customWidth="1"/>
    <col min="5129" max="5129" width="10.75" style="113" bestFit="1" customWidth="1"/>
    <col min="5130" max="5130" width="12.875" style="113" bestFit="1" customWidth="1"/>
    <col min="5131" max="5131" width="17.25" style="113" customWidth="1"/>
    <col min="5132" max="5132" width="10.75" style="113" bestFit="1" customWidth="1"/>
    <col min="5133" max="5376" width="9" style="113"/>
    <col min="5377" max="5377" width="17.75" style="113" customWidth="1"/>
    <col min="5378" max="5378" width="16.25" style="113" customWidth="1"/>
    <col min="5379" max="5379" width="31.75" style="113" customWidth="1"/>
    <col min="5380" max="5380" width="26.5" style="113" bestFit="1" customWidth="1"/>
    <col min="5381" max="5381" width="16.25" style="113" customWidth="1"/>
    <col min="5382" max="5382" width="18.75" style="113" customWidth="1"/>
    <col min="5383" max="5383" width="16.75" style="113" customWidth="1"/>
    <col min="5384" max="5384" width="12.125" style="113" bestFit="1" customWidth="1"/>
    <col min="5385" max="5385" width="10.75" style="113" bestFit="1" customWidth="1"/>
    <col min="5386" max="5386" width="12.875" style="113" bestFit="1" customWidth="1"/>
    <col min="5387" max="5387" width="17.25" style="113" customWidth="1"/>
    <col min="5388" max="5388" width="10.75" style="113" bestFit="1" customWidth="1"/>
    <col min="5389" max="5632" width="9" style="113"/>
    <col min="5633" max="5633" width="17.75" style="113" customWidth="1"/>
    <col min="5634" max="5634" width="16.25" style="113" customWidth="1"/>
    <col min="5635" max="5635" width="31.75" style="113" customWidth="1"/>
    <col min="5636" max="5636" width="26.5" style="113" bestFit="1" customWidth="1"/>
    <col min="5637" max="5637" width="16.25" style="113" customWidth="1"/>
    <col min="5638" max="5638" width="18.75" style="113" customWidth="1"/>
    <col min="5639" max="5639" width="16.75" style="113" customWidth="1"/>
    <col min="5640" max="5640" width="12.125" style="113" bestFit="1" customWidth="1"/>
    <col min="5641" max="5641" width="10.75" style="113" bestFit="1" customWidth="1"/>
    <col min="5642" max="5642" width="12.875" style="113" bestFit="1" customWidth="1"/>
    <col min="5643" max="5643" width="17.25" style="113" customWidth="1"/>
    <col min="5644" max="5644" width="10.75" style="113" bestFit="1" customWidth="1"/>
    <col min="5645" max="5888" width="9" style="113"/>
    <col min="5889" max="5889" width="17.75" style="113" customWidth="1"/>
    <col min="5890" max="5890" width="16.25" style="113" customWidth="1"/>
    <col min="5891" max="5891" width="31.75" style="113" customWidth="1"/>
    <col min="5892" max="5892" width="26.5" style="113" bestFit="1" customWidth="1"/>
    <col min="5893" max="5893" width="16.25" style="113" customWidth="1"/>
    <col min="5894" max="5894" width="18.75" style="113" customWidth="1"/>
    <col min="5895" max="5895" width="16.75" style="113" customWidth="1"/>
    <col min="5896" max="5896" width="12.125" style="113" bestFit="1" customWidth="1"/>
    <col min="5897" max="5897" width="10.75" style="113" bestFit="1" customWidth="1"/>
    <col min="5898" max="5898" width="12.875" style="113" bestFit="1" customWidth="1"/>
    <col min="5899" max="5899" width="17.25" style="113" customWidth="1"/>
    <col min="5900" max="5900" width="10.75" style="113" bestFit="1" customWidth="1"/>
    <col min="5901" max="6144" width="9" style="113"/>
    <col min="6145" max="6145" width="17.75" style="113" customWidth="1"/>
    <col min="6146" max="6146" width="16.25" style="113" customWidth="1"/>
    <col min="6147" max="6147" width="31.75" style="113" customWidth="1"/>
    <col min="6148" max="6148" width="26.5" style="113" bestFit="1" customWidth="1"/>
    <col min="6149" max="6149" width="16.25" style="113" customWidth="1"/>
    <col min="6150" max="6150" width="18.75" style="113" customWidth="1"/>
    <col min="6151" max="6151" width="16.75" style="113" customWidth="1"/>
    <col min="6152" max="6152" width="12.125" style="113" bestFit="1" customWidth="1"/>
    <col min="6153" max="6153" width="10.75" style="113" bestFit="1" customWidth="1"/>
    <col min="6154" max="6154" width="12.875" style="113" bestFit="1" customWidth="1"/>
    <col min="6155" max="6155" width="17.25" style="113" customWidth="1"/>
    <col min="6156" max="6156" width="10.75" style="113" bestFit="1" customWidth="1"/>
    <col min="6157" max="6400" width="9" style="113"/>
    <col min="6401" max="6401" width="17.75" style="113" customWidth="1"/>
    <col min="6402" max="6402" width="16.25" style="113" customWidth="1"/>
    <col min="6403" max="6403" width="31.75" style="113" customWidth="1"/>
    <col min="6404" max="6404" width="26.5" style="113" bestFit="1" customWidth="1"/>
    <col min="6405" max="6405" width="16.25" style="113" customWidth="1"/>
    <col min="6406" max="6406" width="18.75" style="113" customWidth="1"/>
    <col min="6407" max="6407" width="16.75" style="113" customWidth="1"/>
    <col min="6408" max="6408" width="12.125" style="113" bestFit="1" customWidth="1"/>
    <col min="6409" max="6409" width="10.75" style="113" bestFit="1" customWidth="1"/>
    <col min="6410" max="6410" width="12.875" style="113" bestFit="1" customWidth="1"/>
    <col min="6411" max="6411" width="17.25" style="113" customWidth="1"/>
    <col min="6412" max="6412" width="10.75" style="113" bestFit="1" customWidth="1"/>
    <col min="6413" max="6656" width="9" style="113"/>
    <col min="6657" max="6657" width="17.75" style="113" customWidth="1"/>
    <col min="6658" max="6658" width="16.25" style="113" customWidth="1"/>
    <col min="6659" max="6659" width="31.75" style="113" customWidth="1"/>
    <col min="6660" max="6660" width="26.5" style="113" bestFit="1" customWidth="1"/>
    <col min="6661" max="6661" width="16.25" style="113" customWidth="1"/>
    <col min="6662" max="6662" width="18.75" style="113" customWidth="1"/>
    <col min="6663" max="6663" width="16.75" style="113" customWidth="1"/>
    <col min="6664" max="6664" width="12.125" style="113" bestFit="1" customWidth="1"/>
    <col min="6665" max="6665" width="10.75" style="113" bestFit="1" customWidth="1"/>
    <col min="6666" max="6666" width="12.875" style="113" bestFit="1" customWidth="1"/>
    <col min="6667" max="6667" width="17.25" style="113" customWidth="1"/>
    <col min="6668" max="6668" width="10.75" style="113" bestFit="1" customWidth="1"/>
    <col min="6669" max="6912" width="9" style="113"/>
    <col min="6913" max="6913" width="17.75" style="113" customWidth="1"/>
    <col min="6914" max="6914" width="16.25" style="113" customWidth="1"/>
    <col min="6915" max="6915" width="31.75" style="113" customWidth="1"/>
    <col min="6916" max="6916" width="26.5" style="113" bestFit="1" customWidth="1"/>
    <col min="6917" max="6917" width="16.25" style="113" customWidth="1"/>
    <col min="6918" max="6918" width="18.75" style="113" customWidth="1"/>
    <col min="6919" max="6919" width="16.75" style="113" customWidth="1"/>
    <col min="6920" max="6920" width="12.125" style="113" bestFit="1" customWidth="1"/>
    <col min="6921" max="6921" width="10.75" style="113" bestFit="1" customWidth="1"/>
    <col min="6922" max="6922" width="12.875" style="113" bestFit="1" customWidth="1"/>
    <col min="6923" max="6923" width="17.25" style="113" customWidth="1"/>
    <col min="6924" max="6924" width="10.75" style="113" bestFit="1" customWidth="1"/>
    <col min="6925" max="7168" width="9" style="113"/>
    <col min="7169" max="7169" width="17.75" style="113" customWidth="1"/>
    <col min="7170" max="7170" width="16.25" style="113" customWidth="1"/>
    <col min="7171" max="7171" width="31.75" style="113" customWidth="1"/>
    <col min="7172" max="7172" width="26.5" style="113" bestFit="1" customWidth="1"/>
    <col min="7173" max="7173" width="16.25" style="113" customWidth="1"/>
    <col min="7174" max="7174" width="18.75" style="113" customWidth="1"/>
    <col min="7175" max="7175" width="16.75" style="113" customWidth="1"/>
    <col min="7176" max="7176" width="12.125" style="113" bestFit="1" customWidth="1"/>
    <col min="7177" max="7177" width="10.75" style="113" bestFit="1" customWidth="1"/>
    <col min="7178" max="7178" width="12.875" style="113" bestFit="1" customWidth="1"/>
    <col min="7179" max="7179" width="17.25" style="113" customWidth="1"/>
    <col min="7180" max="7180" width="10.75" style="113" bestFit="1" customWidth="1"/>
    <col min="7181" max="7424" width="9" style="113"/>
    <col min="7425" max="7425" width="17.75" style="113" customWidth="1"/>
    <col min="7426" max="7426" width="16.25" style="113" customWidth="1"/>
    <col min="7427" max="7427" width="31.75" style="113" customWidth="1"/>
    <col min="7428" max="7428" width="26.5" style="113" bestFit="1" customWidth="1"/>
    <col min="7429" max="7429" width="16.25" style="113" customWidth="1"/>
    <col min="7430" max="7430" width="18.75" style="113" customWidth="1"/>
    <col min="7431" max="7431" width="16.75" style="113" customWidth="1"/>
    <col min="7432" max="7432" width="12.125" style="113" bestFit="1" customWidth="1"/>
    <col min="7433" max="7433" width="10.75" style="113" bestFit="1" customWidth="1"/>
    <col min="7434" max="7434" width="12.875" style="113" bestFit="1" customWidth="1"/>
    <col min="7435" max="7435" width="17.25" style="113" customWidth="1"/>
    <col min="7436" max="7436" width="10.75" style="113" bestFit="1" customWidth="1"/>
    <col min="7437" max="7680" width="9" style="113"/>
    <col min="7681" max="7681" width="17.75" style="113" customWidth="1"/>
    <col min="7682" max="7682" width="16.25" style="113" customWidth="1"/>
    <col min="7683" max="7683" width="31.75" style="113" customWidth="1"/>
    <col min="7684" max="7684" width="26.5" style="113" bestFit="1" customWidth="1"/>
    <col min="7685" max="7685" width="16.25" style="113" customWidth="1"/>
    <col min="7686" max="7686" width="18.75" style="113" customWidth="1"/>
    <col min="7687" max="7687" width="16.75" style="113" customWidth="1"/>
    <col min="7688" max="7688" width="12.125" style="113" bestFit="1" customWidth="1"/>
    <col min="7689" max="7689" width="10.75" style="113" bestFit="1" customWidth="1"/>
    <col min="7690" max="7690" width="12.875" style="113" bestFit="1" customWidth="1"/>
    <col min="7691" max="7691" width="17.25" style="113" customWidth="1"/>
    <col min="7692" max="7692" width="10.75" style="113" bestFit="1" customWidth="1"/>
    <col min="7693" max="7936" width="9" style="113"/>
    <col min="7937" max="7937" width="17.75" style="113" customWidth="1"/>
    <col min="7938" max="7938" width="16.25" style="113" customWidth="1"/>
    <col min="7939" max="7939" width="31.75" style="113" customWidth="1"/>
    <col min="7940" max="7940" width="26.5" style="113" bestFit="1" customWidth="1"/>
    <col min="7941" max="7941" width="16.25" style="113" customWidth="1"/>
    <col min="7942" max="7942" width="18.75" style="113" customWidth="1"/>
    <col min="7943" max="7943" width="16.75" style="113" customWidth="1"/>
    <col min="7944" max="7944" width="12.125" style="113" bestFit="1" customWidth="1"/>
    <col min="7945" max="7945" width="10.75" style="113" bestFit="1" customWidth="1"/>
    <col min="7946" max="7946" width="12.875" style="113" bestFit="1" customWidth="1"/>
    <col min="7947" max="7947" width="17.25" style="113" customWidth="1"/>
    <col min="7948" max="7948" width="10.75" style="113" bestFit="1" customWidth="1"/>
    <col min="7949" max="8192" width="9" style="113"/>
    <col min="8193" max="8193" width="17.75" style="113" customWidth="1"/>
    <col min="8194" max="8194" width="16.25" style="113" customWidth="1"/>
    <col min="8195" max="8195" width="31.75" style="113" customWidth="1"/>
    <col min="8196" max="8196" width="26.5" style="113" bestFit="1" customWidth="1"/>
    <col min="8197" max="8197" width="16.25" style="113" customWidth="1"/>
    <col min="8198" max="8198" width="18.75" style="113" customWidth="1"/>
    <col min="8199" max="8199" width="16.75" style="113" customWidth="1"/>
    <col min="8200" max="8200" width="12.125" style="113" bestFit="1" customWidth="1"/>
    <col min="8201" max="8201" width="10.75" style="113" bestFit="1" customWidth="1"/>
    <col min="8202" max="8202" width="12.875" style="113" bestFit="1" customWidth="1"/>
    <col min="8203" max="8203" width="17.25" style="113" customWidth="1"/>
    <col min="8204" max="8204" width="10.75" style="113" bestFit="1" customWidth="1"/>
    <col min="8205" max="8448" width="9" style="113"/>
    <col min="8449" max="8449" width="17.75" style="113" customWidth="1"/>
    <col min="8450" max="8450" width="16.25" style="113" customWidth="1"/>
    <col min="8451" max="8451" width="31.75" style="113" customWidth="1"/>
    <col min="8452" max="8452" width="26.5" style="113" bestFit="1" customWidth="1"/>
    <col min="8453" max="8453" width="16.25" style="113" customWidth="1"/>
    <col min="8454" max="8454" width="18.75" style="113" customWidth="1"/>
    <col min="8455" max="8455" width="16.75" style="113" customWidth="1"/>
    <col min="8456" max="8456" width="12.125" style="113" bestFit="1" customWidth="1"/>
    <col min="8457" max="8457" width="10.75" style="113" bestFit="1" customWidth="1"/>
    <col min="8458" max="8458" width="12.875" style="113" bestFit="1" customWidth="1"/>
    <col min="8459" max="8459" width="17.25" style="113" customWidth="1"/>
    <col min="8460" max="8460" width="10.75" style="113" bestFit="1" customWidth="1"/>
    <col min="8461" max="8704" width="9" style="113"/>
    <col min="8705" max="8705" width="17.75" style="113" customWidth="1"/>
    <col min="8706" max="8706" width="16.25" style="113" customWidth="1"/>
    <col min="8707" max="8707" width="31.75" style="113" customWidth="1"/>
    <col min="8708" max="8708" width="26.5" style="113" bestFit="1" customWidth="1"/>
    <col min="8709" max="8709" width="16.25" style="113" customWidth="1"/>
    <col min="8710" max="8710" width="18.75" style="113" customWidth="1"/>
    <col min="8711" max="8711" width="16.75" style="113" customWidth="1"/>
    <col min="8712" max="8712" width="12.125" style="113" bestFit="1" customWidth="1"/>
    <col min="8713" max="8713" width="10.75" style="113" bestFit="1" customWidth="1"/>
    <col min="8714" max="8714" width="12.875" style="113" bestFit="1" customWidth="1"/>
    <col min="8715" max="8715" width="17.25" style="113" customWidth="1"/>
    <col min="8716" max="8716" width="10.75" style="113" bestFit="1" customWidth="1"/>
    <col min="8717" max="8960" width="9" style="113"/>
    <col min="8961" max="8961" width="17.75" style="113" customWidth="1"/>
    <col min="8962" max="8962" width="16.25" style="113" customWidth="1"/>
    <col min="8963" max="8963" width="31.75" style="113" customWidth="1"/>
    <col min="8964" max="8964" width="26.5" style="113" bestFit="1" customWidth="1"/>
    <col min="8965" max="8965" width="16.25" style="113" customWidth="1"/>
    <col min="8966" max="8966" width="18.75" style="113" customWidth="1"/>
    <col min="8967" max="8967" width="16.75" style="113" customWidth="1"/>
    <col min="8968" max="8968" width="12.125" style="113" bestFit="1" customWidth="1"/>
    <col min="8969" max="8969" width="10.75" style="113" bestFit="1" customWidth="1"/>
    <col min="8970" max="8970" width="12.875" style="113" bestFit="1" customWidth="1"/>
    <col min="8971" max="8971" width="17.25" style="113" customWidth="1"/>
    <col min="8972" max="8972" width="10.75" style="113" bestFit="1" customWidth="1"/>
    <col min="8973" max="9216" width="9" style="113"/>
    <col min="9217" max="9217" width="17.75" style="113" customWidth="1"/>
    <col min="9218" max="9218" width="16.25" style="113" customWidth="1"/>
    <col min="9219" max="9219" width="31.75" style="113" customWidth="1"/>
    <col min="9220" max="9220" width="26.5" style="113" bestFit="1" customWidth="1"/>
    <col min="9221" max="9221" width="16.25" style="113" customWidth="1"/>
    <col min="9222" max="9222" width="18.75" style="113" customWidth="1"/>
    <col min="9223" max="9223" width="16.75" style="113" customWidth="1"/>
    <col min="9224" max="9224" width="12.125" style="113" bestFit="1" customWidth="1"/>
    <col min="9225" max="9225" width="10.75" style="113" bestFit="1" customWidth="1"/>
    <col min="9226" max="9226" width="12.875" style="113" bestFit="1" customWidth="1"/>
    <col min="9227" max="9227" width="17.25" style="113" customWidth="1"/>
    <col min="9228" max="9228" width="10.75" style="113" bestFit="1" customWidth="1"/>
    <col min="9229" max="9472" width="9" style="113"/>
    <col min="9473" max="9473" width="17.75" style="113" customWidth="1"/>
    <col min="9474" max="9474" width="16.25" style="113" customWidth="1"/>
    <col min="9475" max="9475" width="31.75" style="113" customWidth="1"/>
    <col min="9476" max="9476" width="26.5" style="113" bestFit="1" customWidth="1"/>
    <col min="9477" max="9477" width="16.25" style="113" customWidth="1"/>
    <col min="9478" max="9478" width="18.75" style="113" customWidth="1"/>
    <col min="9479" max="9479" width="16.75" style="113" customWidth="1"/>
    <col min="9480" max="9480" width="12.125" style="113" bestFit="1" customWidth="1"/>
    <col min="9481" max="9481" width="10.75" style="113" bestFit="1" customWidth="1"/>
    <col min="9482" max="9482" width="12.875" style="113" bestFit="1" customWidth="1"/>
    <col min="9483" max="9483" width="17.25" style="113" customWidth="1"/>
    <col min="9484" max="9484" width="10.75" style="113" bestFit="1" customWidth="1"/>
    <col min="9485" max="9728" width="9" style="113"/>
    <col min="9729" max="9729" width="17.75" style="113" customWidth="1"/>
    <col min="9730" max="9730" width="16.25" style="113" customWidth="1"/>
    <col min="9731" max="9731" width="31.75" style="113" customWidth="1"/>
    <col min="9732" max="9732" width="26.5" style="113" bestFit="1" customWidth="1"/>
    <col min="9733" max="9733" width="16.25" style="113" customWidth="1"/>
    <col min="9734" max="9734" width="18.75" style="113" customWidth="1"/>
    <col min="9735" max="9735" width="16.75" style="113" customWidth="1"/>
    <col min="9736" max="9736" width="12.125" style="113" bestFit="1" customWidth="1"/>
    <col min="9737" max="9737" width="10.75" style="113" bestFit="1" customWidth="1"/>
    <col min="9738" max="9738" width="12.875" style="113" bestFit="1" customWidth="1"/>
    <col min="9739" max="9739" width="17.25" style="113" customWidth="1"/>
    <col min="9740" max="9740" width="10.75" style="113" bestFit="1" customWidth="1"/>
    <col min="9741" max="9984" width="9" style="113"/>
    <col min="9985" max="9985" width="17.75" style="113" customWidth="1"/>
    <col min="9986" max="9986" width="16.25" style="113" customWidth="1"/>
    <col min="9987" max="9987" width="31.75" style="113" customWidth="1"/>
    <col min="9988" max="9988" width="26.5" style="113" bestFit="1" customWidth="1"/>
    <col min="9989" max="9989" width="16.25" style="113" customWidth="1"/>
    <col min="9990" max="9990" width="18.75" style="113" customWidth="1"/>
    <col min="9991" max="9991" width="16.75" style="113" customWidth="1"/>
    <col min="9992" max="9992" width="12.125" style="113" bestFit="1" customWidth="1"/>
    <col min="9993" max="9993" width="10.75" style="113" bestFit="1" customWidth="1"/>
    <col min="9994" max="9994" width="12.875" style="113" bestFit="1" customWidth="1"/>
    <col min="9995" max="9995" width="17.25" style="113" customWidth="1"/>
    <col min="9996" max="9996" width="10.75" style="113" bestFit="1" customWidth="1"/>
    <col min="9997" max="10240" width="9" style="113"/>
    <col min="10241" max="10241" width="17.75" style="113" customWidth="1"/>
    <col min="10242" max="10242" width="16.25" style="113" customWidth="1"/>
    <col min="10243" max="10243" width="31.75" style="113" customWidth="1"/>
    <col min="10244" max="10244" width="26.5" style="113" bestFit="1" customWidth="1"/>
    <col min="10245" max="10245" width="16.25" style="113" customWidth="1"/>
    <col min="10246" max="10246" width="18.75" style="113" customWidth="1"/>
    <col min="10247" max="10247" width="16.75" style="113" customWidth="1"/>
    <col min="10248" max="10248" width="12.125" style="113" bestFit="1" customWidth="1"/>
    <col min="10249" max="10249" width="10.75" style="113" bestFit="1" customWidth="1"/>
    <col min="10250" max="10250" width="12.875" style="113" bestFit="1" customWidth="1"/>
    <col min="10251" max="10251" width="17.25" style="113" customWidth="1"/>
    <col min="10252" max="10252" width="10.75" style="113" bestFit="1" customWidth="1"/>
    <col min="10253" max="10496" width="9" style="113"/>
    <col min="10497" max="10497" width="17.75" style="113" customWidth="1"/>
    <col min="10498" max="10498" width="16.25" style="113" customWidth="1"/>
    <col min="10499" max="10499" width="31.75" style="113" customWidth="1"/>
    <col min="10500" max="10500" width="26.5" style="113" bestFit="1" customWidth="1"/>
    <col min="10501" max="10501" width="16.25" style="113" customWidth="1"/>
    <col min="10502" max="10502" width="18.75" style="113" customWidth="1"/>
    <col min="10503" max="10503" width="16.75" style="113" customWidth="1"/>
    <col min="10504" max="10504" width="12.125" style="113" bestFit="1" customWidth="1"/>
    <col min="10505" max="10505" width="10.75" style="113" bestFit="1" customWidth="1"/>
    <col min="10506" max="10506" width="12.875" style="113" bestFit="1" customWidth="1"/>
    <col min="10507" max="10507" width="17.25" style="113" customWidth="1"/>
    <col min="10508" max="10508" width="10.75" style="113" bestFit="1" customWidth="1"/>
    <col min="10509" max="10752" width="9" style="113"/>
    <col min="10753" max="10753" width="17.75" style="113" customWidth="1"/>
    <col min="10754" max="10754" width="16.25" style="113" customWidth="1"/>
    <col min="10755" max="10755" width="31.75" style="113" customWidth="1"/>
    <col min="10756" max="10756" width="26.5" style="113" bestFit="1" customWidth="1"/>
    <col min="10757" max="10757" width="16.25" style="113" customWidth="1"/>
    <col min="10758" max="10758" width="18.75" style="113" customWidth="1"/>
    <col min="10759" max="10759" width="16.75" style="113" customWidth="1"/>
    <col min="10760" max="10760" width="12.125" style="113" bestFit="1" customWidth="1"/>
    <col min="10761" max="10761" width="10.75" style="113" bestFit="1" customWidth="1"/>
    <col min="10762" max="10762" width="12.875" style="113" bestFit="1" customWidth="1"/>
    <col min="10763" max="10763" width="17.25" style="113" customWidth="1"/>
    <col min="10764" max="10764" width="10.75" style="113" bestFit="1" customWidth="1"/>
    <col min="10765" max="11008" width="9" style="113"/>
    <col min="11009" max="11009" width="17.75" style="113" customWidth="1"/>
    <col min="11010" max="11010" width="16.25" style="113" customWidth="1"/>
    <col min="11011" max="11011" width="31.75" style="113" customWidth="1"/>
    <col min="11012" max="11012" width="26.5" style="113" bestFit="1" customWidth="1"/>
    <col min="11013" max="11013" width="16.25" style="113" customWidth="1"/>
    <col min="11014" max="11014" width="18.75" style="113" customWidth="1"/>
    <col min="11015" max="11015" width="16.75" style="113" customWidth="1"/>
    <col min="11016" max="11016" width="12.125" style="113" bestFit="1" customWidth="1"/>
    <col min="11017" max="11017" width="10.75" style="113" bestFit="1" customWidth="1"/>
    <col min="11018" max="11018" width="12.875" style="113" bestFit="1" customWidth="1"/>
    <col min="11019" max="11019" width="17.25" style="113" customWidth="1"/>
    <col min="11020" max="11020" width="10.75" style="113" bestFit="1" customWidth="1"/>
    <col min="11021" max="11264" width="9" style="113"/>
    <col min="11265" max="11265" width="17.75" style="113" customWidth="1"/>
    <col min="11266" max="11266" width="16.25" style="113" customWidth="1"/>
    <col min="11267" max="11267" width="31.75" style="113" customWidth="1"/>
    <col min="11268" max="11268" width="26.5" style="113" bestFit="1" customWidth="1"/>
    <col min="11269" max="11269" width="16.25" style="113" customWidth="1"/>
    <col min="11270" max="11270" width="18.75" style="113" customWidth="1"/>
    <col min="11271" max="11271" width="16.75" style="113" customWidth="1"/>
    <col min="11272" max="11272" width="12.125" style="113" bestFit="1" customWidth="1"/>
    <col min="11273" max="11273" width="10.75" style="113" bestFit="1" customWidth="1"/>
    <col min="11274" max="11274" width="12.875" style="113" bestFit="1" customWidth="1"/>
    <col min="11275" max="11275" width="17.25" style="113" customWidth="1"/>
    <col min="11276" max="11276" width="10.75" style="113" bestFit="1" customWidth="1"/>
    <col min="11277" max="11520" width="9" style="113"/>
    <col min="11521" max="11521" width="17.75" style="113" customWidth="1"/>
    <col min="11522" max="11522" width="16.25" style="113" customWidth="1"/>
    <col min="11523" max="11523" width="31.75" style="113" customWidth="1"/>
    <col min="11524" max="11524" width="26.5" style="113" bestFit="1" customWidth="1"/>
    <col min="11525" max="11525" width="16.25" style="113" customWidth="1"/>
    <col min="11526" max="11526" width="18.75" style="113" customWidth="1"/>
    <col min="11527" max="11527" width="16.75" style="113" customWidth="1"/>
    <col min="11528" max="11528" width="12.125" style="113" bestFit="1" customWidth="1"/>
    <col min="11529" max="11529" width="10.75" style="113" bestFit="1" customWidth="1"/>
    <col min="11530" max="11530" width="12.875" style="113" bestFit="1" customWidth="1"/>
    <col min="11531" max="11531" width="17.25" style="113" customWidth="1"/>
    <col min="11532" max="11532" width="10.75" style="113" bestFit="1" customWidth="1"/>
    <col min="11533" max="11776" width="9" style="113"/>
    <col min="11777" max="11777" width="17.75" style="113" customWidth="1"/>
    <col min="11778" max="11778" width="16.25" style="113" customWidth="1"/>
    <col min="11779" max="11779" width="31.75" style="113" customWidth="1"/>
    <col min="11780" max="11780" width="26.5" style="113" bestFit="1" customWidth="1"/>
    <col min="11781" max="11781" width="16.25" style="113" customWidth="1"/>
    <col min="11782" max="11782" width="18.75" style="113" customWidth="1"/>
    <col min="11783" max="11783" width="16.75" style="113" customWidth="1"/>
    <col min="11784" max="11784" width="12.125" style="113" bestFit="1" customWidth="1"/>
    <col min="11785" max="11785" width="10.75" style="113" bestFit="1" customWidth="1"/>
    <col min="11786" max="11786" width="12.875" style="113" bestFit="1" customWidth="1"/>
    <col min="11787" max="11787" width="17.25" style="113" customWidth="1"/>
    <col min="11788" max="11788" width="10.75" style="113" bestFit="1" customWidth="1"/>
    <col min="11789" max="12032" width="9" style="113"/>
    <col min="12033" max="12033" width="17.75" style="113" customWidth="1"/>
    <col min="12034" max="12034" width="16.25" style="113" customWidth="1"/>
    <col min="12035" max="12035" width="31.75" style="113" customWidth="1"/>
    <col min="12036" max="12036" width="26.5" style="113" bestFit="1" customWidth="1"/>
    <col min="12037" max="12037" width="16.25" style="113" customWidth="1"/>
    <col min="12038" max="12038" width="18.75" style="113" customWidth="1"/>
    <col min="12039" max="12039" width="16.75" style="113" customWidth="1"/>
    <col min="12040" max="12040" width="12.125" style="113" bestFit="1" customWidth="1"/>
    <col min="12041" max="12041" width="10.75" style="113" bestFit="1" customWidth="1"/>
    <col min="12042" max="12042" width="12.875" style="113" bestFit="1" customWidth="1"/>
    <col min="12043" max="12043" width="17.25" style="113" customWidth="1"/>
    <col min="12044" max="12044" width="10.75" style="113" bestFit="1" customWidth="1"/>
    <col min="12045" max="12288" width="9" style="113"/>
    <col min="12289" max="12289" width="17.75" style="113" customWidth="1"/>
    <col min="12290" max="12290" width="16.25" style="113" customWidth="1"/>
    <col min="12291" max="12291" width="31.75" style="113" customWidth="1"/>
    <col min="12292" max="12292" width="26.5" style="113" bestFit="1" customWidth="1"/>
    <col min="12293" max="12293" width="16.25" style="113" customWidth="1"/>
    <col min="12294" max="12294" width="18.75" style="113" customWidth="1"/>
    <col min="12295" max="12295" width="16.75" style="113" customWidth="1"/>
    <col min="12296" max="12296" width="12.125" style="113" bestFit="1" customWidth="1"/>
    <col min="12297" max="12297" width="10.75" style="113" bestFit="1" customWidth="1"/>
    <col min="12298" max="12298" width="12.875" style="113" bestFit="1" customWidth="1"/>
    <col min="12299" max="12299" width="17.25" style="113" customWidth="1"/>
    <col min="12300" max="12300" width="10.75" style="113" bestFit="1" customWidth="1"/>
    <col min="12301" max="12544" width="9" style="113"/>
    <col min="12545" max="12545" width="17.75" style="113" customWidth="1"/>
    <col min="12546" max="12546" width="16.25" style="113" customWidth="1"/>
    <col min="12547" max="12547" width="31.75" style="113" customWidth="1"/>
    <col min="12548" max="12548" width="26.5" style="113" bestFit="1" customWidth="1"/>
    <col min="12549" max="12549" width="16.25" style="113" customWidth="1"/>
    <col min="12550" max="12550" width="18.75" style="113" customWidth="1"/>
    <col min="12551" max="12551" width="16.75" style="113" customWidth="1"/>
    <col min="12552" max="12552" width="12.125" style="113" bestFit="1" customWidth="1"/>
    <col min="12553" max="12553" width="10.75" style="113" bestFit="1" customWidth="1"/>
    <col min="12554" max="12554" width="12.875" style="113" bestFit="1" customWidth="1"/>
    <col min="12555" max="12555" width="17.25" style="113" customWidth="1"/>
    <col min="12556" max="12556" width="10.75" style="113" bestFit="1" customWidth="1"/>
    <col min="12557" max="12800" width="9" style="113"/>
    <col min="12801" max="12801" width="17.75" style="113" customWidth="1"/>
    <col min="12802" max="12802" width="16.25" style="113" customWidth="1"/>
    <col min="12803" max="12803" width="31.75" style="113" customWidth="1"/>
    <col min="12804" max="12804" width="26.5" style="113" bestFit="1" customWidth="1"/>
    <col min="12805" max="12805" width="16.25" style="113" customWidth="1"/>
    <col min="12806" max="12806" width="18.75" style="113" customWidth="1"/>
    <col min="12807" max="12807" width="16.75" style="113" customWidth="1"/>
    <col min="12808" max="12808" width="12.125" style="113" bestFit="1" customWidth="1"/>
    <col min="12809" max="12809" width="10.75" style="113" bestFit="1" customWidth="1"/>
    <col min="12810" max="12810" width="12.875" style="113" bestFit="1" customWidth="1"/>
    <col min="12811" max="12811" width="17.25" style="113" customWidth="1"/>
    <col min="12812" max="12812" width="10.75" style="113" bestFit="1" customWidth="1"/>
    <col min="12813" max="13056" width="9" style="113"/>
    <col min="13057" max="13057" width="17.75" style="113" customWidth="1"/>
    <col min="13058" max="13058" width="16.25" style="113" customWidth="1"/>
    <col min="13059" max="13059" width="31.75" style="113" customWidth="1"/>
    <col min="13060" max="13060" width="26.5" style="113" bestFit="1" customWidth="1"/>
    <col min="13061" max="13061" width="16.25" style="113" customWidth="1"/>
    <col min="13062" max="13062" width="18.75" style="113" customWidth="1"/>
    <col min="13063" max="13063" width="16.75" style="113" customWidth="1"/>
    <col min="13064" max="13064" width="12.125" style="113" bestFit="1" customWidth="1"/>
    <col min="13065" max="13065" width="10.75" style="113" bestFit="1" customWidth="1"/>
    <col min="13066" max="13066" width="12.875" style="113" bestFit="1" customWidth="1"/>
    <col min="13067" max="13067" width="17.25" style="113" customWidth="1"/>
    <col min="13068" max="13068" width="10.75" style="113" bestFit="1" customWidth="1"/>
    <col min="13069" max="13312" width="9" style="113"/>
    <col min="13313" max="13313" width="17.75" style="113" customWidth="1"/>
    <col min="13314" max="13314" width="16.25" style="113" customWidth="1"/>
    <col min="13315" max="13315" width="31.75" style="113" customWidth="1"/>
    <col min="13316" max="13316" width="26.5" style="113" bestFit="1" customWidth="1"/>
    <col min="13317" max="13317" width="16.25" style="113" customWidth="1"/>
    <col min="13318" max="13318" width="18.75" style="113" customWidth="1"/>
    <col min="13319" max="13319" width="16.75" style="113" customWidth="1"/>
    <col min="13320" max="13320" width="12.125" style="113" bestFit="1" customWidth="1"/>
    <col min="13321" max="13321" width="10.75" style="113" bestFit="1" customWidth="1"/>
    <col min="13322" max="13322" width="12.875" style="113" bestFit="1" customWidth="1"/>
    <col min="13323" max="13323" width="17.25" style="113" customWidth="1"/>
    <col min="13324" max="13324" width="10.75" style="113" bestFit="1" customWidth="1"/>
    <col min="13325" max="13568" width="9" style="113"/>
    <col min="13569" max="13569" width="17.75" style="113" customWidth="1"/>
    <col min="13570" max="13570" width="16.25" style="113" customWidth="1"/>
    <col min="13571" max="13571" width="31.75" style="113" customWidth="1"/>
    <col min="13572" max="13572" width="26.5" style="113" bestFit="1" customWidth="1"/>
    <col min="13573" max="13573" width="16.25" style="113" customWidth="1"/>
    <col min="13574" max="13574" width="18.75" style="113" customWidth="1"/>
    <col min="13575" max="13575" width="16.75" style="113" customWidth="1"/>
    <col min="13576" max="13576" width="12.125" style="113" bestFit="1" customWidth="1"/>
    <col min="13577" max="13577" width="10.75" style="113" bestFit="1" customWidth="1"/>
    <col min="13578" max="13578" width="12.875" style="113" bestFit="1" customWidth="1"/>
    <col min="13579" max="13579" width="17.25" style="113" customWidth="1"/>
    <col min="13580" max="13580" width="10.75" style="113" bestFit="1" customWidth="1"/>
    <col min="13581" max="13824" width="9" style="113"/>
    <col min="13825" max="13825" width="17.75" style="113" customWidth="1"/>
    <col min="13826" max="13826" width="16.25" style="113" customWidth="1"/>
    <col min="13827" max="13827" width="31.75" style="113" customWidth="1"/>
    <col min="13828" max="13828" width="26.5" style="113" bestFit="1" customWidth="1"/>
    <col min="13829" max="13829" width="16.25" style="113" customWidth="1"/>
    <col min="13830" max="13830" width="18.75" style="113" customWidth="1"/>
    <col min="13831" max="13831" width="16.75" style="113" customWidth="1"/>
    <col min="13832" max="13832" width="12.125" style="113" bestFit="1" customWidth="1"/>
    <col min="13833" max="13833" width="10.75" style="113" bestFit="1" customWidth="1"/>
    <col min="13834" max="13834" width="12.875" style="113" bestFit="1" customWidth="1"/>
    <col min="13835" max="13835" width="17.25" style="113" customWidth="1"/>
    <col min="13836" max="13836" width="10.75" style="113" bestFit="1" customWidth="1"/>
    <col min="13837" max="14080" width="9" style="113"/>
    <col min="14081" max="14081" width="17.75" style="113" customWidth="1"/>
    <col min="14082" max="14082" width="16.25" style="113" customWidth="1"/>
    <col min="14083" max="14083" width="31.75" style="113" customWidth="1"/>
    <col min="14084" max="14084" width="26.5" style="113" bestFit="1" customWidth="1"/>
    <col min="14085" max="14085" width="16.25" style="113" customWidth="1"/>
    <col min="14086" max="14086" width="18.75" style="113" customWidth="1"/>
    <col min="14087" max="14087" width="16.75" style="113" customWidth="1"/>
    <col min="14088" max="14088" width="12.125" style="113" bestFit="1" customWidth="1"/>
    <col min="14089" max="14089" width="10.75" style="113" bestFit="1" customWidth="1"/>
    <col min="14090" max="14090" width="12.875" style="113" bestFit="1" customWidth="1"/>
    <col min="14091" max="14091" width="17.25" style="113" customWidth="1"/>
    <col min="14092" max="14092" width="10.75" style="113" bestFit="1" customWidth="1"/>
    <col min="14093" max="14336" width="9" style="113"/>
    <col min="14337" max="14337" width="17.75" style="113" customWidth="1"/>
    <col min="14338" max="14338" width="16.25" style="113" customWidth="1"/>
    <col min="14339" max="14339" width="31.75" style="113" customWidth="1"/>
    <col min="14340" max="14340" width="26.5" style="113" bestFit="1" customWidth="1"/>
    <col min="14341" max="14341" width="16.25" style="113" customWidth="1"/>
    <col min="14342" max="14342" width="18.75" style="113" customWidth="1"/>
    <col min="14343" max="14343" width="16.75" style="113" customWidth="1"/>
    <col min="14344" max="14344" width="12.125" style="113" bestFit="1" customWidth="1"/>
    <col min="14345" max="14345" width="10.75" style="113" bestFit="1" customWidth="1"/>
    <col min="14346" max="14346" width="12.875" style="113" bestFit="1" customWidth="1"/>
    <col min="14347" max="14347" width="17.25" style="113" customWidth="1"/>
    <col min="14348" max="14348" width="10.75" style="113" bestFit="1" customWidth="1"/>
    <col min="14349" max="14592" width="9" style="113"/>
    <col min="14593" max="14593" width="17.75" style="113" customWidth="1"/>
    <col min="14594" max="14594" width="16.25" style="113" customWidth="1"/>
    <col min="14595" max="14595" width="31.75" style="113" customWidth="1"/>
    <col min="14596" max="14596" width="26.5" style="113" bestFit="1" customWidth="1"/>
    <col min="14597" max="14597" width="16.25" style="113" customWidth="1"/>
    <col min="14598" max="14598" width="18.75" style="113" customWidth="1"/>
    <col min="14599" max="14599" width="16.75" style="113" customWidth="1"/>
    <col min="14600" max="14600" width="12.125" style="113" bestFit="1" customWidth="1"/>
    <col min="14601" max="14601" width="10.75" style="113" bestFit="1" customWidth="1"/>
    <col min="14602" max="14602" width="12.875" style="113" bestFit="1" customWidth="1"/>
    <col min="14603" max="14603" width="17.25" style="113" customWidth="1"/>
    <col min="14604" max="14604" width="10.75" style="113" bestFit="1" customWidth="1"/>
    <col min="14605" max="14848" width="9" style="113"/>
    <col min="14849" max="14849" width="17.75" style="113" customWidth="1"/>
    <col min="14850" max="14850" width="16.25" style="113" customWidth="1"/>
    <col min="14851" max="14851" width="31.75" style="113" customWidth="1"/>
    <col min="14852" max="14852" width="26.5" style="113" bestFit="1" customWidth="1"/>
    <col min="14853" max="14853" width="16.25" style="113" customWidth="1"/>
    <col min="14854" max="14854" width="18.75" style="113" customWidth="1"/>
    <col min="14855" max="14855" width="16.75" style="113" customWidth="1"/>
    <col min="14856" max="14856" width="12.125" style="113" bestFit="1" customWidth="1"/>
    <col min="14857" max="14857" width="10.75" style="113" bestFit="1" customWidth="1"/>
    <col min="14858" max="14858" width="12.875" style="113" bestFit="1" customWidth="1"/>
    <col min="14859" max="14859" width="17.25" style="113" customWidth="1"/>
    <col min="14860" max="14860" width="10.75" style="113" bestFit="1" customWidth="1"/>
    <col min="14861" max="15104" width="9" style="113"/>
    <col min="15105" max="15105" width="17.75" style="113" customWidth="1"/>
    <col min="15106" max="15106" width="16.25" style="113" customWidth="1"/>
    <col min="15107" max="15107" width="31.75" style="113" customWidth="1"/>
    <col min="15108" max="15108" width="26.5" style="113" bestFit="1" customWidth="1"/>
    <col min="15109" max="15109" width="16.25" style="113" customWidth="1"/>
    <col min="15110" max="15110" width="18.75" style="113" customWidth="1"/>
    <col min="15111" max="15111" width="16.75" style="113" customWidth="1"/>
    <col min="15112" max="15112" width="12.125" style="113" bestFit="1" customWidth="1"/>
    <col min="15113" max="15113" width="10.75" style="113" bestFit="1" customWidth="1"/>
    <col min="15114" max="15114" width="12.875" style="113" bestFit="1" customWidth="1"/>
    <col min="15115" max="15115" width="17.25" style="113" customWidth="1"/>
    <col min="15116" max="15116" width="10.75" style="113" bestFit="1" customWidth="1"/>
    <col min="15117" max="15360" width="9" style="113"/>
    <col min="15361" max="15361" width="17.75" style="113" customWidth="1"/>
    <col min="15362" max="15362" width="16.25" style="113" customWidth="1"/>
    <col min="15363" max="15363" width="31.75" style="113" customWidth="1"/>
    <col min="15364" max="15364" width="26.5" style="113" bestFit="1" customWidth="1"/>
    <col min="15365" max="15365" width="16.25" style="113" customWidth="1"/>
    <col min="15366" max="15366" width="18.75" style="113" customWidth="1"/>
    <col min="15367" max="15367" width="16.75" style="113" customWidth="1"/>
    <col min="15368" max="15368" width="12.125" style="113" bestFit="1" customWidth="1"/>
    <col min="15369" max="15369" width="10.75" style="113" bestFit="1" customWidth="1"/>
    <col min="15370" max="15370" width="12.875" style="113" bestFit="1" customWidth="1"/>
    <col min="15371" max="15371" width="17.25" style="113" customWidth="1"/>
    <col min="15372" max="15372" width="10.75" style="113" bestFit="1" customWidth="1"/>
    <col min="15373" max="15616" width="9" style="113"/>
    <col min="15617" max="15617" width="17.75" style="113" customWidth="1"/>
    <col min="15618" max="15618" width="16.25" style="113" customWidth="1"/>
    <col min="15619" max="15619" width="31.75" style="113" customWidth="1"/>
    <col min="15620" max="15620" width="26.5" style="113" bestFit="1" customWidth="1"/>
    <col min="15621" max="15621" width="16.25" style="113" customWidth="1"/>
    <col min="15622" max="15622" width="18.75" style="113" customWidth="1"/>
    <col min="15623" max="15623" width="16.75" style="113" customWidth="1"/>
    <col min="15624" max="15624" width="12.125" style="113" bestFit="1" customWidth="1"/>
    <col min="15625" max="15625" width="10.75" style="113" bestFit="1" customWidth="1"/>
    <col min="15626" max="15626" width="12.875" style="113" bestFit="1" customWidth="1"/>
    <col min="15627" max="15627" width="17.25" style="113" customWidth="1"/>
    <col min="15628" max="15628" width="10.75" style="113" bestFit="1" customWidth="1"/>
    <col min="15629" max="15872" width="9" style="113"/>
    <col min="15873" max="15873" width="17.75" style="113" customWidth="1"/>
    <col min="15874" max="15874" width="16.25" style="113" customWidth="1"/>
    <col min="15875" max="15875" width="31.75" style="113" customWidth="1"/>
    <col min="15876" max="15876" width="26.5" style="113" bestFit="1" customWidth="1"/>
    <col min="15877" max="15877" width="16.25" style="113" customWidth="1"/>
    <col min="15878" max="15878" width="18.75" style="113" customWidth="1"/>
    <col min="15879" max="15879" width="16.75" style="113" customWidth="1"/>
    <col min="15880" max="15880" width="12.125" style="113" bestFit="1" customWidth="1"/>
    <col min="15881" max="15881" width="10.75" style="113" bestFit="1" customWidth="1"/>
    <col min="15882" max="15882" width="12.875" style="113" bestFit="1" customWidth="1"/>
    <col min="15883" max="15883" width="17.25" style="113" customWidth="1"/>
    <col min="15884" max="15884" width="10.75" style="113" bestFit="1" customWidth="1"/>
    <col min="15885" max="16128" width="9" style="113"/>
    <col min="16129" max="16129" width="17.75" style="113" customWidth="1"/>
    <col min="16130" max="16130" width="16.25" style="113" customWidth="1"/>
    <col min="16131" max="16131" width="31.75" style="113" customWidth="1"/>
    <col min="16132" max="16132" width="26.5" style="113" bestFit="1" customWidth="1"/>
    <col min="16133" max="16133" width="16.25" style="113" customWidth="1"/>
    <col min="16134" max="16134" width="18.75" style="113" customWidth="1"/>
    <col min="16135" max="16135" width="16.75" style="113" customWidth="1"/>
    <col min="16136" max="16136" width="12.125" style="113" bestFit="1" customWidth="1"/>
    <col min="16137" max="16137" width="10.75" style="113" bestFit="1" customWidth="1"/>
    <col min="16138" max="16138" width="12.875" style="113" bestFit="1" customWidth="1"/>
    <col min="16139" max="16139" width="17.25" style="113" customWidth="1"/>
    <col min="16140" max="16140" width="10.75" style="113" bestFit="1" customWidth="1"/>
    <col min="16141" max="16384" width="9" style="113"/>
  </cols>
  <sheetData>
    <row r="1" spans="1:7" ht="42.75" customHeight="1" thickBot="1" x14ac:dyDescent="0.2"/>
    <row r="2" spans="1:7" ht="12.75" thickTop="1" x14ac:dyDescent="0.15">
      <c r="A2" s="116"/>
      <c r="B2" s="116"/>
      <c r="C2" s="116"/>
      <c r="D2" s="117"/>
      <c r="E2" s="116"/>
      <c r="F2" s="116"/>
    </row>
    <row r="3" spans="1:7" x14ac:dyDescent="0.15">
      <c r="A3" s="118" t="s">
        <v>76</v>
      </c>
      <c r="B3" s="115"/>
      <c r="C3" s="115"/>
      <c r="D3" s="119"/>
      <c r="E3" s="115"/>
      <c r="F3" s="120"/>
    </row>
    <row r="4" spans="1:7" x14ac:dyDescent="0.15">
      <c r="A4" s="121"/>
      <c r="B4" s="115"/>
      <c r="C4" s="115"/>
      <c r="D4" s="119"/>
      <c r="E4" s="115"/>
      <c r="F4" s="120"/>
    </row>
    <row r="5" spans="1:7" x14ac:dyDescent="0.15">
      <c r="A5" s="122" t="s">
        <v>77</v>
      </c>
      <c r="B5" s="123" t="s">
        <v>78</v>
      </c>
      <c r="C5" s="123" t="s">
        <v>79</v>
      </c>
      <c r="D5" s="124"/>
      <c r="E5" s="115"/>
      <c r="F5" s="120"/>
    </row>
    <row r="6" spans="1:7" x14ac:dyDescent="0.15">
      <c r="A6" s="125">
        <v>15500000000</v>
      </c>
      <c r="B6" s="126">
        <v>2.5000000000000001E-2</v>
      </c>
      <c r="C6" s="127" t="s">
        <v>80</v>
      </c>
      <c r="D6" s="124" t="s">
        <v>81</v>
      </c>
      <c r="F6" s="120"/>
    </row>
    <row r="7" spans="1:7" x14ac:dyDescent="0.15">
      <c r="A7" s="128" t="s">
        <v>82</v>
      </c>
      <c r="B7" s="129" t="s">
        <v>83</v>
      </c>
      <c r="C7" s="128" t="s">
        <v>84</v>
      </c>
      <c r="D7" s="124"/>
      <c r="F7" s="120"/>
    </row>
    <row r="8" spans="1:7" x14ac:dyDescent="0.15">
      <c r="A8" s="130">
        <v>12847397000</v>
      </c>
      <c r="B8" s="131"/>
      <c r="C8" s="132">
        <v>41639</v>
      </c>
      <c r="D8" s="124"/>
      <c r="F8" s="120"/>
    </row>
    <row r="9" spans="1:7" x14ac:dyDescent="0.15">
      <c r="A9" s="130">
        <v>12847397000</v>
      </c>
      <c r="B9" s="131"/>
      <c r="C9" s="132">
        <v>41729</v>
      </c>
      <c r="D9" s="124">
        <f t="shared" ref="D9:D16" si="0">A9*$B$6/4</f>
        <v>80296231.25</v>
      </c>
      <c r="F9" s="120"/>
    </row>
    <row r="10" spans="1:7" x14ac:dyDescent="0.15">
      <c r="A10" s="130">
        <v>12847397000</v>
      </c>
      <c r="B10" s="119"/>
      <c r="C10" s="132">
        <v>41820</v>
      </c>
      <c r="D10" s="124">
        <f t="shared" si="0"/>
        <v>80296231.25</v>
      </c>
      <c r="F10" s="120"/>
    </row>
    <row r="11" spans="1:7" x14ac:dyDescent="0.15">
      <c r="A11" s="130">
        <v>12847397000</v>
      </c>
      <c r="B11" s="131"/>
      <c r="C11" s="132">
        <v>41912</v>
      </c>
      <c r="D11" s="124">
        <f t="shared" si="0"/>
        <v>80296231.25</v>
      </c>
      <c r="F11" s="120"/>
    </row>
    <row r="12" spans="1:7" x14ac:dyDescent="0.15">
      <c r="A12" s="130">
        <f>A11</f>
        <v>12847397000</v>
      </c>
      <c r="B12" s="131"/>
      <c r="C12" s="132">
        <v>42004</v>
      </c>
      <c r="D12" s="124">
        <f t="shared" si="0"/>
        <v>80296231.25</v>
      </c>
      <c r="F12" s="120"/>
    </row>
    <row r="13" spans="1:7" x14ac:dyDescent="0.15">
      <c r="A13" s="130">
        <f>A12</f>
        <v>12847397000</v>
      </c>
      <c r="B13" s="131"/>
      <c r="C13" s="132">
        <v>42094</v>
      </c>
      <c r="D13" s="124">
        <f>A13*$B$6/4</f>
        <v>80296231.25</v>
      </c>
      <c r="F13" s="133">
        <f t="shared" ref="F13:F18" si="1">A13/4</f>
        <v>3211849250</v>
      </c>
      <c r="G13" s="114">
        <f t="shared" ref="G13:G18" si="2">C13-C12</f>
        <v>90</v>
      </c>
    </row>
    <row r="14" spans="1:7" x14ac:dyDescent="0.15">
      <c r="A14" s="130">
        <f>11597323044+250067500</f>
        <v>11847390544</v>
      </c>
      <c r="B14" s="131" t="s">
        <v>85</v>
      </c>
      <c r="C14" s="132">
        <v>42185</v>
      </c>
      <c r="D14" s="124">
        <f t="shared" si="0"/>
        <v>74046190.900000006</v>
      </c>
      <c r="F14" s="133">
        <f t="shared" si="1"/>
        <v>2961847636</v>
      </c>
      <c r="G14" s="114">
        <f t="shared" si="2"/>
        <v>91</v>
      </c>
    </row>
    <row r="15" spans="1:7" x14ac:dyDescent="0.15">
      <c r="A15" s="130">
        <f>7347319544+250067500</f>
        <v>7597387044</v>
      </c>
      <c r="B15" s="131" t="s">
        <v>86</v>
      </c>
      <c r="C15" s="132">
        <v>42277</v>
      </c>
      <c r="D15" s="124">
        <f t="shared" si="0"/>
        <v>47483669.025000006</v>
      </c>
      <c r="F15" s="133">
        <f t="shared" si="1"/>
        <v>1899346761</v>
      </c>
      <c r="G15" s="114">
        <f t="shared" si="2"/>
        <v>92</v>
      </c>
    </row>
    <row r="16" spans="1:7" x14ac:dyDescent="0.15">
      <c r="A16" s="130">
        <f>5097318544+250067500</f>
        <v>5347386044</v>
      </c>
      <c r="B16" s="131" t="s">
        <v>86</v>
      </c>
      <c r="C16" s="132">
        <v>42369</v>
      </c>
      <c r="D16" s="124">
        <f t="shared" si="0"/>
        <v>33421162.775000002</v>
      </c>
      <c r="F16" s="133">
        <f t="shared" si="1"/>
        <v>1336846511</v>
      </c>
      <c r="G16" s="114">
        <f t="shared" si="2"/>
        <v>92</v>
      </c>
    </row>
    <row r="17" spans="1:8" x14ac:dyDescent="0.15">
      <c r="A17" s="130">
        <f>4847252044+500134000</f>
        <v>5347386044</v>
      </c>
      <c r="B17" s="131" t="s">
        <v>87</v>
      </c>
      <c r="C17" s="132">
        <v>42460</v>
      </c>
      <c r="D17" s="124">
        <f>A17*$B$6/4</f>
        <v>33421162.775000002</v>
      </c>
      <c r="F17" s="133">
        <f t="shared" si="1"/>
        <v>1336846511</v>
      </c>
      <c r="G17" s="114">
        <f t="shared" si="2"/>
        <v>91</v>
      </c>
    </row>
    <row r="18" spans="1:8" x14ac:dyDescent="0.15">
      <c r="A18" s="130">
        <f>4847252044+500134000</f>
        <v>5347386044</v>
      </c>
      <c r="B18" s="131" t="s">
        <v>88</v>
      </c>
      <c r="C18" s="132">
        <v>42551</v>
      </c>
      <c r="D18" s="124">
        <f>A18*$B$6/4</f>
        <v>33421162.775000002</v>
      </c>
      <c r="F18" s="133">
        <f t="shared" si="1"/>
        <v>1336846511</v>
      </c>
      <c r="G18" s="114">
        <f t="shared" si="2"/>
        <v>91</v>
      </c>
    </row>
    <row r="19" spans="1:8" x14ac:dyDescent="0.15">
      <c r="A19" s="130"/>
      <c r="B19" s="131"/>
      <c r="C19" s="132"/>
      <c r="D19" s="124"/>
      <c r="F19" s="133"/>
    </row>
    <row r="20" spans="1:8" x14ac:dyDescent="0.15">
      <c r="A20" s="130"/>
      <c r="B20" s="131"/>
      <c r="C20" s="134"/>
      <c r="D20" s="124"/>
      <c r="F20" s="120"/>
    </row>
    <row r="21" spans="1:8" x14ac:dyDescent="0.15">
      <c r="A21" s="135" t="s">
        <v>89</v>
      </c>
      <c r="B21" s="136" t="s">
        <v>90</v>
      </c>
      <c r="C21" s="135" t="s">
        <v>91</v>
      </c>
      <c r="D21" s="135" t="s">
        <v>92</v>
      </c>
      <c r="E21" s="137" t="s">
        <v>93</v>
      </c>
      <c r="F21" s="137" t="s">
        <v>94</v>
      </c>
    </row>
    <row r="22" spans="1:8" x14ac:dyDescent="0.15">
      <c r="A22" s="138">
        <v>40100</v>
      </c>
      <c r="B22" s="138">
        <v>40178</v>
      </c>
      <c r="C22" s="139">
        <f>+B22-A22+1</f>
        <v>79</v>
      </c>
      <c r="D22" s="140">
        <f>$A$6*$B$6/365*C22</f>
        <v>83869863.013698637</v>
      </c>
      <c r="E22" s="141">
        <f t="shared" ref="E22:E30" si="3">+B22</f>
        <v>40178</v>
      </c>
      <c r="F22" s="142" t="s">
        <v>95</v>
      </c>
      <c r="H22" s="143"/>
    </row>
    <row r="23" spans="1:8" x14ac:dyDescent="0.15">
      <c r="A23" s="138">
        <v>40179</v>
      </c>
      <c r="B23" s="138">
        <v>40268</v>
      </c>
      <c r="C23" s="139">
        <f>+B23-A23+1</f>
        <v>90</v>
      </c>
      <c r="D23" s="140">
        <f>$A$6*$B$6*C23/365</f>
        <v>95547945.205479458</v>
      </c>
      <c r="E23" s="141">
        <f t="shared" si="3"/>
        <v>40268</v>
      </c>
      <c r="F23" s="142" t="s">
        <v>95</v>
      </c>
      <c r="H23" s="143"/>
    </row>
    <row r="24" spans="1:8" x14ac:dyDescent="0.15">
      <c r="A24" s="138">
        <v>40269</v>
      </c>
      <c r="B24" s="138">
        <v>40359</v>
      </c>
      <c r="C24" s="139">
        <f>+B24-A24+1</f>
        <v>91</v>
      </c>
      <c r="D24" s="140">
        <f>$A$6*$B$6*C24/365</f>
        <v>96609589.041095898</v>
      </c>
      <c r="E24" s="141">
        <f t="shared" si="3"/>
        <v>40359</v>
      </c>
      <c r="F24" s="142" t="s">
        <v>95</v>
      </c>
      <c r="H24" s="143"/>
    </row>
    <row r="25" spans="1:8" x14ac:dyDescent="0.15">
      <c r="A25" s="138">
        <v>40360</v>
      </c>
      <c r="B25" s="138">
        <v>40451</v>
      </c>
      <c r="C25" s="139">
        <f>+B25-A25+1</f>
        <v>92</v>
      </c>
      <c r="D25" s="140">
        <v>98467466</v>
      </c>
      <c r="E25" s="141">
        <f t="shared" si="3"/>
        <v>40451</v>
      </c>
      <c r="F25" s="142" t="s">
        <v>95</v>
      </c>
    </row>
    <row r="26" spans="1:8" x14ac:dyDescent="0.15">
      <c r="A26" s="138">
        <v>40452</v>
      </c>
      <c r="B26" s="138">
        <v>40543</v>
      </c>
      <c r="C26" s="139">
        <f>+B26-A26+1</f>
        <v>92</v>
      </c>
      <c r="D26" s="140">
        <f>$A$6*$B$6/4</f>
        <v>96875000</v>
      </c>
      <c r="E26" s="141">
        <f t="shared" si="3"/>
        <v>40543</v>
      </c>
      <c r="F26" s="142" t="s">
        <v>95</v>
      </c>
    </row>
    <row r="27" spans="1:8" x14ac:dyDescent="0.15">
      <c r="A27" s="138">
        <v>40544</v>
      </c>
      <c r="B27" s="138">
        <v>40633</v>
      </c>
      <c r="C27" s="139">
        <f t="shared" ref="C27:C40" si="4">+B27-A27+1</f>
        <v>90</v>
      </c>
      <c r="D27" s="140">
        <f t="shared" ref="D27:D37" si="5">$A$6*$B$6/4</f>
        <v>96875000</v>
      </c>
      <c r="E27" s="141">
        <f t="shared" si="3"/>
        <v>40633</v>
      </c>
      <c r="F27" s="142" t="s">
        <v>95</v>
      </c>
      <c r="H27" s="143"/>
    </row>
    <row r="28" spans="1:8" x14ac:dyDescent="0.15">
      <c r="A28" s="138">
        <v>40634</v>
      </c>
      <c r="B28" s="138">
        <v>40724</v>
      </c>
      <c r="C28" s="139">
        <f t="shared" si="4"/>
        <v>91</v>
      </c>
      <c r="D28" s="140">
        <f t="shared" si="5"/>
        <v>96875000</v>
      </c>
      <c r="E28" s="141">
        <f t="shared" si="3"/>
        <v>40724</v>
      </c>
      <c r="F28" s="142" t="s">
        <v>95</v>
      </c>
      <c r="H28" s="143"/>
    </row>
    <row r="29" spans="1:8" x14ac:dyDescent="0.15">
      <c r="A29" s="138">
        <v>40725</v>
      </c>
      <c r="B29" s="138">
        <v>40816</v>
      </c>
      <c r="C29" s="139">
        <f t="shared" si="4"/>
        <v>92</v>
      </c>
      <c r="D29" s="140">
        <f t="shared" si="5"/>
        <v>96875000</v>
      </c>
      <c r="E29" s="141">
        <f t="shared" si="3"/>
        <v>40816</v>
      </c>
      <c r="F29" s="142" t="s">
        <v>95</v>
      </c>
    </row>
    <row r="30" spans="1:8" x14ac:dyDescent="0.15">
      <c r="A30" s="138">
        <v>40817</v>
      </c>
      <c r="B30" s="138">
        <v>40908</v>
      </c>
      <c r="C30" s="139">
        <f t="shared" si="4"/>
        <v>92</v>
      </c>
      <c r="D30" s="140">
        <f t="shared" si="5"/>
        <v>96875000</v>
      </c>
      <c r="E30" s="141">
        <f t="shared" si="3"/>
        <v>40908</v>
      </c>
      <c r="F30" s="142" t="s">
        <v>95</v>
      </c>
    </row>
    <row r="31" spans="1:8" x14ac:dyDescent="0.15">
      <c r="A31" s="138">
        <v>40909</v>
      </c>
      <c r="B31" s="138">
        <v>40999</v>
      </c>
      <c r="C31" s="139">
        <f t="shared" si="4"/>
        <v>91</v>
      </c>
      <c r="D31" s="140">
        <f t="shared" si="5"/>
        <v>96875000</v>
      </c>
      <c r="E31" s="141">
        <v>41001</v>
      </c>
      <c r="F31" s="142" t="s">
        <v>95</v>
      </c>
    </row>
    <row r="32" spans="1:8" x14ac:dyDescent="0.15">
      <c r="A32" s="138">
        <v>41000</v>
      </c>
      <c r="B32" s="138">
        <v>41090</v>
      </c>
      <c r="C32" s="139">
        <f t="shared" si="4"/>
        <v>91</v>
      </c>
      <c r="D32" s="140">
        <f t="shared" si="5"/>
        <v>96875000</v>
      </c>
      <c r="E32" s="141">
        <f>+B32</f>
        <v>41090</v>
      </c>
      <c r="F32" s="142" t="s">
        <v>96</v>
      </c>
    </row>
    <row r="33" spans="1:9" x14ac:dyDescent="0.15">
      <c r="A33" s="138">
        <v>41091</v>
      </c>
      <c r="B33" s="138">
        <v>41182</v>
      </c>
      <c r="C33" s="139">
        <f t="shared" si="4"/>
        <v>92</v>
      </c>
      <c r="D33" s="140">
        <f t="shared" si="5"/>
        <v>96875000</v>
      </c>
      <c r="E33" s="141">
        <v>41186</v>
      </c>
      <c r="F33" s="142" t="s">
        <v>96</v>
      </c>
    </row>
    <row r="34" spans="1:9" x14ac:dyDescent="0.15">
      <c r="A34" s="138">
        <v>41183</v>
      </c>
      <c r="B34" s="138">
        <v>41274</v>
      </c>
      <c r="C34" s="139">
        <f t="shared" si="4"/>
        <v>92</v>
      </c>
      <c r="D34" s="140">
        <f t="shared" si="5"/>
        <v>96875000</v>
      </c>
      <c r="E34" s="141">
        <f>+B34</f>
        <v>41274</v>
      </c>
      <c r="F34" s="142" t="s">
        <v>97</v>
      </c>
    </row>
    <row r="35" spans="1:9" x14ac:dyDescent="0.15">
      <c r="A35" s="138">
        <v>41275</v>
      </c>
      <c r="B35" s="138">
        <v>41364</v>
      </c>
      <c r="C35" s="139">
        <f t="shared" si="4"/>
        <v>90</v>
      </c>
      <c r="D35" s="140">
        <f t="shared" si="5"/>
        <v>96875000</v>
      </c>
      <c r="E35" s="141">
        <v>41365</v>
      </c>
      <c r="F35" s="142" t="s">
        <v>97</v>
      </c>
    </row>
    <row r="36" spans="1:9" x14ac:dyDescent="0.15">
      <c r="A36" s="138">
        <v>41365</v>
      </c>
      <c r="B36" s="138">
        <v>41455</v>
      </c>
      <c r="C36" s="139">
        <f t="shared" si="4"/>
        <v>91</v>
      </c>
      <c r="D36" s="140">
        <f t="shared" si="5"/>
        <v>96875000</v>
      </c>
      <c r="E36" s="144">
        <v>41456</v>
      </c>
      <c r="F36" s="142" t="s">
        <v>97</v>
      </c>
      <c r="H36" s="130"/>
      <c r="I36" s="114"/>
    </row>
    <row r="37" spans="1:9" x14ac:dyDescent="0.15">
      <c r="A37" s="138">
        <v>41456</v>
      </c>
      <c r="B37" s="138">
        <v>41547</v>
      </c>
      <c r="C37" s="139">
        <f t="shared" si="4"/>
        <v>92</v>
      </c>
      <c r="D37" s="140">
        <f t="shared" si="5"/>
        <v>96875000</v>
      </c>
      <c r="E37" s="144">
        <v>41547</v>
      </c>
      <c r="F37" s="142" t="s">
        <v>97</v>
      </c>
      <c r="H37" s="130"/>
      <c r="I37" s="114"/>
    </row>
    <row r="38" spans="1:9" x14ac:dyDescent="0.15">
      <c r="A38" s="138">
        <v>41548</v>
      </c>
      <c r="B38" s="138">
        <v>41560</v>
      </c>
      <c r="C38" s="139">
        <f t="shared" si="4"/>
        <v>13</v>
      </c>
      <c r="D38" s="140">
        <f>INT($A$6*$B$6/365*C38)</f>
        <v>13801369</v>
      </c>
      <c r="E38" s="144">
        <v>41639</v>
      </c>
      <c r="F38" s="142" t="s">
        <v>97</v>
      </c>
      <c r="H38" s="130"/>
      <c r="I38" s="114"/>
    </row>
    <row r="39" spans="1:9" x14ac:dyDescent="0.15">
      <c r="A39" s="145">
        <v>41561</v>
      </c>
      <c r="B39" s="145">
        <v>41639</v>
      </c>
      <c r="C39" s="140">
        <f>+B39-A39+1</f>
        <v>79</v>
      </c>
      <c r="D39" s="140">
        <f>INT(A8*B6*C39/92/4)+1</f>
        <v>68950025</v>
      </c>
      <c r="E39" s="146">
        <v>41729</v>
      </c>
      <c r="F39" s="142" t="s">
        <v>97</v>
      </c>
      <c r="H39" s="130"/>
      <c r="I39" s="114"/>
    </row>
    <row r="40" spans="1:9" s="152" customFormat="1" x14ac:dyDescent="0.15">
      <c r="A40" s="147">
        <v>41640</v>
      </c>
      <c r="B40" s="147">
        <v>42004</v>
      </c>
      <c r="C40" s="148">
        <f t="shared" si="4"/>
        <v>365</v>
      </c>
      <c r="D40" s="148">
        <f>+SUM(A9:A12)/4*B6</f>
        <v>321184925</v>
      </c>
      <c r="E40" s="149">
        <v>42094</v>
      </c>
      <c r="F40" s="142" t="s">
        <v>97</v>
      </c>
      <c r="G40" s="150"/>
      <c r="H40" s="151"/>
      <c r="I40" s="150"/>
    </row>
    <row r="41" spans="1:9" s="152" customFormat="1" x14ac:dyDescent="0.15">
      <c r="A41" s="153">
        <v>42005</v>
      </c>
      <c r="B41" s="154">
        <v>42369</v>
      </c>
      <c r="C41" s="155">
        <f>+B41-A41+1</f>
        <v>365</v>
      </c>
      <c r="D41" s="155">
        <f>INT(SUM(D12:D15))</f>
        <v>282122322</v>
      </c>
      <c r="E41" s="156">
        <v>42570</v>
      </c>
      <c r="F41" s="142" t="s">
        <v>97</v>
      </c>
      <c r="G41" s="150">
        <f>SUM(D22:D42)</f>
        <v>2289895829.2602739</v>
      </c>
      <c r="H41" s="151"/>
      <c r="I41" s="150"/>
    </row>
    <row r="42" spans="1:9" x14ac:dyDescent="0.15">
      <c r="A42" s="157">
        <v>42370</v>
      </c>
      <c r="B42" s="158">
        <v>42551</v>
      </c>
      <c r="C42" s="159">
        <f>+B42-A42+1</f>
        <v>182</v>
      </c>
      <c r="D42" s="159">
        <f>INT(SUM(D17:D18))</f>
        <v>66842325</v>
      </c>
      <c r="E42" s="160">
        <v>42825</v>
      </c>
      <c r="F42" s="161"/>
      <c r="G42" s="114">
        <f>SUM(D22:D42)</f>
        <v>2289895829.2602739</v>
      </c>
      <c r="H42" s="130"/>
      <c r="I42" s="114"/>
    </row>
    <row r="43" spans="1:9" x14ac:dyDescent="0.15">
      <c r="A43" s="162"/>
      <c r="B43" s="163"/>
      <c r="C43" s="164">
        <f>SUM(C42:C42)</f>
        <v>182</v>
      </c>
      <c r="D43" s="164">
        <f>SUM(D42:D42)</f>
        <v>66842325</v>
      </c>
      <c r="E43" s="115"/>
      <c r="F43" s="120"/>
      <c r="H43" s="130"/>
      <c r="I43" s="114"/>
    </row>
    <row r="44" spans="1:9" ht="12.75" thickBot="1" x14ac:dyDescent="0.2">
      <c r="A44" s="165"/>
      <c r="B44" s="166"/>
      <c r="C44" s="167"/>
      <c r="D44" s="167"/>
      <c r="E44" s="168"/>
      <c r="F44" s="169"/>
      <c r="H44" s="130"/>
      <c r="I44" s="114"/>
    </row>
    <row r="45" spans="1:9" ht="12.75" thickTop="1" x14ac:dyDescent="0.15">
      <c r="B45" s="170"/>
      <c r="H45" s="130"/>
      <c r="I45" s="114"/>
    </row>
    <row r="46" spans="1:9" x14ac:dyDescent="0.15">
      <c r="H46" s="130"/>
      <c r="I46" s="114"/>
    </row>
    <row r="47" spans="1:9" x14ac:dyDescent="0.15">
      <c r="H47" s="130"/>
      <c r="I47" s="114"/>
    </row>
    <row r="48" spans="1:9" x14ac:dyDescent="0.15">
      <c r="A48" s="118" t="s">
        <v>98</v>
      </c>
      <c r="B48" s="115"/>
      <c r="C48" s="115"/>
      <c r="D48" s="119"/>
      <c r="E48" s="115"/>
      <c r="F48" s="120"/>
      <c r="H48" s="130"/>
      <c r="I48" s="114"/>
    </row>
    <row r="49" spans="1:11" x14ac:dyDescent="0.15">
      <c r="A49" s="121"/>
      <c r="B49" s="115"/>
      <c r="C49" s="115"/>
      <c r="D49" s="119"/>
      <c r="E49" s="115"/>
      <c r="F49" s="120"/>
      <c r="H49" s="130"/>
      <c r="I49" s="114"/>
    </row>
    <row r="50" spans="1:11" x14ac:dyDescent="0.15">
      <c r="A50" s="122" t="s">
        <v>99</v>
      </c>
      <c r="B50" s="123" t="s">
        <v>100</v>
      </c>
      <c r="C50" s="123" t="s">
        <v>101</v>
      </c>
      <c r="D50" s="119"/>
      <c r="E50" s="115"/>
      <c r="F50" s="120"/>
      <c r="H50" s="130"/>
      <c r="I50" s="114"/>
    </row>
    <row r="51" spans="1:11" x14ac:dyDescent="0.15">
      <c r="A51" s="125">
        <v>11000000000</v>
      </c>
      <c r="B51" s="126">
        <v>0.01</v>
      </c>
      <c r="C51" s="171">
        <f>+A51*B51</f>
        <v>110000000</v>
      </c>
      <c r="D51" s="172" t="s">
        <v>102</v>
      </c>
      <c r="E51" s="115"/>
      <c r="F51" s="120"/>
      <c r="H51" s="130"/>
      <c r="I51" s="114"/>
    </row>
    <row r="52" spans="1:11" x14ac:dyDescent="0.15">
      <c r="A52" s="173"/>
      <c r="B52" s="131"/>
      <c r="C52" s="119"/>
      <c r="D52" s="119"/>
      <c r="E52" s="115"/>
      <c r="F52" s="120"/>
      <c r="H52" s="130"/>
      <c r="I52" s="114"/>
    </row>
    <row r="53" spans="1:11" x14ac:dyDescent="0.15">
      <c r="A53" s="135" t="s">
        <v>103</v>
      </c>
      <c r="B53" s="136" t="s">
        <v>104</v>
      </c>
      <c r="C53" s="135" t="s">
        <v>105</v>
      </c>
      <c r="D53" s="135" t="s">
        <v>106</v>
      </c>
      <c r="E53" s="137" t="s">
        <v>107</v>
      </c>
      <c r="F53" s="137" t="s">
        <v>108</v>
      </c>
    </row>
    <row r="54" spans="1:11" x14ac:dyDescent="0.15">
      <c r="A54" s="162">
        <v>40330</v>
      </c>
      <c r="B54" s="163">
        <v>40338</v>
      </c>
      <c r="C54" s="130">
        <f>B54-A54+1</f>
        <v>9</v>
      </c>
      <c r="D54" s="119">
        <f>INT($A$51*$B$51*C54/365)</f>
        <v>2712328</v>
      </c>
      <c r="E54" s="174">
        <v>40359</v>
      </c>
      <c r="F54" s="175">
        <f>D54*2</f>
        <v>5424656</v>
      </c>
      <c r="I54" s="113">
        <f>YEAR(B54)</f>
        <v>2010</v>
      </c>
      <c r="J54" s="113">
        <v>2010</v>
      </c>
      <c r="K54" s="114">
        <f t="shared" ref="K54:K60" si="6">SUMIFS($F$54:$F$80,$I$54:$I$80,J54)</f>
        <v>128986300</v>
      </c>
    </row>
    <row r="55" spans="1:11" x14ac:dyDescent="0.15">
      <c r="A55" s="162">
        <v>40339</v>
      </c>
      <c r="B55" s="163">
        <v>40359</v>
      </c>
      <c r="C55" s="130">
        <f>B55-A55+1</f>
        <v>21</v>
      </c>
      <c r="D55" s="119">
        <f>INT($A$51*$B$51*C55/365)</f>
        <v>6328767</v>
      </c>
      <c r="E55" s="174">
        <v>40359</v>
      </c>
      <c r="F55" s="175">
        <f t="shared" ref="F55:F76" si="7">D55*2</f>
        <v>12657534</v>
      </c>
      <c r="I55" s="113">
        <f t="shared" ref="I55:I80" si="8">YEAR(B55)</f>
        <v>2010</v>
      </c>
      <c r="J55" s="113">
        <v>2011</v>
      </c>
      <c r="K55" s="114">
        <f t="shared" si="6"/>
        <v>220000000</v>
      </c>
    </row>
    <row r="56" spans="1:11" x14ac:dyDescent="0.15">
      <c r="A56" s="162">
        <v>40360</v>
      </c>
      <c r="B56" s="163">
        <v>40451</v>
      </c>
      <c r="C56" s="130">
        <f>B56-A56+1</f>
        <v>92</v>
      </c>
      <c r="D56" s="119">
        <f t="shared" ref="D56:D75" si="9">INT($A$51*$B$51*C56/365)</f>
        <v>27726027</v>
      </c>
      <c r="E56" s="174">
        <v>40451</v>
      </c>
      <c r="F56" s="175">
        <f t="shared" si="7"/>
        <v>55452054</v>
      </c>
      <c r="I56" s="113">
        <f t="shared" si="8"/>
        <v>2010</v>
      </c>
      <c r="J56" s="113">
        <v>2012</v>
      </c>
      <c r="K56" s="114">
        <f t="shared" si="6"/>
        <v>220000000</v>
      </c>
    </row>
    <row r="57" spans="1:11" x14ac:dyDescent="0.15">
      <c r="A57" s="162">
        <v>40452</v>
      </c>
      <c r="B57" s="163">
        <v>40543</v>
      </c>
      <c r="C57" s="130">
        <f>B57-A57+1</f>
        <v>92</v>
      </c>
      <c r="D57" s="119">
        <f t="shared" si="9"/>
        <v>27726027</v>
      </c>
      <c r="E57" s="174">
        <v>40543</v>
      </c>
      <c r="F57" s="175">
        <f>D57*2+2</f>
        <v>55452056</v>
      </c>
      <c r="I57" s="113">
        <f t="shared" si="8"/>
        <v>2010</v>
      </c>
      <c r="J57" s="113">
        <v>2013</v>
      </c>
      <c r="K57" s="114">
        <f t="shared" si="6"/>
        <v>219999998</v>
      </c>
    </row>
    <row r="58" spans="1:11" x14ac:dyDescent="0.15">
      <c r="A58" s="176">
        <v>40544</v>
      </c>
      <c r="B58" s="163">
        <v>40633</v>
      </c>
      <c r="C58" s="119">
        <f>+B58-A58+1</f>
        <v>90</v>
      </c>
      <c r="D58" s="119">
        <f t="shared" si="9"/>
        <v>27123287</v>
      </c>
      <c r="E58" s="163">
        <f>B58</f>
        <v>40633</v>
      </c>
      <c r="F58" s="175">
        <f t="shared" si="7"/>
        <v>54246574</v>
      </c>
      <c r="H58" s="130"/>
      <c r="I58" s="113">
        <f t="shared" si="8"/>
        <v>2011</v>
      </c>
      <c r="J58" s="113">
        <v>2014</v>
      </c>
      <c r="K58" s="114">
        <f t="shared" si="6"/>
        <v>220000000</v>
      </c>
    </row>
    <row r="59" spans="1:11" x14ac:dyDescent="0.15">
      <c r="A59" s="162">
        <v>40634</v>
      </c>
      <c r="B59" s="163">
        <v>40724</v>
      </c>
      <c r="C59" s="130">
        <f>+B59-A59+1</f>
        <v>91</v>
      </c>
      <c r="D59" s="119">
        <f t="shared" si="9"/>
        <v>27424657</v>
      </c>
      <c r="E59" s="163">
        <f>B59</f>
        <v>40724</v>
      </c>
      <c r="F59" s="175">
        <f t="shared" si="7"/>
        <v>54849314</v>
      </c>
      <c r="H59" s="130"/>
      <c r="I59" s="113">
        <f t="shared" si="8"/>
        <v>2011</v>
      </c>
      <c r="J59" s="113">
        <v>2015</v>
      </c>
      <c r="K59" s="114">
        <f t="shared" si="6"/>
        <v>220000000</v>
      </c>
    </row>
    <row r="60" spans="1:11" x14ac:dyDescent="0.15">
      <c r="A60" s="162">
        <v>40725</v>
      </c>
      <c r="B60" s="163">
        <v>40816</v>
      </c>
      <c r="C60" s="130">
        <f>+B60-A60+1</f>
        <v>92</v>
      </c>
      <c r="D60" s="119">
        <f t="shared" si="9"/>
        <v>27726027</v>
      </c>
      <c r="E60" s="163">
        <f>B60</f>
        <v>40816</v>
      </c>
      <c r="F60" s="175">
        <f t="shared" si="7"/>
        <v>55452054</v>
      </c>
      <c r="H60" s="130"/>
      <c r="I60" s="113">
        <f t="shared" si="8"/>
        <v>2011</v>
      </c>
      <c r="J60" s="113">
        <v>2016</v>
      </c>
      <c r="K60" s="114">
        <f t="shared" si="6"/>
        <v>164699450</v>
      </c>
    </row>
    <row r="61" spans="1:11" x14ac:dyDescent="0.15">
      <c r="A61" s="162">
        <v>40817</v>
      </c>
      <c r="B61" s="163">
        <v>40908</v>
      </c>
      <c r="C61" s="130">
        <f>+B61-A61+1</f>
        <v>92</v>
      </c>
      <c r="D61" s="119">
        <f t="shared" si="9"/>
        <v>27726027</v>
      </c>
      <c r="E61" s="174">
        <f>+B61</f>
        <v>40908</v>
      </c>
      <c r="F61" s="177">
        <f>D61*2+4</f>
        <v>55452058</v>
      </c>
      <c r="H61" s="130"/>
      <c r="I61" s="113">
        <f t="shared" si="8"/>
        <v>2011</v>
      </c>
    </row>
    <row r="62" spans="1:11" x14ac:dyDescent="0.15">
      <c r="A62" s="162">
        <v>40909</v>
      </c>
      <c r="B62" s="163">
        <v>40999</v>
      </c>
      <c r="C62" s="130">
        <f>+B62-B61</f>
        <v>91</v>
      </c>
      <c r="D62" s="119">
        <f>INT($A$51*$B$51*C62/366)</f>
        <v>27349726</v>
      </c>
      <c r="E62" s="174">
        <v>41001</v>
      </c>
      <c r="F62" s="175">
        <f t="shared" si="7"/>
        <v>54699452</v>
      </c>
      <c r="H62" s="130"/>
      <c r="I62" s="113">
        <f t="shared" si="8"/>
        <v>2012</v>
      </c>
    </row>
    <row r="63" spans="1:11" x14ac:dyDescent="0.15">
      <c r="A63" s="162">
        <v>41000</v>
      </c>
      <c r="B63" s="163">
        <v>41090</v>
      </c>
      <c r="C63" s="130">
        <f t="shared" ref="C63:C70" si="10">+B63-A63+1</f>
        <v>91</v>
      </c>
      <c r="D63" s="119">
        <f>INT($A$51*$B$51*C63/366)</f>
        <v>27349726</v>
      </c>
      <c r="E63" s="174">
        <f>+B63</f>
        <v>41090</v>
      </c>
      <c r="F63" s="175">
        <f t="shared" si="7"/>
        <v>54699452</v>
      </c>
      <c r="H63" s="130"/>
      <c r="I63" s="113">
        <f t="shared" si="8"/>
        <v>2012</v>
      </c>
    </row>
    <row r="64" spans="1:11" x14ac:dyDescent="0.15">
      <c r="A64" s="162">
        <v>41091</v>
      </c>
      <c r="B64" s="163">
        <v>41182</v>
      </c>
      <c r="C64" s="130">
        <f t="shared" si="10"/>
        <v>92</v>
      </c>
      <c r="D64" s="119">
        <f>INT($A$51*$B$51*C64/366)</f>
        <v>27650273</v>
      </c>
      <c r="E64" s="174">
        <v>41186</v>
      </c>
      <c r="F64" s="175">
        <f t="shared" si="7"/>
        <v>55300546</v>
      </c>
      <c r="H64" s="130"/>
      <c r="I64" s="113">
        <f t="shared" si="8"/>
        <v>2012</v>
      </c>
    </row>
    <row r="65" spans="1:10" x14ac:dyDescent="0.15">
      <c r="A65" s="162">
        <v>41183</v>
      </c>
      <c r="B65" s="163">
        <v>41274</v>
      </c>
      <c r="C65" s="130">
        <f t="shared" si="10"/>
        <v>92</v>
      </c>
      <c r="D65" s="119">
        <f>INT($A$51*$B$51*C65/366)</f>
        <v>27650273</v>
      </c>
      <c r="E65" s="174">
        <f>+B65</f>
        <v>41274</v>
      </c>
      <c r="F65" s="175">
        <f>D65*2+4</f>
        <v>55300550</v>
      </c>
      <c r="H65" s="130"/>
      <c r="I65" s="113">
        <f t="shared" si="8"/>
        <v>2012</v>
      </c>
    </row>
    <row r="66" spans="1:10" x14ac:dyDescent="0.15">
      <c r="A66" s="162">
        <v>41275</v>
      </c>
      <c r="B66" s="163">
        <v>41364</v>
      </c>
      <c r="C66" s="130">
        <f t="shared" si="10"/>
        <v>90</v>
      </c>
      <c r="D66" s="119">
        <f t="shared" si="9"/>
        <v>27123287</v>
      </c>
      <c r="E66" s="174">
        <v>41365</v>
      </c>
      <c r="F66" s="175">
        <f t="shared" si="7"/>
        <v>54246574</v>
      </c>
      <c r="H66" s="130"/>
      <c r="I66" s="113">
        <f t="shared" si="8"/>
        <v>2013</v>
      </c>
    </row>
    <row r="67" spans="1:10" x14ac:dyDescent="0.15">
      <c r="A67" s="162">
        <v>41365</v>
      </c>
      <c r="B67" s="163">
        <v>41455</v>
      </c>
      <c r="C67" s="130">
        <f t="shared" si="10"/>
        <v>91</v>
      </c>
      <c r="D67" s="119">
        <f t="shared" si="9"/>
        <v>27424657</v>
      </c>
      <c r="E67" s="178">
        <v>41456</v>
      </c>
      <c r="F67" s="175">
        <f t="shared" si="7"/>
        <v>54849314</v>
      </c>
      <c r="H67" s="130"/>
      <c r="I67" s="113">
        <f t="shared" si="8"/>
        <v>2013</v>
      </c>
    </row>
    <row r="68" spans="1:10" x14ac:dyDescent="0.15">
      <c r="A68" s="162">
        <v>41456</v>
      </c>
      <c r="B68" s="163">
        <v>41547</v>
      </c>
      <c r="C68" s="130">
        <f t="shared" si="10"/>
        <v>92</v>
      </c>
      <c r="D68" s="119">
        <f t="shared" si="9"/>
        <v>27726027</v>
      </c>
      <c r="E68" s="178">
        <v>41547</v>
      </c>
      <c r="F68" s="175">
        <f t="shared" si="7"/>
        <v>55452054</v>
      </c>
      <c r="I68" s="113">
        <f t="shared" si="8"/>
        <v>2013</v>
      </c>
    </row>
    <row r="69" spans="1:10" x14ac:dyDescent="0.15">
      <c r="A69" s="162">
        <v>41548</v>
      </c>
      <c r="B69" s="163">
        <v>41639</v>
      </c>
      <c r="C69" s="130">
        <f t="shared" si="10"/>
        <v>92</v>
      </c>
      <c r="D69" s="119">
        <f t="shared" si="9"/>
        <v>27726027</v>
      </c>
      <c r="E69" s="178">
        <v>41639</v>
      </c>
      <c r="F69" s="175">
        <f>D69*2+2</f>
        <v>55452056</v>
      </c>
      <c r="I69" s="113">
        <f t="shared" si="8"/>
        <v>2013</v>
      </c>
    </row>
    <row r="70" spans="1:10" s="186" customFormat="1" x14ac:dyDescent="0.15">
      <c r="A70" s="179">
        <v>41640</v>
      </c>
      <c r="B70" s="180">
        <v>41729</v>
      </c>
      <c r="C70" s="181">
        <f t="shared" si="10"/>
        <v>90</v>
      </c>
      <c r="D70" s="119">
        <f t="shared" si="9"/>
        <v>27123287</v>
      </c>
      <c r="E70" s="182">
        <v>41729</v>
      </c>
      <c r="F70" s="175">
        <f t="shared" si="7"/>
        <v>54246574</v>
      </c>
      <c r="G70" s="183">
        <f t="shared" ref="G70:G75" si="11">ROUNDDOWN(D70*2,0)</f>
        <v>54246574</v>
      </c>
      <c r="H70" s="184"/>
      <c r="I70" s="113">
        <f t="shared" si="8"/>
        <v>2014</v>
      </c>
      <c r="J70" s="185"/>
    </row>
    <row r="71" spans="1:10" s="186" customFormat="1" x14ac:dyDescent="0.15">
      <c r="A71" s="179">
        <v>41730</v>
      </c>
      <c r="B71" s="180">
        <v>41820</v>
      </c>
      <c r="C71" s="181">
        <f t="shared" ref="C71:C77" si="12">+B71-B70</f>
        <v>91</v>
      </c>
      <c r="D71" s="119">
        <f t="shared" si="9"/>
        <v>27424657</v>
      </c>
      <c r="E71" s="182">
        <v>41820</v>
      </c>
      <c r="F71" s="175">
        <f t="shared" si="7"/>
        <v>54849314</v>
      </c>
      <c r="G71" s="183">
        <f t="shared" si="11"/>
        <v>54849314</v>
      </c>
      <c r="H71" s="184"/>
      <c r="I71" s="113">
        <f t="shared" si="8"/>
        <v>2014</v>
      </c>
    </row>
    <row r="72" spans="1:10" s="186" customFormat="1" x14ac:dyDescent="0.15">
      <c r="A72" s="179">
        <v>41821</v>
      </c>
      <c r="B72" s="180">
        <v>41912</v>
      </c>
      <c r="C72" s="181">
        <f t="shared" si="12"/>
        <v>92</v>
      </c>
      <c r="D72" s="119">
        <f t="shared" si="9"/>
        <v>27726027</v>
      </c>
      <c r="E72" s="182">
        <v>41912</v>
      </c>
      <c r="F72" s="175">
        <f t="shared" si="7"/>
        <v>55452054</v>
      </c>
      <c r="G72" s="183">
        <f t="shared" si="11"/>
        <v>55452054</v>
      </c>
      <c r="H72" s="184"/>
      <c r="I72" s="113">
        <f t="shared" si="8"/>
        <v>2014</v>
      </c>
    </row>
    <row r="73" spans="1:10" s="186" customFormat="1" x14ac:dyDescent="0.15">
      <c r="A73" s="179">
        <v>41913</v>
      </c>
      <c r="B73" s="180">
        <v>42004</v>
      </c>
      <c r="C73" s="181">
        <f t="shared" si="12"/>
        <v>92</v>
      </c>
      <c r="D73" s="119">
        <f t="shared" si="9"/>
        <v>27726027</v>
      </c>
      <c r="E73" s="182">
        <v>42004</v>
      </c>
      <c r="F73" s="175">
        <f>D73*2+4</f>
        <v>55452058</v>
      </c>
      <c r="G73" s="183">
        <f t="shared" si="11"/>
        <v>55452054</v>
      </c>
      <c r="H73" s="187">
        <f>(A51*1%*((E73-E69)/365))-SUM(D70:D73)</f>
        <v>2</v>
      </c>
      <c r="I73" s="113">
        <f t="shared" si="8"/>
        <v>2014</v>
      </c>
    </row>
    <row r="74" spans="1:10" x14ac:dyDescent="0.15">
      <c r="A74" s="179">
        <v>42005</v>
      </c>
      <c r="B74" s="180">
        <v>42094</v>
      </c>
      <c r="C74" s="181">
        <f t="shared" si="12"/>
        <v>90</v>
      </c>
      <c r="D74" s="119">
        <f t="shared" si="9"/>
        <v>27123287</v>
      </c>
      <c r="E74" s="182">
        <v>42094</v>
      </c>
      <c r="F74" s="175">
        <f t="shared" si="7"/>
        <v>54246574</v>
      </c>
      <c r="G74" s="114">
        <f t="shared" si="11"/>
        <v>54246574</v>
      </c>
      <c r="H74" s="188"/>
      <c r="I74" s="113">
        <f t="shared" si="8"/>
        <v>2015</v>
      </c>
    </row>
    <row r="75" spans="1:10" x14ac:dyDescent="0.15">
      <c r="A75" s="179">
        <v>42095</v>
      </c>
      <c r="B75" s="180">
        <v>42185</v>
      </c>
      <c r="C75" s="181">
        <f t="shared" si="12"/>
        <v>91</v>
      </c>
      <c r="D75" s="119">
        <f t="shared" si="9"/>
        <v>27424657</v>
      </c>
      <c r="E75" s="182">
        <v>42185</v>
      </c>
      <c r="F75" s="175">
        <f t="shared" si="7"/>
        <v>54849314</v>
      </c>
      <c r="G75" s="114">
        <f t="shared" si="11"/>
        <v>54849314</v>
      </c>
      <c r="H75" s="188"/>
      <c r="I75" s="113">
        <f t="shared" si="8"/>
        <v>2015</v>
      </c>
    </row>
    <row r="76" spans="1:10" s="186" customFormat="1" x14ac:dyDescent="0.15">
      <c r="A76" s="189">
        <v>42186</v>
      </c>
      <c r="B76" s="190">
        <v>42277</v>
      </c>
      <c r="C76" s="191">
        <f t="shared" si="12"/>
        <v>92</v>
      </c>
      <c r="D76" s="191">
        <f>ROUNDDOWN(($A$51*$B$51*C76/365),0)</f>
        <v>27726027</v>
      </c>
      <c r="E76" s="192">
        <v>42277</v>
      </c>
      <c r="F76" s="193">
        <f t="shared" si="7"/>
        <v>55452054</v>
      </c>
      <c r="G76" s="183">
        <f>ROUNDDOWN(D76*2,0)</f>
        <v>55452054</v>
      </c>
      <c r="H76" s="187"/>
      <c r="I76" s="186">
        <f t="shared" si="8"/>
        <v>2015</v>
      </c>
    </row>
    <row r="77" spans="1:10" s="196" customFormat="1" x14ac:dyDescent="0.15">
      <c r="A77" s="179">
        <v>42278</v>
      </c>
      <c r="B77" s="180">
        <v>42369</v>
      </c>
      <c r="C77" s="181">
        <f t="shared" si="12"/>
        <v>92</v>
      </c>
      <c r="D77" s="181">
        <f>110000000-SUM(D74:D76)</f>
        <v>27726029</v>
      </c>
      <c r="E77" s="182">
        <v>42369</v>
      </c>
      <c r="F77" s="194">
        <f>D77*2</f>
        <v>55452058</v>
      </c>
      <c r="G77" s="183">
        <f>ROUNDDOWN(D77*2,0)</f>
        <v>55452058</v>
      </c>
      <c r="H77" s="195" t="s">
        <v>109</v>
      </c>
      <c r="I77" s="186">
        <f t="shared" si="8"/>
        <v>2015</v>
      </c>
    </row>
    <row r="78" spans="1:10" s="201" customFormat="1" x14ac:dyDescent="0.15">
      <c r="A78" s="197">
        <v>42370</v>
      </c>
      <c r="B78" s="198">
        <v>42460</v>
      </c>
      <c r="C78" s="119">
        <f>+B78-B77</f>
        <v>91</v>
      </c>
      <c r="D78" s="119">
        <f>ROUNDDOWN(($A$51*$B$51*C78/366),0)</f>
        <v>27349726</v>
      </c>
      <c r="E78" s="199">
        <v>42551</v>
      </c>
      <c r="F78" s="200">
        <f>D78*2</f>
        <v>54699452</v>
      </c>
      <c r="G78" s="183">
        <f>ROUNDDOWN(D78*2,0)</f>
        <v>54699452</v>
      </c>
      <c r="H78" s="188" t="s">
        <v>109</v>
      </c>
      <c r="I78" s="201">
        <f t="shared" si="8"/>
        <v>2016</v>
      </c>
    </row>
    <row r="79" spans="1:10" s="201" customFormat="1" x14ac:dyDescent="0.15">
      <c r="A79" s="197">
        <v>42461</v>
      </c>
      <c r="B79" s="198">
        <v>42551</v>
      </c>
      <c r="C79" s="119">
        <f>+B79-B78</f>
        <v>91</v>
      </c>
      <c r="D79" s="119">
        <f>ROUNDDOWN(($A$51*$B$51*C79/366),0)</f>
        <v>27349726</v>
      </c>
      <c r="E79" s="199">
        <v>42551</v>
      </c>
      <c r="F79" s="200">
        <f>D79*2</f>
        <v>54699452</v>
      </c>
      <c r="G79" s="183">
        <f>ROUNDDOWN(D79*2,0)</f>
        <v>54699452</v>
      </c>
      <c r="H79" s="188" t="s">
        <v>109</v>
      </c>
      <c r="I79" s="201">
        <f t="shared" si="8"/>
        <v>2016</v>
      </c>
    </row>
    <row r="80" spans="1:10" s="201" customFormat="1" x14ac:dyDescent="0.15">
      <c r="A80" s="202">
        <f>B79+1</f>
        <v>42552</v>
      </c>
      <c r="B80" s="203">
        <v>42643</v>
      </c>
      <c r="C80" s="204">
        <f>+B80-B79</f>
        <v>92</v>
      </c>
      <c r="D80" s="204">
        <f>ROUNDDOWN(($A$51*$B$51*C80/366),0)</f>
        <v>27650273</v>
      </c>
      <c r="E80" s="205">
        <v>42643</v>
      </c>
      <c r="F80" s="206">
        <f>D80*2</f>
        <v>55300546</v>
      </c>
      <c r="G80" s="207">
        <f>ROUNDDOWN(D80*2,0)</f>
        <v>55300546</v>
      </c>
      <c r="H80" s="188" t="s">
        <v>109</v>
      </c>
      <c r="I80" s="201">
        <f t="shared" si="8"/>
        <v>2016</v>
      </c>
    </row>
    <row r="81" spans="1:8" x14ac:dyDescent="0.15">
      <c r="A81" s="162"/>
      <c r="B81" s="163"/>
      <c r="C81" s="164">
        <f>SUM(C78:C80)</f>
        <v>274</v>
      </c>
      <c r="D81" s="164">
        <f>SUM(D78:D80)</f>
        <v>82349725</v>
      </c>
      <c r="E81" s="143"/>
      <c r="F81" s="133">
        <f>SUM(F54:F80)</f>
        <v>1393685748</v>
      </c>
      <c r="G81" s="114">
        <f>SUM(D54:D77)</f>
        <v>614493141</v>
      </c>
    </row>
    <row r="82" spans="1:8" ht="12.75" thickBot="1" x14ac:dyDescent="0.2">
      <c r="A82" s="165"/>
      <c r="B82" s="166"/>
      <c r="C82" s="167"/>
      <c r="D82" s="167"/>
      <c r="E82" s="168"/>
      <c r="F82" s="169"/>
    </row>
    <row r="83" spans="1:8" ht="12.75" thickTop="1" x14ac:dyDescent="0.15"/>
    <row r="86" spans="1:8" x14ac:dyDescent="0.15">
      <c r="A86" s="118" t="s">
        <v>110</v>
      </c>
      <c r="B86" s="115"/>
      <c r="C86" s="115"/>
      <c r="D86" s="119"/>
      <c r="E86" s="115"/>
      <c r="F86" s="120"/>
    </row>
    <row r="87" spans="1:8" x14ac:dyDescent="0.15">
      <c r="A87" s="121"/>
      <c r="B87" s="115"/>
      <c r="C87" s="115"/>
      <c r="D87" s="119"/>
      <c r="E87" s="115"/>
      <c r="F87" s="120"/>
    </row>
    <row r="88" spans="1:8" x14ac:dyDescent="0.15">
      <c r="A88" s="122" t="s">
        <v>111</v>
      </c>
      <c r="B88" s="123" t="s">
        <v>112</v>
      </c>
      <c r="C88" s="123" t="s">
        <v>113</v>
      </c>
      <c r="D88" s="119" t="s">
        <v>114</v>
      </c>
      <c r="E88" s="115"/>
      <c r="F88" s="120"/>
    </row>
    <row r="89" spans="1:8" x14ac:dyDescent="0.15">
      <c r="A89" s="208">
        <v>2500110000</v>
      </c>
      <c r="B89" s="126">
        <v>0.01</v>
      </c>
      <c r="C89" s="171" t="s">
        <v>115</v>
      </c>
      <c r="D89" s="178">
        <v>40330</v>
      </c>
      <c r="E89" s="115"/>
      <c r="F89" s="120"/>
    </row>
    <row r="90" spans="1:8" x14ac:dyDescent="0.15">
      <c r="A90" s="208">
        <f>+A89+2500020000</f>
        <v>5000130000</v>
      </c>
      <c r="B90" s="126">
        <v>0.01</v>
      </c>
      <c r="C90" s="171" t="s">
        <v>116</v>
      </c>
      <c r="D90" s="178">
        <v>40339</v>
      </c>
      <c r="E90" s="172" t="s">
        <v>117</v>
      </c>
      <c r="F90" s="120"/>
    </row>
    <row r="91" spans="1:8" x14ac:dyDescent="0.15">
      <c r="A91" s="173"/>
      <c r="B91" s="131"/>
      <c r="C91" s="119"/>
      <c r="D91" s="119"/>
      <c r="E91" s="115"/>
      <c r="F91" s="120"/>
    </row>
    <row r="92" spans="1:8" x14ac:dyDescent="0.15">
      <c r="A92" s="135" t="s">
        <v>118</v>
      </c>
      <c r="B92" s="136" t="s">
        <v>119</v>
      </c>
      <c r="C92" s="135" t="s">
        <v>120</v>
      </c>
      <c r="D92" s="135" t="s">
        <v>121</v>
      </c>
      <c r="E92" s="137" t="s">
        <v>122</v>
      </c>
      <c r="F92" s="137"/>
    </row>
    <row r="93" spans="1:8" x14ac:dyDescent="0.15">
      <c r="A93" s="162">
        <v>40330</v>
      </c>
      <c r="B93" s="163">
        <v>40338</v>
      </c>
      <c r="C93" s="130">
        <f>B93-A93+1</f>
        <v>9</v>
      </c>
      <c r="D93" s="119">
        <f>INT($A$89*$B$90*C93/365)</f>
        <v>616465</v>
      </c>
      <c r="E93" s="174">
        <v>40359</v>
      </c>
      <c r="F93" s="209"/>
      <c r="H93" s="143">
        <f>D93</f>
        <v>616465</v>
      </c>
    </row>
    <row r="94" spans="1:8" x14ac:dyDescent="0.15">
      <c r="A94" s="162">
        <v>40339</v>
      </c>
      <c r="B94" s="163">
        <v>40359</v>
      </c>
      <c r="C94" s="130">
        <f>B94-A94+1</f>
        <v>21</v>
      </c>
      <c r="D94" s="119">
        <f>INT($A$90*$B$90*C94/365)</f>
        <v>2876787</v>
      </c>
      <c r="E94" s="174">
        <v>40359</v>
      </c>
      <c r="F94" s="209"/>
      <c r="H94" s="143">
        <f>H93+D94</f>
        <v>3493252</v>
      </c>
    </row>
    <row r="95" spans="1:8" x14ac:dyDescent="0.15">
      <c r="A95" s="162">
        <v>40360</v>
      </c>
      <c r="B95" s="163">
        <v>40451</v>
      </c>
      <c r="C95" s="130">
        <f>B95-A95+1</f>
        <v>92</v>
      </c>
      <c r="D95" s="119">
        <f>INT($A$90*$B$90*C95/365)</f>
        <v>12603067</v>
      </c>
      <c r="E95" s="174">
        <v>40451</v>
      </c>
      <c r="F95" s="209"/>
      <c r="H95" s="143">
        <f t="shared" ref="H95:H116" si="13">H94+D95</f>
        <v>16096319</v>
      </c>
    </row>
    <row r="96" spans="1:8" x14ac:dyDescent="0.15">
      <c r="A96" s="162">
        <v>40452</v>
      </c>
      <c r="B96" s="163">
        <v>40543</v>
      </c>
      <c r="C96" s="130">
        <f>B96-A96+1</f>
        <v>92</v>
      </c>
      <c r="D96" s="119">
        <f>INT($A$90*$B$90*C96/365)</f>
        <v>12603067</v>
      </c>
      <c r="E96" s="174">
        <v>40543</v>
      </c>
      <c r="F96" s="209"/>
      <c r="H96" s="143">
        <f t="shared" si="13"/>
        <v>28699386</v>
      </c>
    </row>
    <row r="97" spans="1:8" x14ac:dyDescent="0.15">
      <c r="A97" s="162">
        <v>40544</v>
      </c>
      <c r="B97" s="163">
        <v>40633</v>
      </c>
      <c r="C97" s="130">
        <f>B97-A97+1</f>
        <v>90</v>
      </c>
      <c r="D97" s="119">
        <f>INT($A$90*$B$90*C97/365)+1</f>
        <v>12329088</v>
      </c>
      <c r="E97" s="174">
        <v>40633</v>
      </c>
      <c r="F97" s="209"/>
      <c r="H97" s="143">
        <f t="shared" si="13"/>
        <v>41028474</v>
      </c>
    </row>
    <row r="98" spans="1:8" x14ac:dyDescent="0.15">
      <c r="A98" s="162">
        <v>40634</v>
      </c>
      <c r="B98" s="163">
        <v>40724</v>
      </c>
      <c r="C98" s="130">
        <f t="shared" ref="C98:C111" si="14">B98-A98+1</f>
        <v>91</v>
      </c>
      <c r="D98" s="119">
        <f>INT($A$90*$B$90*C98/365)</f>
        <v>12466077</v>
      </c>
      <c r="E98" s="174">
        <v>40724</v>
      </c>
      <c r="F98" s="209"/>
      <c r="H98" s="143">
        <f t="shared" si="13"/>
        <v>53494551</v>
      </c>
    </row>
    <row r="99" spans="1:8" x14ac:dyDescent="0.15">
      <c r="A99" s="162">
        <v>40725</v>
      </c>
      <c r="B99" s="163">
        <v>40816</v>
      </c>
      <c r="C99" s="130">
        <f t="shared" si="14"/>
        <v>92</v>
      </c>
      <c r="D99" s="119">
        <f>INT($A$90*$B$90*C99/365)</f>
        <v>12603067</v>
      </c>
      <c r="E99" s="174">
        <v>40816</v>
      </c>
      <c r="F99" s="209"/>
      <c r="H99" s="143">
        <f t="shared" si="13"/>
        <v>66097618</v>
      </c>
    </row>
    <row r="100" spans="1:8" x14ac:dyDescent="0.15">
      <c r="A100" s="162">
        <v>40817</v>
      </c>
      <c r="B100" s="163">
        <v>40908</v>
      </c>
      <c r="C100" s="130">
        <f t="shared" si="14"/>
        <v>92</v>
      </c>
      <c r="D100" s="119">
        <f>INT($A$90*$B$90*C100/365)+1</f>
        <v>12603068</v>
      </c>
      <c r="E100" s="174">
        <v>40908</v>
      </c>
      <c r="F100" s="209"/>
      <c r="H100" s="143">
        <f t="shared" si="13"/>
        <v>78700686</v>
      </c>
    </row>
    <row r="101" spans="1:8" x14ac:dyDescent="0.15">
      <c r="A101" s="162">
        <v>40909</v>
      </c>
      <c r="B101" s="163">
        <v>40999</v>
      </c>
      <c r="C101" s="130">
        <f>B101-A101+1</f>
        <v>91</v>
      </c>
      <c r="D101" s="119">
        <f t="shared" ref="D101:D111" si="15">INT($A$90*$B$90*C101/365)</f>
        <v>12466077</v>
      </c>
      <c r="E101" s="174">
        <v>41001</v>
      </c>
      <c r="F101" s="209"/>
      <c r="H101" s="143">
        <f t="shared" si="13"/>
        <v>91166763</v>
      </c>
    </row>
    <row r="102" spans="1:8" x14ac:dyDescent="0.15">
      <c r="A102" s="162">
        <v>41000</v>
      </c>
      <c r="B102" s="163">
        <v>41090</v>
      </c>
      <c r="C102" s="130">
        <f t="shared" si="14"/>
        <v>91</v>
      </c>
      <c r="D102" s="119">
        <f t="shared" si="15"/>
        <v>12466077</v>
      </c>
      <c r="E102" s="174">
        <v>41090</v>
      </c>
      <c r="F102" s="209"/>
      <c r="H102" s="143">
        <f t="shared" si="13"/>
        <v>103632840</v>
      </c>
    </row>
    <row r="103" spans="1:8" x14ac:dyDescent="0.15">
      <c r="A103" s="162">
        <v>41091</v>
      </c>
      <c r="B103" s="163">
        <v>41182</v>
      </c>
      <c r="C103" s="130">
        <f t="shared" si="14"/>
        <v>92</v>
      </c>
      <c r="D103" s="119">
        <f t="shared" si="15"/>
        <v>12603067</v>
      </c>
      <c r="E103" s="174">
        <v>41186</v>
      </c>
      <c r="F103" s="209"/>
      <c r="H103" s="143">
        <f t="shared" si="13"/>
        <v>116235907</v>
      </c>
    </row>
    <row r="104" spans="1:8" x14ac:dyDescent="0.15">
      <c r="A104" s="162">
        <v>41183</v>
      </c>
      <c r="B104" s="163">
        <v>41274</v>
      </c>
      <c r="C104" s="130">
        <f t="shared" si="14"/>
        <v>92</v>
      </c>
      <c r="D104" s="119">
        <f t="shared" si="15"/>
        <v>12603067</v>
      </c>
      <c r="E104" s="174">
        <v>41274</v>
      </c>
      <c r="F104" s="209"/>
      <c r="H104" s="143">
        <f t="shared" si="13"/>
        <v>128838974</v>
      </c>
    </row>
    <row r="105" spans="1:8" x14ac:dyDescent="0.15">
      <c r="A105" s="162">
        <v>41275</v>
      </c>
      <c r="B105" s="163">
        <v>41364</v>
      </c>
      <c r="C105" s="130">
        <f t="shared" si="14"/>
        <v>90</v>
      </c>
      <c r="D105" s="119">
        <f t="shared" si="15"/>
        <v>12329087</v>
      </c>
      <c r="E105" s="174">
        <v>41365</v>
      </c>
      <c r="F105" s="209"/>
      <c r="H105" s="143">
        <f t="shared" si="13"/>
        <v>141168061</v>
      </c>
    </row>
    <row r="106" spans="1:8" x14ac:dyDescent="0.15">
      <c r="A106" s="162">
        <v>41365</v>
      </c>
      <c r="B106" s="163">
        <v>41455</v>
      </c>
      <c r="C106" s="130">
        <f t="shared" si="14"/>
        <v>91</v>
      </c>
      <c r="D106" s="119">
        <f t="shared" si="15"/>
        <v>12466077</v>
      </c>
      <c r="E106" s="178">
        <v>41456</v>
      </c>
      <c r="F106" s="209"/>
      <c r="H106" s="143">
        <f t="shared" si="13"/>
        <v>153634138</v>
      </c>
    </row>
    <row r="107" spans="1:8" x14ac:dyDescent="0.15">
      <c r="A107" s="162">
        <v>41456</v>
      </c>
      <c r="B107" s="163">
        <v>41547</v>
      </c>
      <c r="C107" s="130">
        <f t="shared" si="14"/>
        <v>92</v>
      </c>
      <c r="D107" s="119">
        <f t="shared" si="15"/>
        <v>12603067</v>
      </c>
      <c r="E107" s="178">
        <v>41565</v>
      </c>
      <c r="F107" s="209"/>
      <c r="H107" s="143">
        <f t="shared" si="13"/>
        <v>166237205</v>
      </c>
    </row>
    <row r="108" spans="1:8" x14ac:dyDescent="0.15">
      <c r="A108" s="162">
        <v>41548</v>
      </c>
      <c r="B108" s="163">
        <v>41639</v>
      </c>
      <c r="C108" s="130">
        <f t="shared" si="14"/>
        <v>92</v>
      </c>
      <c r="D108" s="119">
        <f t="shared" si="15"/>
        <v>12603067</v>
      </c>
      <c r="E108" s="178">
        <v>41659</v>
      </c>
      <c r="F108" s="209"/>
      <c r="H108" s="143">
        <f t="shared" si="13"/>
        <v>178840272</v>
      </c>
    </row>
    <row r="109" spans="1:8" s="186" customFormat="1" x14ac:dyDescent="0.15">
      <c r="A109" s="179">
        <v>41640</v>
      </c>
      <c r="B109" s="180">
        <v>41729</v>
      </c>
      <c r="C109" s="130">
        <f t="shared" si="14"/>
        <v>90</v>
      </c>
      <c r="D109" s="119">
        <f t="shared" si="15"/>
        <v>12329087</v>
      </c>
      <c r="E109" s="182">
        <v>41729</v>
      </c>
      <c r="F109" s="210"/>
      <c r="G109" s="183"/>
      <c r="H109" s="143">
        <f t="shared" si="13"/>
        <v>191169359</v>
      </c>
    </row>
    <row r="110" spans="1:8" s="186" customFormat="1" x14ac:dyDescent="0.15">
      <c r="A110" s="179">
        <v>41730</v>
      </c>
      <c r="B110" s="180">
        <v>41820</v>
      </c>
      <c r="C110" s="130">
        <f t="shared" si="14"/>
        <v>91</v>
      </c>
      <c r="D110" s="119">
        <f t="shared" si="15"/>
        <v>12466077</v>
      </c>
      <c r="E110" s="182">
        <v>41820</v>
      </c>
      <c r="F110" s="210"/>
      <c r="G110" s="183"/>
      <c r="H110" s="143">
        <f t="shared" si="13"/>
        <v>203635436</v>
      </c>
    </row>
    <row r="111" spans="1:8" s="186" customFormat="1" x14ac:dyDescent="0.15">
      <c r="A111" s="179">
        <v>41821</v>
      </c>
      <c r="B111" s="180">
        <v>41912</v>
      </c>
      <c r="C111" s="130">
        <f t="shared" si="14"/>
        <v>92</v>
      </c>
      <c r="D111" s="119">
        <f t="shared" si="15"/>
        <v>12603067</v>
      </c>
      <c r="E111" s="182">
        <v>41912</v>
      </c>
      <c r="F111" s="210"/>
      <c r="G111" s="183"/>
      <c r="H111" s="143">
        <f t="shared" si="13"/>
        <v>216238503</v>
      </c>
    </row>
    <row r="112" spans="1:8" s="186" customFormat="1" x14ac:dyDescent="0.15">
      <c r="A112" s="179">
        <v>41913</v>
      </c>
      <c r="B112" s="180">
        <v>42004</v>
      </c>
      <c r="C112" s="181">
        <f t="shared" ref="C112:C117" si="16">+B112-B111</f>
        <v>92</v>
      </c>
      <c r="D112" s="119">
        <f>INT($A$90*$B$90*C112/365)+2</f>
        <v>12603069</v>
      </c>
      <c r="E112" s="182">
        <v>42004</v>
      </c>
      <c r="F112" s="210"/>
      <c r="G112" s="187"/>
      <c r="H112" s="143">
        <f t="shared" si="13"/>
        <v>228841572</v>
      </c>
    </row>
    <row r="113" spans="1:8" x14ac:dyDescent="0.15">
      <c r="A113" s="179">
        <v>42005</v>
      </c>
      <c r="B113" s="180">
        <v>42094</v>
      </c>
      <c r="C113" s="181">
        <f t="shared" si="16"/>
        <v>90</v>
      </c>
      <c r="D113" s="119">
        <f>INT($A$90*$B$90*C113/365)</f>
        <v>12329087</v>
      </c>
      <c r="E113" s="182">
        <v>42094</v>
      </c>
      <c r="F113" s="211"/>
      <c r="G113" s="188"/>
      <c r="H113" s="143">
        <f t="shared" si="13"/>
        <v>241170659</v>
      </c>
    </row>
    <row r="114" spans="1:8" x14ac:dyDescent="0.15">
      <c r="A114" s="179">
        <v>42095</v>
      </c>
      <c r="B114" s="180">
        <v>42185</v>
      </c>
      <c r="C114" s="181">
        <f t="shared" si="16"/>
        <v>91</v>
      </c>
      <c r="D114" s="119">
        <f>INT($A$90*$B$90*C114/365)</f>
        <v>12466077</v>
      </c>
      <c r="E114" s="182">
        <v>42185</v>
      </c>
      <c r="F114" s="211"/>
      <c r="H114" s="143">
        <f t="shared" si="13"/>
        <v>253636736</v>
      </c>
    </row>
    <row r="115" spans="1:8" s="214" customFormat="1" x14ac:dyDescent="0.15">
      <c r="A115" s="189">
        <v>42186</v>
      </c>
      <c r="B115" s="190">
        <v>42277</v>
      </c>
      <c r="C115" s="191">
        <f t="shared" si="16"/>
        <v>92</v>
      </c>
      <c r="D115" s="191">
        <f>ROUNDDOWN(($A$90*$B$90*C115/365),0)</f>
        <v>12603067</v>
      </c>
      <c r="E115" s="192">
        <v>42277</v>
      </c>
      <c r="F115" s="212"/>
      <c r="G115" s="213"/>
      <c r="H115" s="143">
        <f t="shared" si="13"/>
        <v>266239803</v>
      </c>
    </row>
    <row r="116" spans="1:8" s="215" customFormat="1" x14ac:dyDescent="0.15">
      <c r="A116" s="179">
        <v>42278</v>
      </c>
      <c r="B116" s="180">
        <v>42369</v>
      </c>
      <c r="C116" s="181">
        <f t="shared" si="16"/>
        <v>92</v>
      </c>
      <c r="D116" s="181">
        <f>A90*B90-SUM(D113:D115)</f>
        <v>12603069</v>
      </c>
      <c r="E116" s="182">
        <v>42369</v>
      </c>
      <c r="F116" s="211"/>
      <c r="G116" s="183"/>
      <c r="H116" s="143">
        <f t="shared" si="13"/>
        <v>278842872</v>
      </c>
    </row>
    <row r="117" spans="1:8" s="215" customFormat="1" x14ac:dyDescent="0.15">
      <c r="A117" s="197">
        <v>42370</v>
      </c>
      <c r="B117" s="198">
        <v>42460</v>
      </c>
      <c r="C117" s="119">
        <f t="shared" si="16"/>
        <v>91</v>
      </c>
      <c r="D117" s="119">
        <f>ROUNDDOWN(($A$90*$B$90*C117/366),0)</f>
        <v>12432017</v>
      </c>
      <c r="E117" s="178">
        <v>42460</v>
      </c>
      <c r="F117" s="216"/>
      <c r="G117" s="217"/>
      <c r="H117" s="143">
        <f>H116+D117</f>
        <v>291274889</v>
      </c>
    </row>
    <row r="118" spans="1:8" s="186" customFormat="1" x14ac:dyDescent="0.15">
      <c r="A118" s="179">
        <v>42461</v>
      </c>
      <c r="B118" s="180">
        <v>42551</v>
      </c>
      <c r="C118" s="181">
        <v>91</v>
      </c>
      <c r="D118" s="181">
        <f>ROUNDDOWN(($A$90*$B$90*C118/366),0)</f>
        <v>12432017</v>
      </c>
      <c r="E118" s="182">
        <v>42551</v>
      </c>
      <c r="F118" s="211"/>
      <c r="G118" s="183"/>
      <c r="H118" s="143">
        <f>H117+D118</f>
        <v>303706906</v>
      </c>
    </row>
    <row r="119" spans="1:8" s="196" customFormat="1" x14ac:dyDescent="0.15">
      <c r="A119" s="218">
        <f>B118+1</f>
        <v>42552</v>
      </c>
      <c r="B119" s="219">
        <v>42643</v>
      </c>
      <c r="C119" s="220">
        <f>B119-A119+1</f>
        <v>92</v>
      </c>
      <c r="D119" s="220">
        <f>ROUNDDOWN(($A$90*$B$90*C119/366),0)</f>
        <v>12568632</v>
      </c>
      <c r="E119" s="221">
        <v>42643</v>
      </c>
      <c r="F119" s="222"/>
      <c r="G119" s="207"/>
      <c r="H119" s="143">
        <f>H118+D119</f>
        <v>316275538</v>
      </c>
    </row>
    <row r="120" spans="1:8" x14ac:dyDescent="0.15">
      <c r="A120" s="162"/>
      <c r="B120" s="163"/>
      <c r="C120" s="130">
        <f>SUM(C117:C118)</f>
        <v>182</v>
      </c>
      <c r="D120" s="223">
        <f>SUM(D117:D119)</f>
        <v>37432666</v>
      </c>
      <c r="E120" s="115"/>
      <c r="F120" s="120"/>
    </row>
    <row r="121" spans="1:8" ht="12.75" thickBot="1" x14ac:dyDescent="0.2">
      <c r="A121" s="165"/>
      <c r="B121" s="166"/>
      <c r="C121" s="167"/>
      <c r="D121" s="167"/>
      <c r="E121" s="168"/>
      <c r="F121" s="169"/>
    </row>
    <row r="122" spans="1:8" ht="12.75" thickTop="1" x14ac:dyDescent="0.15"/>
    <row r="125" spans="1:8" x14ac:dyDescent="0.15">
      <c r="A125" s="118" t="s">
        <v>123</v>
      </c>
      <c r="B125" s="115"/>
      <c r="C125" s="115"/>
      <c r="D125" s="119"/>
      <c r="E125" s="115"/>
      <c r="F125" s="120"/>
    </row>
    <row r="126" spans="1:8" x14ac:dyDescent="0.15">
      <c r="A126" s="121"/>
      <c r="B126" s="115"/>
      <c r="C126" s="115"/>
      <c r="D126" s="119"/>
      <c r="E126" s="115"/>
      <c r="F126" s="120"/>
    </row>
    <row r="127" spans="1:8" x14ac:dyDescent="0.15">
      <c r="A127" s="122" t="s">
        <v>124</v>
      </c>
      <c r="B127" s="123" t="s">
        <v>112</v>
      </c>
      <c r="C127" s="123" t="s">
        <v>113</v>
      </c>
      <c r="D127" s="224" t="s">
        <v>125</v>
      </c>
      <c r="E127" s="224" t="s">
        <v>126</v>
      </c>
      <c r="F127" s="224" t="s">
        <v>127</v>
      </c>
    </row>
    <row r="128" spans="1:8" x14ac:dyDescent="0.15">
      <c r="A128" s="208">
        <v>10000000000</v>
      </c>
      <c r="B128" s="126">
        <v>2.5000000000000001E-2</v>
      </c>
      <c r="C128" s="225" t="s">
        <v>128</v>
      </c>
      <c r="D128" s="226">
        <v>9208300789</v>
      </c>
      <c r="E128" s="226">
        <v>9208300789</v>
      </c>
      <c r="F128" s="226">
        <v>6958298789</v>
      </c>
    </row>
    <row r="129" spans="1:10" x14ac:dyDescent="0.15">
      <c r="A129" s="130"/>
      <c r="B129" s="131"/>
      <c r="C129" s="227"/>
      <c r="D129" s="226"/>
      <c r="E129" s="226"/>
      <c r="F129" s="226"/>
    </row>
    <row r="130" spans="1:10" x14ac:dyDescent="0.15">
      <c r="A130" s="130" t="s">
        <v>111</v>
      </c>
      <c r="B130" s="131" t="s">
        <v>113</v>
      </c>
      <c r="C130" s="228" t="s">
        <v>129</v>
      </c>
      <c r="D130" s="226"/>
      <c r="E130" s="226"/>
      <c r="F130" s="226"/>
    </row>
    <row r="131" spans="1:10" x14ac:dyDescent="0.15">
      <c r="A131" s="130">
        <v>6958298789</v>
      </c>
      <c r="B131" s="131"/>
      <c r="C131" s="134">
        <v>41729</v>
      </c>
      <c r="D131" s="226">
        <f t="shared" ref="D131:D138" si="17">A131*2.5%/4</f>
        <v>43489367.431250006</v>
      </c>
      <c r="E131" s="226"/>
      <c r="F131" s="226"/>
    </row>
    <row r="132" spans="1:10" x14ac:dyDescent="0.15">
      <c r="A132" s="130">
        <v>5668298789</v>
      </c>
      <c r="B132" s="119" t="s">
        <v>130</v>
      </c>
      <c r="C132" s="134">
        <v>41820</v>
      </c>
      <c r="D132" s="226">
        <f t="shared" si="17"/>
        <v>35426867.431249999</v>
      </c>
      <c r="E132" s="226"/>
      <c r="F132" s="226"/>
    </row>
    <row r="133" spans="1:10" x14ac:dyDescent="0.15">
      <c r="A133" s="130">
        <v>5668298789</v>
      </c>
      <c r="B133" s="131"/>
      <c r="C133" s="134">
        <v>41912</v>
      </c>
      <c r="D133" s="226">
        <f t="shared" si="17"/>
        <v>35426867.431249999</v>
      </c>
      <c r="E133" s="226"/>
      <c r="F133" s="226"/>
    </row>
    <row r="134" spans="1:10" x14ac:dyDescent="0.15">
      <c r="A134" s="130">
        <f>+A133</f>
        <v>5668298789</v>
      </c>
      <c r="B134" s="131"/>
      <c r="C134" s="134">
        <v>42004</v>
      </c>
      <c r="D134" s="226">
        <f t="shared" si="17"/>
        <v>35426867.431249999</v>
      </c>
      <c r="E134" s="226"/>
      <c r="F134" s="226"/>
    </row>
    <row r="135" spans="1:10" x14ac:dyDescent="0.15">
      <c r="A135" s="130">
        <f>A134</f>
        <v>5668298789</v>
      </c>
      <c r="B135" s="131"/>
      <c r="C135" s="134">
        <v>42094</v>
      </c>
      <c r="D135" s="226">
        <f>A135*2.5%/4</f>
        <v>35426867.431249999</v>
      </c>
      <c r="E135" s="226"/>
      <c r="F135" s="226">
        <f t="shared" ref="F135:F140" si="18">A135/4</f>
        <v>1417074697.25</v>
      </c>
    </row>
    <row r="136" spans="1:10" x14ac:dyDescent="0.15">
      <c r="A136" s="130">
        <f>A135-666660000-250004820</f>
        <v>4751633969</v>
      </c>
      <c r="B136" s="131" t="s">
        <v>131</v>
      </c>
      <c r="C136" s="134">
        <v>42185</v>
      </c>
      <c r="D136" s="226">
        <f>A136*2.5%/4</f>
        <v>29697712.306250002</v>
      </c>
      <c r="E136" s="226"/>
      <c r="F136" s="226">
        <f t="shared" si="18"/>
        <v>1187908492.25</v>
      </c>
    </row>
    <row r="137" spans="1:10" x14ac:dyDescent="0.15">
      <c r="A137" s="130">
        <f>A136-1333335000</f>
        <v>3418298969</v>
      </c>
      <c r="B137" s="131" t="s">
        <v>132</v>
      </c>
      <c r="C137" s="134">
        <v>42277</v>
      </c>
      <c r="D137" s="226">
        <f t="shared" si="17"/>
        <v>21364368.556250002</v>
      </c>
      <c r="E137" s="226"/>
      <c r="F137" s="226">
        <f t="shared" si="18"/>
        <v>854574742.25</v>
      </c>
    </row>
    <row r="138" spans="1:10" x14ac:dyDescent="0.15">
      <c r="A138" s="130">
        <f>A137</f>
        <v>3418298969</v>
      </c>
      <c r="B138" s="131"/>
      <c r="C138" s="134">
        <v>42369</v>
      </c>
      <c r="D138" s="226">
        <f t="shared" si="17"/>
        <v>21364368.556250002</v>
      </c>
      <c r="E138" s="226"/>
      <c r="F138" s="226">
        <f t="shared" si="18"/>
        <v>854574742.25</v>
      </c>
    </row>
    <row r="139" spans="1:10" x14ac:dyDescent="0.15">
      <c r="A139" s="130">
        <f>A138</f>
        <v>3418298969</v>
      </c>
      <c r="B139" s="131"/>
      <c r="C139" s="134">
        <v>42460</v>
      </c>
      <c r="D139" s="226">
        <f>A139*2.5%/4</f>
        <v>21364368.556250002</v>
      </c>
      <c r="E139" s="226"/>
      <c r="F139" s="226">
        <f t="shared" si="18"/>
        <v>854574742.25</v>
      </c>
    </row>
    <row r="140" spans="1:10" x14ac:dyDescent="0.15">
      <c r="A140" s="130">
        <f>A139</f>
        <v>3418298969</v>
      </c>
      <c r="B140" s="131"/>
      <c r="C140" s="134">
        <v>42551</v>
      </c>
      <c r="D140" s="226">
        <f>A140*2.5%/4</f>
        <v>21364368.556250002</v>
      </c>
      <c r="E140" s="226"/>
      <c r="F140" s="226">
        <f t="shared" si="18"/>
        <v>854574742.25</v>
      </c>
    </row>
    <row r="141" spans="1:10" x14ac:dyDescent="0.15">
      <c r="A141" s="130"/>
      <c r="B141" s="131"/>
      <c r="C141" s="134"/>
      <c r="D141" s="226"/>
      <c r="E141" s="226"/>
      <c r="F141" s="226"/>
    </row>
    <row r="142" spans="1:10" x14ac:dyDescent="0.15">
      <c r="A142" s="135" t="s">
        <v>118</v>
      </c>
      <c r="B142" s="136" t="s">
        <v>119</v>
      </c>
      <c r="C142" s="135" t="s">
        <v>120</v>
      </c>
      <c r="D142" s="135" t="s">
        <v>112</v>
      </c>
      <c r="E142" s="137" t="s">
        <v>122</v>
      </c>
      <c r="F142" s="137" t="s">
        <v>113</v>
      </c>
    </row>
    <row r="143" spans="1:10" x14ac:dyDescent="0.15">
      <c r="A143" s="174">
        <v>40359</v>
      </c>
      <c r="B143" s="174">
        <v>40451</v>
      </c>
      <c r="C143" s="130">
        <f t="shared" ref="C143:C148" si="19">+B143-A143+1</f>
        <v>93</v>
      </c>
      <c r="D143" s="119">
        <v>63184931</v>
      </c>
      <c r="E143" s="178">
        <f>B143</f>
        <v>40451</v>
      </c>
      <c r="F143" s="226"/>
      <c r="H143" s="115">
        <f>YEAR(A143)</f>
        <v>2010</v>
      </c>
      <c r="I143" s="113">
        <v>2010</v>
      </c>
      <c r="J143" s="114">
        <f>SUMIFS($D$143:$D$158,$H$143:$H$158,I143)</f>
        <v>125684931</v>
      </c>
    </row>
    <row r="144" spans="1:10" x14ac:dyDescent="0.15">
      <c r="A144" s="176">
        <v>40452</v>
      </c>
      <c r="B144" s="174">
        <v>40543</v>
      </c>
      <c r="C144" s="130">
        <f t="shared" si="19"/>
        <v>92</v>
      </c>
      <c r="D144" s="119">
        <f>INT($A$128*$B$128/4)</f>
        <v>62500000</v>
      </c>
      <c r="E144" s="163">
        <f>B144</f>
        <v>40543</v>
      </c>
      <c r="F144" s="120"/>
      <c r="H144" s="115">
        <f t="shared" ref="H144:H160" si="20">YEAR(A144)</f>
        <v>2010</v>
      </c>
      <c r="I144" s="113">
        <v>2011</v>
      </c>
      <c r="J144" s="114">
        <f>SUMIFS($D$143:$D$158,$H$143:$H$158,I144)</f>
        <v>250000000</v>
      </c>
    </row>
    <row r="145" spans="1:10" x14ac:dyDescent="0.15">
      <c r="A145" s="176">
        <v>40544</v>
      </c>
      <c r="B145" s="163">
        <v>40633</v>
      </c>
      <c r="C145" s="130">
        <f t="shared" si="19"/>
        <v>90</v>
      </c>
      <c r="D145" s="119">
        <f t="shared" ref="D145:D153" si="21">+$A$128*$B$128/4</f>
        <v>62500000</v>
      </c>
      <c r="E145" s="174">
        <v>40633</v>
      </c>
      <c r="F145" s="120" t="s">
        <v>133</v>
      </c>
      <c r="H145" s="115">
        <f t="shared" si="20"/>
        <v>2011</v>
      </c>
      <c r="I145" s="113">
        <v>2012</v>
      </c>
      <c r="J145" s="114">
        <f>SUMIFS($D$143:$D$158,$H$143:$H$158,I145)</f>
        <v>250000000</v>
      </c>
    </row>
    <row r="146" spans="1:10" x14ac:dyDescent="0.15">
      <c r="A146" s="176">
        <v>40634</v>
      </c>
      <c r="B146" s="163">
        <v>40724</v>
      </c>
      <c r="C146" s="130">
        <f t="shared" si="19"/>
        <v>91</v>
      </c>
      <c r="D146" s="119">
        <f t="shared" si="21"/>
        <v>62500000</v>
      </c>
      <c r="E146" s="174">
        <v>40724</v>
      </c>
      <c r="F146" s="120" t="s">
        <v>133</v>
      </c>
      <c r="H146" s="115">
        <f t="shared" si="20"/>
        <v>2011</v>
      </c>
      <c r="I146" s="113">
        <v>2013</v>
      </c>
      <c r="J146" s="114">
        <f>SUMIFS($D$143:$D$158,$H$143:$H$158,I146)</f>
        <v>225817520</v>
      </c>
    </row>
    <row r="147" spans="1:10" x14ac:dyDescent="0.15">
      <c r="A147" s="162">
        <v>40725</v>
      </c>
      <c r="B147" s="163">
        <v>40816</v>
      </c>
      <c r="C147" s="130">
        <f t="shared" si="19"/>
        <v>92</v>
      </c>
      <c r="D147" s="119">
        <f t="shared" si="21"/>
        <v>62500000</v>
      </c>
      <c r="E147" s="174">
        <v>40816</v>
      </c>
      <c r="F147" s="120" t="s">
        <v>133</v>
      </c>
      <c r="H147" s="115">
        <f t="shared" si="20"/>
        <v>2011</v>
      </c>
      <c r="I147" s="113">
        <v>2014</v>
      </c>
      <c r="J147" s="114">
        <f>SUMIFS($D$143:$D$158,$H$143:$H$158,I147)</f>
        <v>149769969.72499999</v>
      </c>
    </row>
    <row r="148" spans="1:10" x14ac:dyDescent="0.15">
      <c r="A148" s="162">
        <v>40817</v>
      </c>
      <c r="B148" s="163">
        <v>40908</v>
      </c>
      <c r="C148" s="130">
        <f t="shared" si="19"/>
        <v>92</v>
      </c>
      <c r="D148" s="119">
        <f t="shared" si="21"/>
        <v>62500000</v>
      </c>
      <c r="E148" s="174">
        <v>40908</v>
      </c>
      <c r="F148" s="120" t="s">
        <v>133</v>
      </c>
      <c r="H148" s="115">
        <f t="shared" si="20"/>
        <v>2011</v>
      </c>
      <c r="I148" s="113">
        <v>2015</v>
      </c>
      <c r="J148" s="114">
        <f>SUMIFS($D$143:$D$160,$H$143:$H$160,I148)</f>
        <v>107853316</v>
      </c>
    </row>
    <row r="149" spans="1:10" x14ac:dyDescent="0.15">
      <c r="A149" s="162">
        <v>40909</v>
      </c>
      <c r="B149" s="163">
        <v>40999</v>
      </c>
      <c r="C149" s="130">
        <f t="shared" ref="C149:C158" si="22">+B149-B148</f>
        <v>91</v>
      </c>
      <c r="D149" s="119">
        <f t="shared" si="21"/>
        <v>62500000</v>
      </c>
      <c r="E149" s="174">
        <v>41001</v>
      </c>
      <c r="F149" s="120"/>
      <c r="H149" s="115">
        <f t="shared" si="20"/>
        <v>2012</v>
      </c>
      <c r="I149" s="113">
        <v>2016</v>
      </c>
      <c r="J149" s="114">
        <f>SUMIFS($D$143:$D$160,$H$143:$H$160,I149)</f>
        <v>93790817</v>
      </c>
    </row>
    <row r="150" spans="1:10" x14ac:dyDescent="0.15">
      <c r="A150" s="162">
        <v>41000</v>
      </c>
      <c r="B150" s="163">
        <v>41090</v>
      </c>
      <c r="C150" s="130">
        <f t="shared" si="22"/>
        <v>91</v>
      </c>
      <c r="D150" s="119">
        <f t="shared" si="21"/>
        <v>62500000</v>
      </c>
      <c r="E150" s="174">
        <v>41090</v>
      </c>
      <c r="F150" s="120"/>
      <c r="H150" s="115">
        <f t="shared" si="20"/>
        <v>2012</v>
      </c>
    </row>
    <row r="151" spans="1:10" x14ac:dyDescent="0.15">
      <c r="A151" s="162">
        <v>41091</v>
      </c>
      <c r="B151" s="163">
        <v>41182</v>
      </c>
      <c r="C151" s="130">
        <f t="shared" si="22"/>
        <v>92</v>
      </c>
      <c r="D151" s="119">
        <f t="shared" si="21"/>
        <v>62500000</v>
      </c>
      <c r="E151" s="174">
        <v>41186</v>
      </c>
      <c r="F151" s="120"/>
      <c r="H151" s="115">
        <f t="shared" si="20"/>
        <v>2012</v>
      </c>
    </row>
    <row r="152" spans="1:10" x14ac:dyDescent="0.15">
      <c r="A152" s="162">
        <v>41183</v>
      </c>
      <c r="B152" s="163">
        <v>41274</v>
      </c>
      <c r="C152" s="130">
        <f t="shared" si="22"/>
        <v>92</v>
      </c>
      <c r="D152" s="119">
        <f t="shared" si="21"/>
        <v>62500000</v>
      </c>
      <c r="E152" s="174">
        <v>41274</v>
      </c>
      <c r="F152" s="120"/>
      <c r="H152" s="115">
        <f t="shared" si="20"/>
        <v>2012</v>
      </c>
    </row>
    <row r="153" spans="1:10" x14ac:dyDescent="0.15">
      <c r="A153" s="162">
        <v>41275</v>
      </c>
      <c r="B153" s="163">
        <v>41364</v>
      </c>
      <c r="C153" s="130">
        <f t="shared" si="22"/>
        <v>90</v>
      </c>
      <c r="D153" s="119">
        <f t="shared" si="21"/>
        <v>62500000</v>
      </c>
      <c r="E153" s="174">
        <v>41365</v>
      </c>
      <c r="F153" s="120"/>
      <c r="H153" s="115">
        <f t="shared" si="20"/>
        <v>2013</v>
      </c>
    </row>
    <row r="154" spans="1:10" x14ac:dyDescent="0.15">
      <c r="A154" s="162">
        <v>41365</v>
      </c>
      <c r="B154" s="163">
        <v>41454</v>
      </c>
      <c r="C154" s="130">
        <f t="shared" si="22"/>
        <v>90</v>
      </c>
      <c r="D154" s="119">
        <f>ROUNDDOWN(+$A$128*$B$128/365*C154,0)</f>
        <v>61643835</v>
      </c>
      <c r="E154" s="178">
        <v>41456</v>
      </c>
      <c r="F154" s="229" t="s">
        <v>134</v>
      </c>
      <c r="H154" s="115">
        <f t="shared" si="20"/>
        <v>2013</v>
      </c>
    </row>
    <row r="155" spans="1:10" ht="11.25" customHeight="1" x14ac:dyDescent="0.15">
      <c r="A155" s="197">
        <v>41455</v>
      </c>
      <c r="B155" s="198">
        <v>41455</v>
      </c>
      <c r="C155" s="119">
        <f t="shared" si="22"/>
        <v>1</v>
      </c>
      <c r="D155" s="119">
        <f>ROUNDDOWN(D128*C155/(B155-B153)/4*B128,0)</f>
        <v>632438</v>
      </c>
      <c r="E155" s="230">
        <v>41729</v>
      </c>
      <c r="F155" s="229" t="s">
        <v>135</v>
      </c>
      <c r="H155" s="115">
        <f t="shared" si="20"/>
        <v>2013</v>
      </c>
    </row>
    <row r="156" spans="1:10" ht="11.25" customHeight="1" x14ac:dyDescent="0.15">
      <c r="A156" s="197">
        <v>41456</v>
      </c>
      <c r="B156" s="198">
        <v>41547</v>
      </c>
      <c r="C156" s="119">
        <f t="shared" si="22"/>
        <v>92</v>
      </c>
      <c r="D156" s="119">
        <f>ROUNDDOWN(E128*C156/(B156-B155)/4*B128,0)+1</f>
        <v>57551880</v>
      </c>
      <c r="E156" s="230">
        <v>41729</v>
      </c>
      <c r="F156" s="229" t="s">
        <v>135</v>
      </c>
      <c r="H156" s="115">
        <f t="shared" si="20"/>
        <v>2013</v>
      </c>
    </row>
    <row r="157" spans="1:10" ht="11.25" customHeight="1" x14ac:dyDescent="0.15">
      <c r="A157" s="197">
        <v>41548</v>
      </c>
      <c r="B157" s="198">
        <v>41639</v>
      </c>
      <c r="C157" s="119">
        <f t="shared" si="22"/>
        <v>92</v>
      </c>
      <c r="D157" s="119">
        <f>ROUNDDOWN(F128*C157/(B157-B156)/4*B128,0)</f>
        <v>43489367</v>
      </c>
      <c r="E157" s="230">
        <v>41729</v>
      </c>
      <c r="F157" s="229" t="s">
        <v>135</v>
      </c>
      <c r="H157" s="115">
        <f t="shared" si="20"/>
        <v>2013</v>
      </c>
    </row>
    <row r="158" spans="1:10" s="214" customFormat="1" ht="11.25" customHeight="1" x14ac:dyDescent="0.15">
      <c r="A158" s="189">
        <v>41640</v>
      </c>
      <c r="B158" s="190">
        <v>42004</v>
      </c>
      <c r="C158" s="191">
        <f t="shared" si="22"/>
        <v>365</v>
      </c>
      <c r="D158" s="191">
        <f>SUM(A131:A134)/4*B128</f>
        <v>149769969.72499999</v>
      </c>
      <c r="E158" s="231">
        <v>42094</v>
      </c>
      <c r="F158" s="232" t="s">
        <v>135</v>
      </c>
      <c r="G158" s="233"/>
      <c r="H158" s="115">
        <f t="shared" si="20"/>
        <v>2014</v>
      </c>
      <c r="I158" s="113"/>
      <c r="J158" s="113"/>
    </row>
    <row r="159" spans="1:10" s="215" customFormat="1" ht="11.25" customHeight="1" x14ac:dyDescent="0.15">
      <c r="A159" s="197">
        <v>42005</v>
      </c>
      <c r="B159" s="198">
        <v>42369</v>
      </c>
      <c r="C159" s="119">
        <f>+B159-B158</f>
        <v>365</v>
      </c>
      <c r="D159" s="119">
        <f>INT(SUM(D135:D138))</f>
        <v>107853316</v>
      </c>
      <c r="E159" s="230">
        <v>42405</v>
      </c>
      <c r="F159" s="234" t="s">
        <v>135</v>
      </c>
      <c r="G159" s="188">
        <f>SUM(D143:D160)</f>
        <v>1202916553.7249999</v>
      </c>
      <c r="H159" s="115">
        <f t="shared" si="20"/>
        <v>2015</v>
      </c>
      <c r="I159" s="235"/>
      <c r="J159" s="196"/>
    </row>
    <row r="160" spans="1:10" s="215" customFormat="1" ht="11.25" customHeight="1" x14ac:dyDescent="0.15">
      <c r="A160" s="202">
        <v>42370</v>
      </c>
      <c r="B160" s="203">
        <v>42551</v>
      </c>
      <c r="C160" s="204">
        <f>+B160-B159</f>
        <v>182</v>
      </c>
      <c r="D160" s="204">
        <f>INT(SUM(D136:D139))</f>
        <v>93790817</v>
      </c>
      <c r="E160" s="236">
        <v>42825</v>
      </c>
      <c r="F160" s="237" t="s">
        <v>135</v>
      </c>
      <c r="G160" s="188"/>
      <c r="H160" s="115">
        <f t="shared" si="20"/>
        <v>2016</v>
      </c>
      <c r="I160" s="235"/>
      <c r="J160" s="196"/>
    </row>
    <row r="161" spans="1:10" x14ac:dyDescent="0.15">
      <c r="A161" s="162"/>
      <c r="B161" s="163"/>
      <c r="C161" s="164">
        <f>C160</f>
        <v>182</v>
      </c>
      <c r="D161" s="164">
        <f>SUM(D160)</f>
        <v>93790817</v>
      </c>
      <c r="E161" s="115"/>
      <c r="F161" s="120"/>
      <c r="I161" s="186"/>
      <c r="J161" s="186"/>
    </row>
    <row r="162" spans="1:10" ht="12.75" thickBot="1" x14ac:dyDescent="0.2">
      <c r="A162" s="165"/>
      <c r="B162" s="166"/>
      <c r="C162" s="167"/>
      <c r="D162" s="167"/>
      <c r="E162" s="168"/>
      <c r="F162" s="169"/>
      <c r="I162" s="186"/>
      <c r="J162" s="186"/>
    </row>
    <row r="163" spans="1:10" ht="12.75" thickTop="1" x14ac:dyDescent="0.15">
      <c r="A163" s="238"/>
      <c r="B163" s="239"/>
      <c r="C163" s="239"/>
      <c r="D163" s="240"/>
      <c r="E163" s="239"/>
      <c r="F163" s="241"/>
    </row>
    <row r="164" spans="1:10" x14ac:dyDescent="0.15">
      <c r="A164" s="242"/>
      <c r="B164" s="243"/>
      <c r="C164" s="243"/>
      <c r="D164" s="244"/>
      <c r="E164" s="243"/>
      <c r="F164" s="245"/>
    </row>
    <row r="165" spans="1:10" x14ac:dyDescent="0.15">
      <c r="A165" s="242"/>
      <c r="B165" s="243"/>
      <c r="C165" s="243"/>
      <c r="D165" s="244"/>
      <c r="E165" s="243"/>
      <c r="F165" s="245"/>
    </row>
    <row r="166" spans="1:10" x14ac:dyDescent="0.15">
      <c r="A166" s="246" t="s">
        <v>136</v>
      </c>
      <c r="B166" s="247" t="s">
        <v>137</v>
      </c>
      <c r="C166" s="243"/>
      <c r="D166" s="244"/>
      <c r="E166" s="243"/>
      <c r="F166" s="245"/>
    </row>
    <row r="167" spans="1:10" x14ac:dyDescent="0.15">
      <c r="A167" s="242"/>
      <c r="B167" s="248">
        <v>2.3E-2</v>
      </c>
      <c r="C167" s="243"/>
      <c r="D167" s="244"/>
      <c r="E167" s="243"/>
      <c r="F167" s="245"/>
    </row>
    <row r="168" spans="1:10" x14ac:dyDescent="0.15">
      <c r="A168" s="249" t="s">
        <v>124</v>
      </c>
      <c r="B168" s="250" t="s">
        <v>112</v>
      </c>
      <c r="C168" s="250" t="s">
        <v>113</v>
      </c>
      <c r="D168" s="251" t="s">
        <v>138</v>
      </c>
      <c r="E168" s="251" t="s">
        <v>139</v>
      </c>
      <c r="F168" s="252" t="s">
        <v>140</v>
      </c>
      <c r="G168" s="224" t="s">
        <v>141</v>
      </c>
    </row>
    <row r="169" spans="1:10" x14ac:dyDescent="0.15">
      <c r="A169" s="253">
        <v>23000000000</v>
      </c>
      <c r="B169" s="254">
        <v>0.02</v>
      </c>
      <c r="C169" s="255" t="s">
        <v>142</v>
      </c>
      <c r="D169" s="256">
        <v>19158503978</v>
      </c>
      <c r="E169" s="256">
        <v>19158503978</v>
      </c>
      <c r="F169" s="257">
        <v>19158503978</v>
      </c>
      <c r="G169" s="258">
        <f>7053824608</f>
        <v>7053824608</v>
      </c>
    </row>
    <row r="170" spans="1:10" x14ac:dyDescent="0.15">
      <c r="A170" s="259">
        <v>7053824608</v>
      </c>
      <c r="B170" s="260"/>
      <c r="C170" s="261">
        <v>41729</v>
      </c>
      <c r="D170" s="256">
        <f t="shared" ref="D170:D175" si="23">A170*$B$167/4</f>
        <v>40559491.495999999</v>
      </c>
      <c r="E170" s="256"/>
      <c r="F170" s="257"/>
      <c r="G170" s="258"/>
    </row>
    <row r="171" spans="1:10" x14ac:dyDescent="0.15">
      <c r="A171" s="259">
        <f>+A170</f>
        <v>7053824608</v>
      </c>
      <c r="B171" s="260"/>
      <c r="C171" s="261">
        <v>41820</v>
      </c>
      <c r="D171" s="256">
        <f t="shared" si="23"/>
        <v>40559491.495999999</v>
      </c>
      <c r="E171" s="256"/>
      <c r="F171" s="257"/>
      <c r="G171" s="258"/>
    </row>
    <row r="172" spans="1:10" x14ac:dyDescent="0.15">
      <c r="A172" s="259">
        <f>+A171-1450000000</f>
        <v>5603824608</v>
      </c>
      <c r="B172" s="244" t="s">
        <v>143</v>
      </c>
      <c r="C172" s="261">
        <v>41912</v>
      </c>
      <c r="D172" s="256">
        <f t="shared" si="23"/>
        <v>32221991.495999999</v>
      </c>
      <c r="E172" s="256"/>
      <c r="F172" s="257"/>
      <c r="G172" s="258"/>
    </row>
    <row r="173" spans="1:10" x14ac:dyDescent="0.15">
      <c r="A173" s="259">
        <f>+A172</f>
        <v>5603824608</v>
      </c>
      <c r="B173" s="260"/>
      <c r="C173" s="261">
        <v>42004</v>
      </c>
      <c r="D173" s="256">
        <f t="shared" si="23"/>
        <v>32221991.495999999</v>
      </c>
      <c r="E173" s="256"/>
      <c r="F173" s="257"/>
      <c r="G173" s="258"/>
    </row>
    <row r="174" spans="1:10" x14ac:dyDescent="0.15">
      <c r="A174" s="259">
        <f>A173</f>
        <v>5603824608</v>
      </c>
      <c r="B174" s="260"/>
      <c r="C174" s="261">
        <v>42094</v>
      </c>
      <c r="D174" s="256">
        <f t="shared" si="23"/>
        <v>32221991.495999999</v>
      </c>
      <c r="E174" s="256"/>
      <c r="F174" s="257"/>
      <c r="G174" s="258"/>
    </row>
    <row r="175" spans="1:10" x14ac:dyDescent="0.15">
      <c r="A175" s="259">
        <f>A174</f>
        <v>5603824608</v>
      </c>
      <c r="B175" s="260"/>
      <c r="C175" s="261">
        <v>42185</v>
      </c>
      <c r="D175" s="256">
        <f t="shared" si="23"/>
        <v>32221991.495999999</v>
      </c>
      <c r="E175" s="256"/>
      <c r="F175" s="257"/>
      <c r="G175" s="258"/>
    </row>
    <row r="176" spans="1:10" x14ac:dyDescent="0.15">
      <c r="A176" s="259">
        <v>4165064909</v>
      </c>
      <c r="B176" s="260"/>
      <c r="C176" s="261">
        <v>42225</v>
      </c>
      <c r="D176" s="256">
        <f>A176*$B$167/4/92*40</f>
        <v>10412662.272500001</v>
      </c>
      <c r="E176" s="256"/>
      <c r="F176" s="257"/>
      <c r="G176" s="258"/>
    </row>
    <row r="177" spans="1:9" x14ac:dyDescent="0.15">
      <c r="A177" s="259"/>
      <c r="B177" s="260"/>
      <c r="C177" s="262">
        <v>42369</v>
      </c>
      <c r="D177" s="244"/>
      <c r="E177" s="243"/>
      <c r="F177" s="245"/>
    </row>
    <row r="178" spans="1:9" x14ac:dyDescent="0.15">
      <c r="A178" s="259"/>
      <c r="B178" s="260"/>
      <c r="C178" s="262"/>
      <c r="D178" s="244"/>
      <c r="E178" s="243"/>
      <c r="F178" s="245"/>
    </row>
    <row r="179" spans="1:9" x14ac:dyDescent="0.15">
      <c r="A179" s="263">
        <v>40400</v>
      </c>
      <c r="B179" s="264">
        <v>40451</v>
      </c>
      <c r="C179" s="244">
        <f t="shared" ref="C179:C184" si="24">+B179-A179+1</f>
        <v>52</v>
      </c>
      <c r="D179" s="244">
        <f>INT(+$A$169*$B$169/365*C179)</f>
        <v>65534246</v>
      </c>
      <c r="E179" s="265">
        <v>40451</v>
      </c>
      <c r="F179" s="245"/>
    </row>
    <row r="180" spans="1:9" x14ac:dyDescent="0.15">
      <c r="A180" s="263">
        <v>40452</v>
      </c>
      <c r="B180" s="264">
        <v>40543</v>
      </c>
      <c r="C180" s="244">
        <f t="shared" si="24"/>
        <v>92</v>
      </c>
      <c r="D180" s="244">
        <f t="shared" ref="D180:D188" si="25">+$A$169*$B$169/4</f>
        <v>115000000</v>
      </c>
      <c r="E180" s="265">
        <v>40543</v>
      </c>
      <c r="F180" s="245"/>
    </row>
    <row r="181" spans="1:9" x14ac:dyDescent="0.15">
      <c r="A181" s="263">
        <v>40544</v>
      </c>
      <c r="B181" s="265">
        <v>40633</v>
      </c>
      <c r="C181" s="244">
        <f t="shared" si="24"/>
        <v>90</v>
      </c>
      <c r="D181" s="244">
        <f t="shared" si="25"/>
        <v>115000000</v>
      </c>
      <c r="E181" s="264">
        <v>40633</v>
      </c>
      <c r="F181" s="245"/>
    </row>
    <row r="182" spans="1:9" x14ac:dyDescent="0.15">
      <c r="A182" s="263">
        <v>40634</v>
      </c>
      <c r="B182" s="265">
        <v>40724</v>
      </c>
      <c r="C182" s="244">
        <f t="shared" si="24"/>
        <v>91</v>
      </c>
      <c r="D182" s="244">
        <f t="shared" si="25"/>
        <v>115000000</v>
      </c>
      <c r="E182" s="264">
        <v>40724</v>
      </c>
      <c r="F182" s="245"/>
    </row>
    <row r="183" spans="1:9" x14ac:dyDescent="0.15">
      <c r="A183" s="266">
        <v>40725</v>
      </c>
      <c r="B183" s="265">
        <v>40816</v>
      </c>
      <c r="C183" s="244">
        <f t="shared" si="24"/>
        <v>92</v>
      </c>
      <c r="D183" s="244">
        <f t="shared" si="25"/>
        <v>115000000</v>
      </c>
      <c r="E183" s="264">
        <v>40816</v>
      </c>
      <c r="F183" s="245"/>
    </row>
    <row r="184" spans="1:9" x14ac:dyDescent="0.15">
      <c r="A184" s="266">
        <v>40817</v>
      </c>
      <c r="B184" s="265">
        <v>40908</v>
      </c>
      <c r="C184" s="244">
        <f t="shared" si="24"/>
        <v>92</v>
      </c>
      <c r="D184" s="244">
        <f t="shared" si="25"/>
        <v>115000000</v>
      </c>
      <c r="E184" s="264">
        <v>40908</v>
      </c>
      <c r="F184" s="245"/>
    </row>
    <row r="185" spans="1:9" x14ac:dyDescent="0.15">
      <c r="A185" s="266">
        <v>40909</v>
      </c>
      <c r="B185" s="265">
        <v>40999</v>
      </c>
      <c r="C185" s="244">
        <f t="shared" ref="C185:C194" si="26">+B185-B184</f>
        <v>91</v>
      </c>
      <c r="D185" s="244">
        <f t="shared" si="25"/>
        <v>115000000</v>
      </c>
      <c r="E185" s="264">
        <v>41002</v>
      </c>
      <c r="F185" s="245"/>
    </row>
    <row r="186" spans="1:9" x14ac:dyDescent="0.15">
      <c r="A186" s="266">
        <v>41000</v>
      </c>
      <c r="B186" s="265">
        <v>41090</v>
      </c>
      <c r="C186" s="244">
        <f t="shared" si="26"/>
        <v>91</v>
      </c>
      <c r="D186" s="244">
        <f t="shared" si="25"/>
        <v>115000000</v>
      </c>
      <c r="E186" s="264">
        <v>41090</v>
      </c>
      <c r="F186" s="245"/>
    </row>
    <row r="187" spans="1:9" x14ac:dyDescent="0.15">
      <c r="A187" s="266">
        <v>41091</v>
      </c>
      <c r="B187" s="265">
        <v>41182</v>
      </c>
      <c r="C187" s="244">
        <f t="shared" si="26"/>
        <v>92</v>
      </c>
      <c r="D187" s="244">
        <f t="shared" si="25"/>
        <v>115000000</v>
      </c>
      <c r="E187" s="264">
        <v>41186</v>
      </c>
      <c r="F187" s="245"/>
    </row>
    <row r="188" spans="1:9" x14ac:dyDescent="0.15">
      <c r="A188" s="266">
        <v>41183</v>
      </c>
      <c r="B188" s="265">
        <v>41274</v>
      </c>
      <c r="C188" s="244">
        <f t="shared" si="26"/>
        <v>92</v>
      </c>
      <c r="D188" s="244">
        <f t="shared" si="25"/>
        <v>115000000</v>
      </c>
      <c r="E188" s="264">
        <v>41274</v>
      </c>
      <c r="F188" s="245"/>
    </row>
    <row r="189" spans="1:9" x14ac:dyDescent="0.15">
      <c r="A189" s="266">
        <v>41275</v>
      </c>
      <c r="B189" s="265">
        <v>41314</v>
      </c>
      <c r="C189" s="244">
        <f t="shared" si="26"/>
        <v>40</v>
      </c>
      <c r="D189" s="244">
        <f>ROUNDDOWN(+$A$169*$B$169*C189/365,0)</f>
        <v>50410958</v>
      </c>
      <c r="E189" s="264">
        <v>41365</v>
      </c>
      <c r="F189" s="267" t="s">
        <v>144</v>
      </c>
      <c r="H189" s="130"/>
      <c r="I189" s="114"/>
    </row>
    <row r="190" spans="1:9" x14ac:dyDescent="0.15">
      <c r="A190" s="266">
        <v>41315</v>
      </c>
      <c r="B190" s="265">
        <v>41364</v>
      </c>
      <c r="C190" s="244">
        <f t="shared" si="26"/>
        <v>50</v>
      </c>
      <c r="D190" s="244">
        <f>ROUNDDOWN(D169*C190/90/4*B167,0)</f>
        <v>61200776</v>
      </c>
      <c r="E190" s="268">
        <v>41729</v>
      </c>
      <c r="F190" s="267" t="s">
        <v>145</v>
      </c>
      <c r="H190" s="130"/>
      <c r="I190" s="114"/>
    </row>
    <row r="191" spans="1:9" x14ac:dyDescent="0.15">
      <c r="A191" s="266">
        <v>41365</v>
      </c>
      <c r="B191" s="265">
        <v>41455</v>
      </c>
      <c r="C191" s="244">
        <f t="shared" si="26"/>
        <v>91</v>
      </c>
      <c r="D191" s="244">
        <f>ROUNDDOWN(E169/4*B167,0)</f>
        <v>110161397</v>
      </c>
      <c r="E191" s="268">
        <v>41729</v>
      </c>
      <c r="F191" s="267" t="s">
        <v>145</v>
      </c>
      <c r="H191" s="130"/>
      <c r="I191" s="114"/>
    </row>
    <row r="192" spans="1:9" x14ac:dyDescent="0.15">
      <c r="A192" s="266">
        <v>41456</v>
      </c>
      <c r="B192" s="265">
        <v>41547</v>
      </c>
      <c r="C192" s="244">
        <f t="shared" si="26"/>
        <v>92</v>
      </c>
      <c r="D192" s="244">
        <f>ROUNDDOWN(F169/4*$B$167,0)</f>
        <v>110161397</v>
      </c>
      <c r="E192" s="268">
        <v>41729</v>
      </c>
      <c r="F192" s="267" t="s">
        <v>145</v>
      </c>
      <c r="H192" s="130"/>
      <c r="I192" s="114"/>
    </row>
    <row r="193" spans="1:13" x14ac:dyDescent="0.15">
      <c r="A193" s="266">
        <v>41548</v>
      </c>
      <c r="B193" s="265">
        <v>41639</v>
      </c>
      <c r="C193" s="244">
        <f t="shared" si="26"/>
        <v>92</v>
      </c>
      <c r="D193" s="244">
        <f>ROUNDDOWN(G169/4*$B$167,0)</f>
        <v>40559491</v>
      </c>
      <c r="E193" s="268">
        <v>41729</v>
      </c>
      <c r="F193" s="267" t="s">
        <v>145</v>
      </c>
      <c r="H193" s="130"/>
      <c r="I193" s="114"/>
    </row>
    <row r="194" spans="1:13" s="214" customFormat="1" x14ac:dyDescent="0.15">
      <c r="A194" s="269">
        <v>41640</v>
      </c>
      <c r="B194" s="270">
        <v>42004</v>
      </c>
      <c r="C194" s="271">
        <f t="shared" si="26"/>
        <v>365</v>
      </c>
      <c r="D194" s="271">
        <f>INT(SUM(A170:A173)/4*B167)</f>
        <v>145562965</v>
      </c>
      <c r="E194" s="272">
        <v>42094</v>
      </c>
      <c r="F194" s="267" t="s">
        <v>145</v>
      </c>
      <c r="G194" s="213"/>
      <c r="H194" s="191"/>
      <c r="I194" s="213"/>
    </row>
    <row r="195" spans="1:13" s="196" customFormat="1" x14ac:dyDescent="0.15">
      <c r="A195" s="266">
        <v>42005</v>
      </c>
      <c r="B195" s="265">
        <v>42225</v>
      </c>
      <c r="C195" s="244">
        <f>+B195-B194</f>
        <v>221</v>
      </c>
      <c r="D195" s="244">
        <f>INT(SUM(D174:D177))-1</f>
        <v>74856644</v>
      </c>
      <c r="E195" s="268">
        <v>42225</v>
      </c>
      <c r="F195" s="273" t="s">
        <v>146</v>
      </c>
      <c r="G195" s="207">
        <f>SUM(D179:D195)</f>
        <v>1693447874</v>
      </c>
      <c r="H195" s="220"/>
      <c r="I195" s="207"/>
    </row>
    <row r="196" spans="1:13" x14ac:dyDescent="0.15">
      <c r="A196" s="266"/>
      <c r="B196" s="265"/>
      <c r="C196" s="244">
        <f>SUM(C179:C195)</f>
        <v>1826</v>
      </c>
      <c r="D196" s="244">
        <f>SUM(D179:D195)</f>
        <v>1693447874</v>
      </c>
      <c r="E196" s="243"/>
      <c r="F196" s="245"/>
      <c r="H196" s="130"/>
      <c r="I196" s="114"/>
    </row>
    <row r="197" spans="1:13" ht="12.75" thickBot="1" x14ac:dyDescent="0.2">
      <c r="A197" s="274"/>
      <c r="B197" s="275"/>
      <c r="C197" s="276"/>
      <c r="D197" s="276"/>
      <c r="E197" s="277"/>
      <c r="F197" s="278"/>
      <c r="H197" s="130"/>
      <c r="I197" s="114"/>
    </row>
    <row r="198" spans="1:13" ht="12.75" thickTop="1" x14ac:dyDescent="0.15">
      <c r="H198" s="130"/>
      <c r="I198" s="114"/>
    </row>
    <row r="201" spans="1:13" x14ac:dyDescent="0.15">
      <c r="A201" s="118" t="s">
        <v>147</v>
      </c>
      <c r="B201" s="115"/>
      <c r="C201" s="115"/>
      <c r="D201" s="119"/>
      <c r="E201" s="115"/>
      <c r="F201" s="120"/>
    </row>
    <row r="202" spans="1:13" x14ac:dyDescent="0.15">
      <c r="A202" s="121"/>
      <c r="B202" s="115"/>
      <c r="C202" s="115"/>
      <c r="D202" s="119"/>
      <c r="E202" s="115"/>
      <c r="F202" s="120"/>
    </row>
    <row r="203" spans="1:13" x14ac:dyDescent="0.15">
      <c r="A203" s="122" t="s">
        <v>148</v>
      </c>
      <c r="B203" s="123" t="s">
        <v>100</v>
      </c>
      <c r="C203" s="123" t="s">
        <v>149</v>
      </c>
      <c r="D203" s="119"/>
      <c r="E203" s="115"/>
      <c r="F203" s="120"/>
    </row>
    <row r="204" spans="1:13" x14ac:dyDescent="0.15">
      <c r="A204" s="208">
        <v>32000000000</v>
      </c>
      <c r="B204" s="126">
        <v>0.01</v>
      </c>
      <c r="C204" s="225" t="s">
        <v>150</v>
      </c>
      <c r="D204" s="178"/>
      <c r="E204" s="115"/>
      <c r="F204" s="120"/>
    </row>
    <row r="205" spans="1:13" x14ac:dyDescent="0.15">
      <c r="A205" s="173"/>
      <c r="B205" s="131"/>
      <c r="C205" s="119"/>
      <c r="D205" s="119"/>
      <c r="E205" s="115"/>
      <c r="F205" s="120"/>
      <c r="I205" s="113">
        <f>YEAR(A209)</f>
        <v>2011</v>
      </c>
      <c r="K205" s="114"/>
      <c r="L205" s="279"/>
    </row>
    <row r="206" spans="1:13" x14ac:dyDescent="0.15">
      <c r="A206" s="135" t="s">
        <v>103</v>
      </c>
      <c r="B206" s="136" t="s">
        <v>104</v>
      </c>
      <c r="C206" s="135" t="s">
        <v>105</v>
      </c>
      <c r="D206" s="135" t="s">
        <v>100</v>
      </c>
      <c r="E206" s="137" t="s">
        <v>107</v>
      </c>
      <c r="F206" s="137" t="s">
        <v>151</v>
      </c>
    </row>
    <row r="207" spans="1:13" x14ac:dyDescent="0.15">
      <c r="A207" s="176">
        <v>40429</v>
      </c>
      <c r="B207" s="174">
        <v>40451</v>
      </c>
      <c r="C207" s="130">
        <f t="shared" ref="C207:C212" si="27">+B207-A207+1</f>
        <v>23</v>
      </c>
      <c r="D207" s="119">
        <f t="shared" ref="D207:D212" si="28">INT(+$A$204*$B$204/365*C207)</f>
        <v>20164383</v>
      </c>
      <c r="E207" s="163">
        <f>B207</f>
        <v>40451</v>
      </c>
      <c r="F207" s="130">
        <f>D207*2</f>
        <v>40328766</v>
      </c>
      <c r="G207" s="115"/>
      <c r="H207" s="130"/>
      <c r="J207" s="113">
        <f>YEAR(A207)</f>
        <v>2010</v>
      </c>
      <c r="L207" s="114"/>
      <c r="M207" s="279"/>
    </row>
    <row r="208" spans="1:13" x14ac:dyDescent="0.15">
      <c r="A208" s="176">
        <v>40452</v>
      </c>
      <c r="B208" s="174">
        <v>40543</v>
      </c>
      <c r="C208" s="130">
        <f t="shared" si="27"/>
        <v>92</v>
      </c>
      <c r="D208" s="119">
        <f t="shared" si="28"/>
        <v>80657534</v>
      </c>
      <c r="E208" s="163">
        <f>B208</f>
        <v>40543</v>
      </c>
      <c r="F208" s="130">
        <f>D208*2+1</f>
        <v>161315069</v>
      </c>
      <c r="G208" s="115"/>
      <c r="H208" s="130"/>
      <c r="J208" s="113">
        <f t="shared" ref="J208:J271" si="29">YEAR(A208)</f>
        <v>2010</v>
      </c>
      <c r="L208" s="114"/>
      <c r="M208" s="279"/>
    </row>
    <row r="209" spans="1:13" x14ac:dyDescent="0.15">
      <c r="A209" s="176">
        <v>40544</v>
      </c>
      <c r="B209" s="163">
        <v>40633</v>
      </c>
      <c r="C209" s="130">
        <f t="shared" si="27"/>
        <v>90</v>
      </c>
      <c r="D209" s="119">
        <f t="shared" si="28"/>
        <v>78904109</v>
      </c>
      <c r="E209" s="174">
        <v>40633</v>
      </c>
      <c r="F209" s="130">
        <f t="shared" ref="F209:F272" si="30">D209*2</f>
        <v>157808218</v>
      </c>
      <c r="G209" s="115" t="s">
        <v>97</v>
      </c>
      <c r="H209" s="130"/>
      <c r="J209" s="113">
        <f t="shared" si="29"/>
        <v>2011</v>
      </c>
      <c r="L209" s="114"/>
      <c r="M209" s="279"/>
    </row>
    <row r="210" spans="1:13" x14ac:dyDescent="0.15">
      <c r="A210" s="176">
        <v>40634</v>
      </c>
      <c r="B210" s="163">
        <v>40724</v>
      </c>
      <c r="C210" s="130">
        <f t="shared" si="27"/>
        <v>91</v>
      </c>
      <c r="D210" s="119">
        <f t="shared" si="28"/>
        <v>79780821</v>
      </c>
      <c r="E210" s="174">
        <v>40724</v>
      </c>
      <c r="F210" s="130">
        <f t="shared" si="30"/>
        <v>159561642</v>
      </c>
      <c r="G210" s="115" t="s">
        <v>97</v>
      </c>
      <c r="H210" s="130"/>
      <c r="J210" s="113">
        <f t="shared" si="29"/>
        <v>2011</v>
      </c>
      <c r="L210" s="114"/>
      <c r="M210" s="279"/>
    </row>
    <row r="211" spans="1:13" x14ac:dyDescent="0.15">
      <c r="A211" s="162">
        <v>40725</v>
      </c>
      <c r="B211" s="163">
        <v>40816</v>
      </c>
      <c r="C211" s="130">
        <f t="shared" si="27"/>
        <v>92</v>
      </c>
      <c r="D211" s="119">
        <f t="shared" si="28"/>
        <v>80657534</v>
      </c>
      <c r="E211" s="174">
        <v>40816</v>
      </c>
      <c r="F211" s="130">
        <f t="shared" si="30"/>
        <v>161315068</v>
      </c>
      <c r="G211" s="115" t="s">
        <v>97</v>
      </c>
      <c r="H211" s="130"/>
      <c r="J211" s="113">
        <f t="shared" si="29"/>
        <v>2011</v>
      </c>
      <c r="L211" s="114"/>
      <c r="M211" s="279"/>
    </row>
    <row r="212" spans="1:13" x14ac:dyDescent="0.15">
      <c r="A212" s="162">
        <v>40817</v>
      </c>
      <c r="B212" s="163">
        <v>40908</v>
      </c>
      <c r="C212" s="130">
        <f t="shared" si="27"/>
        <v>92</v>
      </c>
      <c r="D212" s="119">
        <f t="shared" si="28"/>
        <v>80657534</v>
      </c>
      <c r="E212" s="174">
        <v>40908</v>
      </c>
      <c r="F212" s="130">
        <f>D212*2+4</f>
        <v>161315072</v>
      </c>
      <c r="G212" s="115" t="s">
        <v>97</v>
      </c>
      <c r="H212" s="130"/>
      <c r="J212" s="113">
        <f t="shared" si="29"/>
        <v>2011</v>
      </c>
      <c r="L212" s="114"/>
      <c r="M212" s="279"/>
    </row>
    <row r="213" spans="1:13" x14ac:dyDescent="0.15">
      <c r="A213" s="162">
        <v>40909</v>
      </c>
      <c r="B213" s="163">
        <v>40999</v>
      </c>
      <c r="C213" s="130">
        <f t="shared" ref="C213:C272" si="31">+B213-B212</f>
        <v>91</v>
      </c>
      <c r="D213" s="119">
        <f>INT(+$A$204*$B$204/366*C213)</f>
        <v>79562841</v>
      </c>
      <c r="E213" s="174">
        <v>41001</v>
      </c>
      <c r="F213" s="130">
        <f t="shared" si="30"/>
        <v>159125682</v>
      </c>
      <c r="G213" s="115"/>
      <c r="H213" s="130"/>
      <c r="J213" s="113">
        <f t="shared" si="29"/>
        <v>2012</v>
      </c>
      <c r="L213" s="114"/>
      <c r="M213" s="279"/>
    </row>
    <row r="214" spans="1:13" x14ac:dyDescent="0.15">
      <c r="A214" s="162">
        <v>41000</v>
      </c>
      <c r="B214" s="163">
        <v>41090</v>
      </c>
      <c r="C214" s="130">
        <f t="shared" si="31"/>
        <v>91</v>
      </c>
      <c r="D214" s="119">
        <f>INT(+$A$204*$B$204/366*C214)</f>
        <v>79562841</v>
      </c>
      <c r="E214" s="174">
        <v>41090</v>
      </c>
      <c r="F214" s="130">
        <f t="shared" si="30"/>
        <v>159125682</v>
      </c>
      <c r="G214" s="280"/>
      <c r="H214" s="130"/>
      <c r="J214" s="113">
        <f t="shared" si="29"/>
        <v>2012</v>
      </c>
      <c r="L214" s="114"/>
      <c r="M214" s="279"/>
    </row>
    <row r="215" spans="1:13" x14ac:dyDescent="0.15">
      <c r="A215" s="162">
        <v>41091</v>
      </c>
      <c r="B215" s="163">
        <v>41182</v>
      </c>
      <c r="C215" s="130">
        <f t="shared" si="31"/>
        <v>92</v>
      </c>
      <c r="D215" s="119">
        <f>INT(+$A$204*$B$204/366*C215)</f>
        <v>80437158</v>
      </c>
      <c r="E215" s="174">
        <v>41222</v>
      </c>
      <c r="F215" s="130">
        <f t="shared" si="30"/>
        <v>160874316</v>
      </c>
      <c r="G215" s="280"/>
      <c r="H215" s="130"/>
      <c r="J215" s="113">
        <f t="shared" si="29"/>
        <v>2012</v>
      </c>
    </row>
    <row r="216" spans="1:13" x14ac:dyDescent="0.15">
      <c r="A216" s="162">
        <v>41183</v>
      </c>
      <c r="B216" s="163">
        <v>41274</v>
      </c>
      <c r="C216" s="130">
        <f t="shared" si="31"/>
        <v>92</v>
      </c>
      <c r="D216" s="119">
        <f>INT(+$A$204*$B$204/366*C216)</f>
        <v>80437158</v>
      </c>
      <c r="E216" s="174">
        <v>41276</v>
      </c>
      <c r="F216" s="130">
        <f>D216*2+44</f>
        <v>160874360</v>
      </c>
      <c r="G216" s="281" t="s">
        <v>152</v>
      </c>
      <c r="H216" s="130"/>
      <c r="J216" s="113">
        <f t="shared" si="29"/>
        <v>2012</v>
      </c>
    </row>
    <row r="217" spans="1:13" x14ac:dyDescent="0.15">
      <c r="A217" s="162">
        <v>41275</v>
      </c>
      <c r="B217" s="163">
        <v>41364</v>
      </c>
      <c r="C217" s="130">
        <f t="shared" si="31"/>
        <v>90</v>
      </c>
      <c r="D217" s="119">
        <f>ROUNDDOWN(+$A$204*$B$204/365*C217,0)</f>
        <v>78904109</v>
      </c>
      <c r="E217" s="174">
        <v>41365</v>
      </c>
      <c r="F217" s="130">
        <f t="shared" si="30"/>
        <v>157808218</v>
      </c>
      <c r="G217" s="281"/>
      <c r="H217" s="130"/>
      <c r="J217" s="113">
        <f t="shared" si="29"/>
        <v>2013</v>
      </c>
    </row>
    <row r="218" spans="1:13" x14ac:dyDescent="0.15">
      <c r="A218" s="162">
        <v>41365</v>
      </c>
      <c r="B218" s="163">
        <v>41455</v>
      </c>
      <c r="C218" s="130">
        <f t="shared" si="31"/>
        <v>91</v>
      </c>
      <c r="D218" s="119">
        <f>ROUNDDOWN(+$A$204*$B$204/365*C218,0)</f>
        <v>79780821</v>
      </c>
      <c r="E218" s="174">
        <v>41456</v>
      </c>
      <c r="F218" s="130">
        <f t="shared" si="30"/>
        <v>159561642</v>
      </c>
      <c r="G218" s="281"/>
      <c r="H218" s="130"/>
      <c r="J218" s="113">
        <f t="shared" si="29"/>
        <v>2013</v>
      </c>
    </row>
    <row r="219" spans="1:13" x14ac:dyDescent="0.15">
      <c r="A219" s="162">
        <v>41456</v>
      </c>
      <c r="B219" s="163">
        <v>41524</v>
      </c>
      <c r="C219" s="130">
        <f t="shared" si="31"/>
        <v>69</v>
      </c>
      <c r="D219" s="119">
        <f>ROUNDDOWN(+$A$204*$B$204/365*C219,0)+1</f>
        <v>60493151</v>
      </c>
      <c r="E219" s="230">
        <v>41548</v>
      </c>
      <c r="F219" s="130">
        <f t="shared" si="30"/>
        <v>120986302</v>
      </c>
      <c r="G219" s="281" t="s">
        <v>153</v>
      </c>
      <c r="H219" s="130"/>
      <c r="J219" s="113">
        <f t="shared" si="29"/>
        <v>2013</v>
      </c>
    </row>
    <row r="220" spans="1:13" x14ac:dyDescent="0.15">
      <c r="A220" s="162">
        <v>41525</v>
      </c>
      <c r="B220" s="163">
        <v>41547</v>
      </c>
      <c r="C220" s="130">
        <f t="shared" si="31"/>
        <v>23</v>
      </c>
      <c r="D220" s="119">
        <f>ROUNDDOWN(G220*B204*C220/365,0)</f>
        <v>9256595</v>
      </c>
      <c r="E220" s="230">
        <v>41730</v>
      </c>
      <c r="F220" s="130">
        <f t="shared" si="30"/>
        <v>18513190</v>
      </c>
      <c r="G220" s="282">
        <v>14689814759</v>
      </c>
      <c r="H220" s="130"/>
      <c r="J220" s="113">
        <f t="shared" si="29"/>
        <v>2013</v>
      </c>
    </row>
    <row r="221" spans="1:13" x14ac:dyDescent="0.15">
      <c r="A221" s="162">
        <v>41548</v>
      </c>
      <c r="B221" s="163">
        <v>41557</v>
      </c>
      <c r="C221" s="130">
        <f t="shared" si="31"/>
        <v>10</v>
      </c>
      <c r="D221" s="119">
        <f>ROUNDDOWN(G221*B204*C221/365,0)</f>
        <v>3887621</v>
      </c>
      <c r="E221" s="230">
        <v>41730</v>
      </c>
      <c r="F221" s="130">
        <f t="shared" si="30"/>
        <v>7775242</v>
      </c>
      <c r="G221" s="282">
        <v>14189819759</v>
      </c>
      <c r="H221" s="130" t="s">
        <v>154</v>
      </c>
      <c r="J221" s="113">
        <f t="shared" si="29"/>
        <v>2013</v>
      </c>
    </row>
    <row r="222" spans="1:13" x14ac:dyDescent="0.15">
      <c r="A222" s="162">
        <v>41558</v>
      </c>
      <c r="B222" s="163">
        <v>41639</v>
      </c>
      <c r="C222" s="130">
        <f t="shared" si="31"/>
        <v>82</v>
      </c>
      <c r="D222" s="119">
        <f>ROUNDDOWN(G222*B204*C222/365,0)-1</f>
        <v>31204525</v>
      </c>
      <c r="E222" s="230">
        <v>41730</v>
      </c>
      <c r="F222" s="130">
        <f>D222*2+6</f>
        <v>62409056</v>
      </c>
      <c r="G222" s="282">
        <v>13889819759</v>
      </c>
      <c r="H222" s="130" t="s">
        <v>155</v>
      </c>
      <c r="J222" s="113">
        <f t="shared" si="29"/>
        <v>2013</v>
      </c>
    </row>
    <row r="223" spans="1:13" s="214" customFormat="1" x14ac:dyDescent="0.15">
      <c r="A223" s="189">
        <v>41640</v>
      </c>
      <c r="B223" s="190">
        <v>41644</v>
      </c>
      <c r="C223" s="191">
        <f t="shared" si="31"/>
        <v>5</v>
      </c>
      <c r="D223" s="191">
        <f>INT(+G223*$B$204/365*C223)</f>
        <v>1902715</v>
      </c>
      <c r="E223" s="231">
        <v>42094</v>
      </c>
      <c r="F223" s="130">
        <f t="shared" si="30"/>
        <v>3805430</v>
      </c>
      <c r="G223" s="283">
        <f>+G222</f>
        <v>13889819759</v>
      </c>
      <c r="H223" s="191" t="s">
        <v>156</v>
      </c>
      <c r="J223" s="113">
        <f t="shared" si="29"/>
        <v>2014</v>
      </c>
    </row>
    <row r="224" spans="1:13" s="214" customFormat="1" x14ac:dyDescent="0.15">
      <c r="A224" s="189">
        <v>41645</v>
      </c>
      <c r="B224" s="190">
        <v>41665</v>
      </c>
      <c r="C224" s="191">
        <f t="shared" si="31"/>
        <v>21</v>
      </c>
      <c r="D224" s="191">
        <f t="shared" ref="D224:D231" si="32">INT(+G224*$B$204/365*C224)</f>
        <v>8739210</v>
      </c>
      <c r="E224" s="231">
        <v>42094</v>
      </c>
      <c r="F224" s="130">
        <f t="shared" si="30"/>
        <v>17478420</v>
      </c>
      <c r="G224" s="283">
        <f>+G223+1299760000</f>
        <v>15189579759</v>
      </c>
      <c r="H224" s="191" t="s">
        <v>157</v>
      </c>
      <c r="J224" s="113">
        <f t="shared" si="29"/>
        <v>2014</v>
      </c>
    </row>
    <row r="225" spans="1:11" s="214" customFormat="1" x14ac:dyDescent="0.15">
      <c r="A225" s="189">
        <v>41666</v>
      </c>
      <c r="B225" s="190">
        <v>41672</v>
      </c>
      <c r="C225" s="191">
        <f t="shared" si="31"/>
        <v>7</v>
      </c>
      <c r="D225" s="191">
        <f t="shared" si="32"/>
        <v>3047324</v>
      </c>
      <c r="E225" s="231">
        <v>42094</v>
      </c>
      <c r="F225" s="130">
        <f t="shared" si="30"/>
        <v>6094648</v>
      </c>
      <c r="G225" s="283">
        <f>+G224+700040000</f>
        <v>15889619759</v>
      </c>
      <c r="H225" s="191" t="str">
        <f>+H224</f>
        <v>더블유게임즈 투자</v>
      </c>
      <c r="J225" s="113">
        <f t="shared" si="29"/>
        <v>2014</v>
      </c>
    </row>
    <row r="226" spans="1:11" s="214" customFormat="1" x14ac:dyDescent="0.15">
      <c r="A226" s="189">
        <v>41673</v>
      </c>
      <c r="B226" s="190">
        <v>41716</v>
      </c>
      <c r="C226" s="191">
        <f t="shared" si="31"/>
        <v>44</v>
      </c>
      <c r="D226" s="191">
        <f t="shared" si="32"/>
        <v>21565509</v>
      </c>
      <c r="E226" s="231">
        <v>42094</v>
      </c>
      <c r="F226" s="130">
        <f t="shared" si="30"/>
        <v>43131018</v>
      </c>
      <c r="G226" s="283">
        <f>+G225+1999950526</f>
        <v>17889570285</v>
      </c>
      <c r="H226" s="191" t="s">
        <v>158</v>
      </c>
      <c r="J226" s="113">
        <f t="shared" si="29"/>
        <v>2014</v>
      </c>
    </row>
    <row r="227" spans="1:11" s="214" customFormat="1" x14ac:dyDescent="0.15">
      <c r="A227" s="189">
        <v>41717</v>
      </c>
      <c r="B227" s="190">
        <v>41729</v>
      </c>
      <c r="C227" s="191">
        <f t="shared" si="31"/>
        <v>13</v>
      </c>
      <c r="D227" s="191">
        <f>INT(+G227*$B$204/365*C227)</f>
        <v>6345742</v>
      </c>
      <c r="E227" s="231">
        <v>42094</v>
      </c>
      <c r="F227" s="130">
        <f>D227*2</f>
        <v>12691484</v>
      </c>
      <c r="G227" s="283">
        <f>G228</f>
        <v>17816892225</v>
      </c>
      <c r="H227" s="191"/>
      <c r="J227" s="113">
        <f t="shared" si="29"/>
        <v>2014</v>
      </c>
    </row>
    <row r="228" spans="1:11" s="214" customFormat="1" x14ac:dyDescent="0.15">
      <c r="A228" s="189">
        <v>41730</v>
      </c>
      <c r="B228" s="190">
        <v>41751</v>
      </c>
      <c r="C228" s="191">
        <f t="shared" si="31"/>
        <v>22</v>
      </c>
      <c r="D228" s="191">
        <f t="shared" si="32"/>
        <v>10738948</v>
      </c>
      <c r="E228" s="231">
        <v>42094</v>
      </c>
      <c r="F228" s="130">
        <f t="shared" si="30"/>
        <v>21477896</v>
      </c>
      <c r="G228" s="283">
        <f>+G226-72678060</f>
        <v>17816892225</v>
      </c>
      <c r="H228" s="191" t="s">
        <v>159</v>
      </c>
      <c r="J228" s="113">
        <f t="shared" si="29"/>
        <v>2014</v>
      </c>
    </row>
    <row r="229" spans="1:11" s="214" customFormat="1" x14ac:dyDescent="0.15">
      <c r="A229" s="189">
        <v>41752</v>
      </c>
      <c r="B229" s="190">
        <v>41758</v>
      </c>
      <c r="C229" s="191">
        <f t="shared" si="31"/>
        <v>7</v>
      </c>
      <c r="D229" s="191">
        <f t="shared" si="32"/>
        <v>3401583</v>
      </c>
      <c r="E229" s="231">
        <v>42094</v>
      </c>
      <c r="F229" s="130">
        <f t="shared" si="30"/>
        <v>6803166</v>
      </c>
      <c r="G229" s="283">
        <f>+G228-80065206</f>
        <v>17736827019</v>
      </c>
      <c r="H229" s="191" t="s">
        <v>160</v>
      </c>
      <c r="J229" s="113">
        <f t="shared" si="29"/>
        <v>2014</v>
      </c>
    </row>
    <row r="230" spans="1:11" s="214" customFormat="1" x14ac:dyDescent="0.15">
      <c r="A230" s="189">
        <v>41759</v>
      </c>
      <c r="B230" s="190">
        <v>41759</v>
      </c>
      <c r="C230" s="191">
        <f t="shared" si="31"/>
        <v>1</v>
      </c>
      <c r="D230" s="191">
        <f t="shared" si="32"/>
        <v>484946</v>
      </c>
      <c r="E230" s="231">
        <v>42094</v>
      </c>
      <c r="F230" s="130">
        <f>D230*2</f>
        <v>969892</v>
      </c>
      <c r="G230" s="283">
        <f>+G229-36273799</f>
        <v>17700553220</v>
      </c>
      <c r="H230" s="191" t="s">
        <v>161</v>
      </c>
      <c r="J230" s="113">
        <f t="shared" si="29"/>
        <v>2014</v>
      </c>
    </row>
    <row r="231" spans="1:11" s="214" customFormat="1" x14ac:dyDescent="0.15">
      <c r="A231" s="189">
        <v>41760</v>
      </c>
      <c r="B231" s="190">
        <v>41820</v>
      </c>
      <c r="C231" s="191">
        <f t="shared" si="31"/>
        <v>61</v>
      </c>
      <c r="D231" s="191">
        <f t="shared" si="32"/>
        <v>29581746</v>
      </c>
      <c r="E231" s="231">
        <v>42094</v>
      </c>
      <c r="F231" s="130">
        <f t="shared" si="30"/>
        <v>59163492</v>
      </c>
      <c r="G231" s="283">
        <f>G230</f>
        <v>17700553220</v>
      </c>
      <c r="H231" s="191"/>
      <c r="J231" s="113">
        <f t="shared" si="29"/>
        <v>2014</v>
      </c>
    </row>
    <row r="232" spans="1:11" s="214" customFormat="1" x14ac:dyDescent="0.15">
      <c r="A232" s="189">
        <v>41821</v>
      </c>
      <c r="B232" s="190">
        <v>41912</v>
      </c>
      <c r="C232" s="191">
        <f t="shared" si="31"/>
        <v>92</v>
      </c>
      <c r="D232" s="191">
        <f>INT(+G232*$B$204/365*C232)</f>
        <v>44615093</v>
      </c>
      <c r="E232" s="231">
        <v>42094</v>
      </c>
      <c r="F232" s="130">
        <f t="shared" si="30"/>
        <v>89230186</v>
      </c>
      <c r="G232" s="283">
        <f>G231</f>
        <v>17700553220</v>
      </c>
      <c r="H232" s="191"/>
      <c r="J232" s="113">
        <f t="shared" si="29"/>
        <v>2014</v>
      </c>
    </row>
    <row r="233" spans="1:11" s="214" customFormat="1" x14ac:dyDescent="0.15">
      <c r="A233" s="189">
        <v>41913</v>
      </c>
      <c r="B233" s="190">
        <v>41980</v>
      </c>
      <c r="C233" s="191">
        <f t="shared" si="31"/>
        <v>68</v>
      </c>
      <c r="D233" s="191">
        <f>INT(+G233*$B$204/365*C233)</f>
        <v>32044936</v>
      </c>
      <c r="E233" s="231">
        <v>42094</v>
      </c>
      <c r="F233" s="130">
        <f t="shared" si="30"/>
        <v>64089872</v>
      </c>
      <c r="G233" s="283">
        <f>G232-499962500</f>
        <v>17200590720</v>
      </c>
      <c r="H233" s="191" t="s">
        <v>162</v>
      </c>
      <c r="J233" s="113">
        <f t="shared" si="29"/>
        <v>2014</v>
      </c>
    </row>
    <row r="234" spans="1:11" s="214" customFormat="1" x14ac:dyDescent="0.15">
      <c r="A234" s="189">
        <v>41981</v>
      </c>
      <c r="B234" s="190">
        <v>42004</v>
      </c>
      <c r="C234" s="191">
        <f t="shared" si="31"/>
        <v>24</v>
      </c>
      <c r="D234" s="191">
        <f>INT(+G234*$B$204/365*C234)</f>
        <v>13282521</v>
      </c>
      <c r="E234" s="231">
        <v>42094</v>
      </c>
      <c r="F234" s="130">
        <f>D234*2+4</f>
        <v>26565046</v>
      </c>
      <c r="G234" s="283">
        <f>+G230+2999910600-499962500</f>
        <v>20200501320</v>
      </c>
      <c r="H234" s="191" t="s">
        <v>163</v>
      </c>
      <c r="J234" s="113">
        <f t="shared" si="29"/>
        <v>2014</v>
      </c>
    </row>
    <row r="235" spans="1:11" s="214" customFormat="1" x14ac:dyDescent="0.15">
      <c r="A235" s="197">
        <v>42005</v>
      </c>
      <c r="B235" s="198">
        <v>42075</v>
      </c>
      <c r="C235" s="119">
        <f t="shared" si="31"/>
        <v>71</v>
      </c>
      <c r="D235" s="119">
        <f t="shared" ref="D235:D253" si="33">+G235*$B$204/365*C235</f>
        <v>39294117.101917811</v>
      </c>
      <c r="E235" s="230">
        <v>42405</v>
      </c>
      <c r="F235" s="119">
        <f t="shared" si="30"/>
        <v>78588234.203835621</v>
      </c>
      <c r="G235" s="284">
        <f>20200501320-4500</f>
        <v>20200496820</v>
      </c>
      <c r="H235" s="285" t="s">
        <v>164</v>
      </c>
      <c r="J235" s="113">
        <f t="shared" si="29"/>
        <v>2015</v>
      </c>
      <c r="K235" s="286">
        <f>G235-G234</f>
        <v>-4500</v>
      </c>
    </row>
    <row r="236" spans="1:11" s="214" customFormat="1" x14ac:dyDescent="0.15">
      <c r="A236" s="197">
        <v>42076</v>
      </c>
      <c r="B236" s="198">
        <v>42092</v>
      </c>
      <c r="C236" s="119">
        <f t="shared" si="31"/>
        <v>17</v>
      </c>
      <c r="D236" s="119">
        <f t="shared" si="33"/>
        <v>8989272.4915068485</v>
      </c>
      <c r="E236" s="230">
        <v>42405</v>
      </c>
      <c r="F236" s="119">
        <f t="shared" si="30"/>
        <v>17978544.983013697</v>
      </c>
      <c r="G236" s="284">
        <f>G235-900000000</f>
        <v>19300496820</v>
      </c>
      <c r="H236" s="285" t="s">
        <v>165</v>
      </c>
      <c r="J236" s="113">
        <f t="shared" si="29"/>
        <v>2015</v>
      </c>
      <c r="K236" s="286">
        <f t="shared" ref="K236:K248" si="34">G236-G235</f>
        <v>-900000000</v>
      </c>
    </row>
    <row r="237" spans="1:11" s="214" customFormat="1" x14ac:dyDescent="0.15">
      <c r="A237" s="197">
        <v>42093</v>
      </c>
      <c r="B237" s="198">
        <v>42094</v>
      </c>
      <c r="C237" s="119">
        <f t="shared" si="31"/>
        <v>2</v>
      </c>
      <c r="D237" s="119">
        <f t="shared" si="33"/>
        <v>1029835.4421917809</v>
      </c>
      <c r="E237" s="230">
        <v>42405</v>
      </c>
      <c r="F237" s="119">
        <f>D237*2</f>
        <v>2059670.8843835618</v>
      </c>
      <c r="G237" s="284">
        <f>G236-506000000</f>
        <v>18794496820</v>
      </c>
      <c r="H237" s="285" t="s">
        <v>166</v>
      </c>
      <c r="J237" s="113">
        <f t="shared" si="29"/>
        <v>2015</v>
      </c>
      <c r="K237" s="286">
        <f t="shared" si="34"/>
        <v>-506000000</v>
      </c>
    </row>
    <row r="238" spans="1:11" s="214" customFormat="1" x14ac:dyDescent="0.15">
      <c r="A238" s="197">
        <v>42095</v>
      </c>
      <c r="B238" s="198">
        <v>42095</v>
      </c>
      <c r="C238" s="119">
        <f>+B238-B237</f>
        <v>1</v>
      </c>
      <c r="D238" s="119">
        <f>+G238*$B$204/365*C238</f>
        <v>512337.99506849318</v>
      </c>
      <c r="E238" s="230">
        <v>42405</v>
      </c>
      <c r="F238" s="119">
        <f>D238*2</f>
        <v>1024675.9901369864</v>
      </c>
      <c r="G238" s="284">
        <f>G237-94160000</f>
        <v>18700336820</v>
      </c>
      <c r="H238" s="285" t="s">
        <v>167</v>
      </c>
      <c r="J238" s="113">
        <f t="shared" si="29"/>
        <v>2015</v>
      </c>
      <c r="K238" s="286">
        <f t="shared" si="34"/>
        <v>-94160000</v>
      </c>
    </row>
    <row r="239" spans="1:11" s="214" customFormat="1" x14ac:dyDescent="0.15">
      <c r="A239" s="197">
        <v>42096</v>
      </c>
      <c r="B239" s="198">
        <v>42102</v>
      </c>
      <c r="C239" s="119">
        <f>+B239-B238</f>
        <v>7</v>
      </c>
      <c r="D239" s="119">
        <f t="shared" si="33"/>
        <v>3496581.8558904114</v>
      </c>
      <c r="E239" s="230">
        <v>42405</v>
      </c>
      <c r="F239" s="119">
        <f>D239*2</f>
        <v>6993163.7117808228</v>
      </c>
      <c r="G239" s="284">
        <f>G238-468160000</f>
        <v>18232176820</v>
      </c>
      <c r="H239" s="285" t="s">
        <v>166</v>
      </c>
      <c r="J239" s="113">
        <f t="shared" si="29"/>
        <v>2015</v>
      </c>
      <c r="K239" s="286">
        <f t="shared" si="34"/>
        <v>-468160000</v>
      </c>
    </row>
    <row r="240" spans="1:11" s="214" customFormat="1" x14ac:dyDescent="0.15">
      <c r="A240" s="197">
        <v>42103</v>
      </c>
      <c r="B240" s="198">
        <v>42123</v>
      </c>
      <c r="C240" s="119">
        <f t="shared" si="31"/>
        <v>21</v>
      </c>
      <c r="D240" s="119">
        <f t="shared" si="33"/>
        <v>10345907.178082192</v>
      </c>
      <c r="E240" s="230">
        <v>42405</v>
      </c>
      <c r="F240" s="119">
        <f>D240*2</f>
        <v>20691814.356164385</v>
      </c>
      <c r="G240" s="284">
        <f>G239-250004820</f>
        <v>17982172000</v>
      </c>
      <c r="H240" s="285" t="s">
        <v>168</v>
      </c>
      <c r="J240" s="113">
        <f t="shared" si="29"/>
        <v>2015</v>
      </c>
      <c r="K240" s="286">
        <f t="shared" si="34"/>
        <v>-250004820</v>
      </c>
    </row>
    <row r="241" spans="1:11" s="214" customFormat="1" x14ac:dyDescent="0.15">
      <c r="A241" s="197">
        <v>42124</v>
      </c>
      <c r="B241" s="198">
        <v>42138</v>
      </c>
      <c r="C241" s="119">
        <f t="shared" si="31"/>
        <v>15</v>
      </c>
      <c r="D241" s="119">
        <f t="shared" si="33"/>
        <v>7376381.8434246574</v>
      </c>
      <c r="E241" s="230">
        <v>42405</v>
      </c>
      <c r="F241" s="119">
        <f t="shared" si="30"/>
        <v>14752763.686849315</v>
      </c>
      <c r="G241" s="284">
        <f>G240-32976181</f>
        <v>17949195819</v>
      </c>
      <c r="H241" s="285" t="s">
        <v>169</v>
      </c>
      <c r="J241" s="113">
        <f t="shared" si="29"/>
        <v>2015</v>
      </c>
      <c r="K241" s="286">
        <f t="shared" si="34"/>
        <v>-32976181</v>
      </c>
    </row>
    <row r="242" spans="1:11" s="214" customFormat="1" x14ac:dyDescent="0.15">
      <c r="A242" s="197">
        <v>42139</v>
      </c>
      <c r="B242" s="198">
        <v>42155</v>
      </c>
      <c r="C242" s="119">
        <f t="shared" si="31"/>
        <v>17</v>
      </c>
      <c r="D242" s="119">
        <f t="shared" si="33"/>
        <v>10222894.491041096</v>
      </c>
      <c r="E242" s="230">
        <v>42405</v>
      </c>
      <c r="F242" s="119">
        <f t="shared" si="30"/>
        <v>20445788.982082192</v>
      </c>
      <c r="G242" s="284">
        <f>G241+3999960000</f>
        <v>21949155819</v>
      </c>
      <c r="H242" s="285" t="s">
        <v>170</v>
      </c>
      <c r="J242" s="113">
        <f t="shared" si="29"/>
        <v>2015</v>
      </c>
      <c r="K242" s="286">
        <f t="shared" si="34"/>
        <v>3999960000</v>
      </c>
    </row>
    <row r="243" spans="1:11" s="214" customFormat="1" x14ac:dyDescent="0.15">
      <c r="A243" s="197">
        <v>42156</v>
      </c>
      <c r="B243" s="198">
        <v>42173</v>
      </c>
      <c r="C243" s="119">
        <f t="shared" si="31"/>
        <v>18</v>
      </c>
      <c r="D243" s="119">
        <f t="shared" si="33"/>
        <v>10577667.855945205</v>
      </c>
      <c r="E243" s="230">
        <v>42405</v>
      </c>
      <c r="F243" s="119">
        <f t="shared" si="30"/>
        <v>21155335.711890411</v>
      </c>
      <c r="G243" s="284">
        <f>G242-499996000</f>
        <v>21449159819</v>
      </c>
      <c r="H243" s="285" t="s">
        <v>171</v>
      </c>
      <c r="J243" s="113">
        <f t="shared" si="29"/>
        <v>2015</v>
      </c>
      <c r="K243" s="286">
        <f t="shared" si="34"/>
        <v>-499996000</v>
      </c>
    </row>
    <row r="244" spans="1:11" s="214" customFormat="1" x14ac:dyDescent="0.15">
      <c r="A244" s="197">
        <v>42174</v>
      </c>
      <c r="B244" s="198">
        <v>42185</v>
      </c>
      <c r="C244" s="119">
        <f t="shared" si="31"/>
        <v>12</v>
      </c>
      <c r="D244" s="119">
        <f t="shared" si="33"/>
        <v>7216162.132273972</v>
      </c>
      <c r="E244" s="230">
        <v>42405</v>
      </c>
      <c r="F244" s="119">
        <f t="shared" si="30"/>
        <v>14432324.264547944</v>
      </c>
      <c r="G244" s="284">
        <f>G243+500000000</f>
        <v>21949159819</v>
      </c>
      <c r="H244" s="285" t="s">
        <v>172</v>
      </c>
      <c r="J244" s="113">
        <f t="shared" si="29"/>
        <v>2015</v>
      </c>
      <c r="K244" s="286">
        <f t="shared" si="34"/>
        <v>500000000</v>
      </c>
    </row>
    <row r="245" spans="1:11" s="214" customFormat="1" x14ac:dyDescent="0.15">
      <c r="A245" s="197">
        <v>42186</v>
      </c>
      <c r="B245" s="198">
        <v>42190</v>
      </c>
      <c r="C245" s="119">
        <f t="shared" si="31"/>
        <v>5</v>
      </c>
      <c r="D245" s="119">
        <f t="shared" si="33"/>
        <v>3006734.2217808217</v>
      </c>
      <c r="E245" s="230">
        <v>42405</v>
      </c>
      <c r="F245" s="119">
        <f t="shared" si="30"/>
        <v>6013468.4435616434</v>
      </c>
      <c r="G245" s="284">
        <f>G244</f>
        <v>21949159819</v>
      </c>
      <c r="H245" s="285" t="s">
        <v>173</v>
      </c>
      <c r="J245" s="113">
        <f t="shared" si="29"/>
        <v>2015</v>
      </c>
      <c r="K245" s="286">
        <f t="shared" si="34"/>
        <v>0</v>
      </c>
    </row>
    <row r="246" spans="1:11" s="214" customFormat="1" x14ac:dyDescent="0.15">
      <c r="A246" s="197">
        <v>42191</v>
      </c>
      <c r="B246" s="198">
        <v>42246</v>
      </c>
      <c r="C246" s="119">
        <f t="shared" si="31"/>
        <v>56</v>
      </c>
      <c r="D246" s="119">
        <f t="shared" si="33"/>
        <v>32921371.777095888</v>
      </c>
      <c r="E246" s="230">
        <v>42405</v>
      </c>
      <c r="F246" s="119">
        <f t="shared" si="30"/>
        <v>65842743.554191776</v>
      </c>
      <c r="G246" s="284">
        <f>G245-491480000</f>
        <v>21457679819</v>
      </c>
      <c r="H246" s="285" t="s">
        <v>174</v>
      </c>
      <c r="J246" s="113">
        <f t="shared" si="29"/>
        <v>2015</v>
      </c>
      <c r="K246" s="286">
        <f t="shared" si="34"/>
        <v>-491480000</v>
      </c>
    </row>
    <row r="247" spans="1:11" s="214" customFormat="1" x14ac:dyDescent="0.15">
      <c r="A247" s="197">
        <v>42247</v>
      </c>
      <c r="B247" s="198">
        <v>42277</v>
      </c>
      <c r="C247" s="119">
        <f t="shared" si="31"/>
        <v>31</v>
      </c>
      <c r="D247" s="119">
        <f t="shared" si="33"/>
        <v>17098989.188739724</v>
      </c>
      <c r="E247" s="230">
        <v>42405</v>
      </c>
      <c r="F247" s="119">
        <f t="shared" si="30"/>
        <v>34197978.377479449</v>
      </c>
      <c r="G247" s="284">
        <f>G246-1324999000</f>
        <v>20132680819</v>
      </c>
      <c r="H247" s="285" t="s">
        <v>175</v>
      </c>
      <c r="J247" s="113">
        <f t="shared" si="29"/>
        <v>2015</v>
      </c>
      <c r="K247" s="286">
        <f t="shared" si="34"/>
        <v>-1324999000</v>
      </c>
    </row>
    <row r="248" spans="1:11" s="214" customFormat="1" x14ac:dyDescent="0.15">
      <c r="A248" s="197">
        <v>42278</v>
      </c>
      <c r="B248" s="198">
        <v>42296</v>
      </c>
      <c r="C248" s="119">
        <f t="shared" si="31"/>
        <v>19</v>
      </c>
      <c r="D248" s="119">
        <f t="shared" si="33"/>
        <v>7791029.0186575353</v>
      </c>
      <c r="E248" s="230">
        <v>42405</v>
      </c>
      <c r="F248" s="119">
        <f t="shared" si="30"/>
        <v>15582058.037315071</v>
      </c>
      <c r="G248" s="284">
        <f>G247-5165704020</f>
        <v>14966976799</v>
      </c>
      <c r="H248" s="285" t="s">
        <v>176</v>
      </c>
      <c r="J248" s="113">
        <f t="shared" si="29"/>
        <v>2015</v>
      </c>
      <c r="K248" s="286">
        <f t="shared" si="34"/>
        <v>-5165704020</v>
      </c>
    </row>
    <row r="249" spans="1:11" s="214" customFormat="1" x14ac:dyDescent="0.15">
      <c r="A249" s="197">
        <f>B248+1</f>
        <v>42297</v>
      </c>
      <c r="B249" s="198">
        <v>42348</v>
      </c>
      <c r="C249" s="119">
        <f t="shared" si="31"/>
        <v>52</v>
      </c>
      <c r="D249" s="119">
        <f t="shared" si="33"/>
        <v>20829172.425972603</v>
      </c>
      <c r="E249" s="230">
        <v>42405</v>
      </c>
      <c r="F249" s="119">
        <f t="shared" si="30"/>
        <v>41658344.851945207</v>
      </c>
      <c r="G249" s="284">
        <f>G248-346500000</f>
        <v>14620476799</v>
      </c>
      <c r="H249" s="285" t="s">
        <v>177</v>
      </c>
      <c r="J249" s="113">
        <f t="shared" si="29"/>
        <v>2015</v>
      </c>
      <c r="K249" s="286">
        <f>G249-G248</f>
        <v>-346500000</v>
      </c>
    </row>
    <row r="250" spans="1:11" s="214" customFormat="1" x14ac:dyDescent="0.15">
      <c r="A250" s="197">
        <f>B249+1</f>
        <v>42349</v>
      </c>
      <c r="B250" s="198">
        <v>42354</v>
      </c>
      <c r="C250" s="119">
        <f t="shared" si="31"/>
        <v>6</v>
      </c>
      <c r="D250" s="119">
        <f t="shared" si="33"/>
        <v>2334884.1861369866</v>
      </c>
      <c r="E250" s="230">
        <v>42405</v>
      </c>
      <c r="F250" s="119">
        <f t="shared" si="30"/>
        <v>4669768.3722739732</v>
      </c>
      <c r="G250" s="284">
        <f>G249-416598000</f>
        <v>14203878799</v>
      </c>
      <c r="H250" s="285" t="s">
        <v>178</v>
      </c>
      <c r="J250" s="113">
        <f t="shared" si="29"/>
        <v>2015</v>
      </c>
      <c r="K250" s="286">
        <f>G250-G249</f>
        <v>-416598000</v>
      </c>
    </row>
    <row r="251" spans="1:11" s="214" customFormat="1" x14ac:dyDescent="0.15">
      <c r="A251" s="197">
        <v>42355</v>
      </c>
      <c r="B251" s="198">
        <v>42355</v>
      </c>
      <c r="C251" s="119">
        <f t="shared" si="31"/>
        <v>1</v>
      </c>
      <c r="D251" s="119">
        <f t="shared" si="33"/>
        <v>377274.4465479452</v>
      </c>
      <c r="E251" s="230">
        <v>42405</v>
      </c>
      <c r="F251" s="119">
        <f t="shared" si="30"/>
        <v>754548.89309589041</v>
      </c>
      <c r="G251" s="284">
        <f>G250-433361500</f>
        <v>13770517299</v>
      </c>
      <c r="H251" s="285" t="s">
        <v>178</v>
      </c>
      <c r="J251" s="113">
        <f t="shared" si="29"/>
        <v>2015</v>
      </c>
      <c r="K251" s="286">
        <f>G251-G250</f>
        <v>-433361500</v>
      </c>
    </row>
    <row r="252" spans="1:11" s="214" customFormat="1" x14ac:dyDescent="0.15">
      <c r="A252" s="197">
        <v>42356</v>
      </c>
      <c r="B252" s="198">
        <v>42368</v>
      </c>
      <c r="C252" s="119">
        <f t="shared" si="31"/>
        <v>13</v>
      </c>
      <c r="D252" s="119">
        <f t="shared" si="33"/>
        <v>4840385.6361917816</v>
      </c>
      <c r="E252" s="230">
        <v>42405</v>
      </c>
      <c r="F252" s="119">
        <f t="shared" si="30"/>
        <v>9680771.2723835632</v>
      </c>
      <c r="G252" s="284">
        <f>G251-180203782</f>
        <v>13590313517</v>
      </c>
      <c r="H252" s="285" t="s">
        <v>179</v>
      </c>
      <c r="J252" s="113">
        <f t="shared" si="29"/>
        <v>2015</v>
      </c>
      <c r="K252" s="286">
        <f>G252-G251</f>
        <v>-180203782</v>
      </c>
    </row>
    <row r="253" spans="1:11" x14ac:dyDescent="0.15">
      <c r="A253" s="197">
        <v>42369</v>
      </c>
      <c r="B253" s="198">
        <v>42369</v>
      </c>
      <c r="C253" s="119">
        <f t="shared" si="31"/>
        <v>1</v>
      </c>
      <c r="D253" s="119">
        <f t="shared" si="33"/>
        <v>362844.20594520547</v>
      </c>
      <c r="E253" s="230">
        <v>42405</v>
      </c>
      <c r="F253" s="119">
        <f t="shared" si="30"/>
        <v>725688.41189041093</v>
      </c>
      <c r="G253" s="150">
        <f>G252-346500000</f>
        <v>13243813517</v>
      </c>
      <c r="H253" s="191" t="s">
        <v>177</v>
      </c>
      <c r="J253" s="113">
        <f t="shared" si="29"/>
        <v>2015</v>
      </c>
      <c r="K253" s="286">
        <f>G253-G252</f>
        <v>-346500000</v>
      </c>
    </row>
    <row r="254" spans="1:11" x14ac:dyDescent="0.15">
      <c r="A254" s="202">
        <v>42370</v>
      </c>
      <c r="B254" s="203">
        <v>42372</v>
      </c>
      <c r="C254" s="204">
        <f t="shared" si="31"/>
        <v>3</v>
      </c>
      <c r="D254" s="204">
        <f>+G254*$B$204/366*C254</f>
        <v>1085558.4849999999</v>
      </c>
      <c r="E254" s="236">
        <v>42825</v>
      </c>
      <c r="F254" s="204">
        <f t="shared" si="30"/>
        <v>2171116.9699999997</v>
      </c>
      <c r="G254" s="287">
        <f>G253</f>
        <v>13243813517</v>
      </c>
      <c r="J254" s="113">
        <f t="shared" si="29"/>
        <v>2016</v>
      </c>
      <c r="K254" s="286">
        <f t="shared" ref="K254:K270" si="35">G254-G253</f>
        <v>0</v>
      </c>
    </row>
    <row r="255" spans="1:11" x14ac:dyDescent="0.15">
      <c r="A255" s="202">
        <v>42373</v>
      </c>
      <c r="B255" s="203">
        <v>42373</v>
      </c>
      <c r="C255" s="204">
        <f t="shared" si="31"/>
        <v>1</v>
      </c>
      <c r="D255" s="204">
        <f t="shared" ref="D255:D272" si="36">+G255*$B$204/366*C255</f>
        <v>360055.72303278692</v>
      </c>
      <c r="E255" s="236">
        <v>42825</v>
      </c>
      <c r="F255" s="204">
        <f t="shared" si="30"/>
        <v>720111.44606557384</v>
      </c>
      <c r="G255" s="287">
        <f>G254-65774054</f>
        <v>13178039463</v>
      </c>
      <c r="H255" s="191" t="s">
        <v>65</v>
      </c>
      <c r="J255" s="113">
        <f t="shared" si="29"/>
        <v>2016</v>
      </c>
      <c r="K255" s="286">
        <f t="shared" si="35"/>
        <v>-65774054</v>
      </c>
    </row>
    <row r="256" spans="1:11" x14ac:dyDescent="0.15">
      <c r="A256" s="202">
        <v>42374</v>
      </c>
      <c r="B256" s="203">
        <v>42388</v>
      </c>
      <c r="C256" s="204">
        <f t="shared" si="31"/>
        <v>15</v>
      </c>
      <c r="D256" s="204">
        <f t="shared" si="36"/>
        <v>5321318.5651639355</v>
      </c>
      <c r="E256" s="236">
        <v>42825</v>
      </c>
      <c r="F256" s="204">
        <f t="shared" si="30"/>
        <v>10642637.130327871</v>
      </c>
      <c r="G256" s="287">
        <f>G255-194022164</f>
        <v>12984017299</v>
      </c>
      <c r="H256" s="191" t="s">
        <v>66</v>
      </c>
      <c r="J256" s="113">
        <f t="shared" si="29"/>
        <v>2016</v>
      </c>
      <c r="K256" s="286">
        <f t="shared" si="35"/>
        <v>-194022164</v>
      </c>
    </row>
    <row r="257" spans="1:11" x14ac:dyDescent="0.15">
      <c r="A257" s="202">
        <v>42389</v>
      </c>
      <c r="B257" s="203">
        <v>42389</v>
      </c>
      <c r="C257" s="204">
        <f t="shared" si="31"/>
        <v>1</v>
      </c>
      <c r="D257" s="204">
        <f t="shared" si="36"/>
        <v>351202.65844262298</v>
      </c>
      <c r="E257" s="236">
        <v>42825</v>
      </c>
      <c r="F257" s="204">
        <f t="shared" si="30"/>
        <v>702405.31688524596</v>
      </c>
      <c r="G257" s="287">
        <f>G256-130000000</f>
        <v>12854017299</v>
      </c>
      <c r="H257" s="191" t="s">
        <v>67</v>
      </c>
      <c r="J257" s="113">
        <f t="shared" si="29"/>
        <v>2016</v>
      </c>
      <c r="K257" s="286">
        <f t="shared" si="35"/>
        <v>-130000000</v>
      </c>
    </row>
    <row r="258" spans="1:11" x14ac:dyDescent="0.15">
      <c r="A258" s="202">
        <v>42390</v>
      </c>
      <c r="B258" s="203">
        <v>42423</v>
      </c>
      <c r="C258" s="204">
        <f t="shared" si="31"/>
        <v>34</v>
      </c>
      <c r="D258" s="204">
        <f t="shared" si="36"/>
        <v>11874469.622021858</v>
      </c>
      <c r="E258" s="236">
        <v>42825</v>
      </c>
      <c r="F258" s="204">
        <f t="shared" si="30"/>
        <v>23748939.244043715</v>
      </c>
      <c r="G258" s="287">
        <f>G257-71500000</f>
        <v>12782517299</v>
      </c>
      <c r="H258" s="191" t="s">
        <v>67</v>
      </c>
      <c r="J258" s="113">
        <f t="shared" si="29"/>
        <v>2016</v>
      </c>
      <c r="K258" s="286">
        <f t="shared" si="35"/>
        <v>-71500000</v>
      </c>
    </row>
    <row r="259" spans="1:11" x14ac:dyDescent="0.15">
      <c r="A259" s="202">
        <v>42424</v>
      </c>
      <c r="B259" s="203">
        <v>42425</v>
      </c>
      <c r="C259" s="204">
        <f t="shared" si="31"/>
        <v>2</v>
      </c>
      <c r="D259" s="204">
        <f t="shared" si="36"/>
        <v>691394.38792349736</v>
      </c>
      <c r="E259" s="236">
        <v>42825</v>
      </c>
      <c r="F259" s="204">
        <f t="shared" si="30"/>
        <v>1382788.7758469947</v>
      </c>
      <c r="G259" s="287">
        <f>G258-130000000</f>
        <v>12652517299</v>
      </c>
      <c r="H259" s="191" t="s">
        <v>67</v>
      </c>
      <c r="J259" s="113">
        <f t="shared" si="29"/>
        <v>2016</v>
      </c>
      <c r="K259" s="286">
        <f t="shared" si="35"/>
        <v>-130000000</v>
      </c>
    </row>
    <row r="260" spans="1:11" x14ac:dyDescent="0.15">
      <c r="A260" s="202">
        <v>42426</v>
      </c>
      <c r="B260" s="203">
        <v>42429</v>
      </c>
      <c r="C260" s="204">
        <f t="shared" si="31"/>
        <v>4</v>
      </c>
      <c r="D260" s="204">
        <f t="shared" si="36"/>
        <v>1374037.8279781421</v>
      </c>
      <c r="E260" s="236">
        <v>42825</v>
      </c>
      <c r="F260" s="204">
        <f t="shared" si="30"/>
        <v>2748075.6559562841</v>
      </c>
      <c r="G260" s="287">
        <f>G259-80071173</f>
        <v>12572446126</v>
      </c>
      <c r="H260" s="191" t="s">
        <v>68</v>
      </c>
      <c r="J260" s="113">
        <f t="shared" si="29"/>
        <v>2016</v>
      </c>
      <c r="K260" s="286">
        <f t="shared" si="35"/>
        <v>-80071173</v>
      </c>
    </row>
    <row r="261" spans="1:11" x14ac:dyDescent="0.15">
      <c r="A261" s="202">
        <v>42430</v>
      </c>
      <c r="B261" s="203">
        <v>42431</v>
      </c>
      <c r="C261" s="204">
        <f t="shared" si="31"/>
        <v>2</v>
      </c>
      <c r="D261" s="204">
        <f t="shared" si="36"/>
        <v>687018.91398907104</v>
      </c>
      <c r="E261" s="236">
        <v>42825</v>
      </c>
      <c r="F261" s="204">
        <f t="shared" si="30"/>
        <v>1374037.8279781421</v>
      </c>
      <c r="G261" s="287">
        <f>G260</f>
        <v>12572446126</v>
      </c>
      <c r="H261" s="191">
        <v>0</v>
      </c>
      <c r="J261" s="113">
        <f t="shared" si="29"/>
        <v>2016</v>
      </c>
      <c r="K261" s="286">
        <f t="shared" si="35"/>
        <v>0</v>
      </c>
    </row>
    <row r="262" spans="1:11" x14ac:dyDescent="0.15">
      <c r="A262" s="202">
        <v>42432</v>
      </c>
      <c r="B262" s="203">
        <v>42432</v>
      </c>
      <c r="C262" s="204">
        <f t="shared" si="31"/>
        <v>1</v>
      </c>
      <c r="D262" s="204">
        <f t="shared" si="36"/>
        <v>342372.46245901642</v>
      </c>
      <c r="E262" s="236">
        <v>42825</v>
      </c>
      <c r="F262" s="204">
        <f t="shared" si="30"/>
        <v>684744.92491803283</v>
      </c>
      <c r="G262" s="287">
        <f>G261-1000-41613000</f>
        <v>12530832126</v>
      </c>
      <c r="H262" s="191" t="s">
        <v>69</v>
      </c>
      <c r="J262" s="113">
        <f t="shared" si="29"/>
        <v>2016</v>
      </c>
      <c r="K262" s="286">
        <f t="shared" si="35"/>
        <v>-41614000</v>
      </c>
    </row>
    <row r="263" spans="1:11" x14ac:dyDescent="0.15">
      <c r="A263" s="202">
        <v>42433</v>
      </c>
      <c r="B263" s="203">
        <v>42442</v>
      </c>
      <c r="C263" s="204">
        <f t="shared" si="31"/>
        <v>10</v>
      </c>
      <c r="D263" s="204">
        <f t="shared" si="36"/>
        <v>3412180.9087431692</v>
      </c>
      <c r="E263" s="236">
        <v>42825</v>
      </c>
      <c r="F263" s="204">
        <f t="shared" si="30"/>
        <v>6824361.8174863383</v>
      </c>
      <c r="G263" s="287">
        <f>G262-42250000</f>
        <v>12488582126</v>
      </c>
      <c r="H263" s="191" t="s">
        <v>70</v>
      </c>
      <c r="J263" s="113">
        <f t="shared" si="29"/>
        <v>2016</v>
      </c>
      <c r="K263" s="286">
        <f t="shared" si="35"/>
        <v>-42250000</v>
      </c>
    </row>
    <row r="264" spans="1:11" x14ac:dyDescent="0.15">
      <c r="A264" s="202">
        <v>42443</v>
      </c>
      <c r="B264" s="203">
        <v>42443</v>
      </c>
      <c r="C264" s="204">
        <f t="shared" si="31"/>
        <v>1</v>
      </c>
      <c r="D264" s="204">
        <f t="shared" si="36"/>
        <v>341090.22202185792</v>
      </c>
      <c r="E264" s="236">
        <v>42825</v>
      </c>
      <c r="F264" s="204">
        <f t="shared" si="30"/>
        <v>682180.44404371583</v>
      </c>
      <c r="G264" s="287">
        <f>G263-4680000</f>
        <v>12483902126</v>
      </c>
      <c r="H264" s="191" t="s">
        <v>70</v>
      </c>
      <c r="J264" s="113">
        <f t="shared" si="29"/>
        <v>2016</v>
      </c>
      <c r="K264" s="286">
        <f t="shared" si="35"/>
        <v>-4680000</v>
      </c>
    </row>
    <row r="265" spans="1:11" x14ac:dyDescent="0.15">
      <c r="A265" s="202">
        <v>42444</v>
      </c>
      <c r="B265" s="203">
        <v>42452</v>
      </c>
      <c r="C265" s="204">
        <f t="shared" si="31"/>
        <v>9</v>
      </c>
      <c r="D265" s="204">
        <f t="shared" si="36"/>
        <v>3045836.5883606556</v>
      </c>
      <c r="E265" s="236">
        <v>42825</v>
      </c>
      <c r="F265" s="204">
        <f t="shared" si="30"/>
        <v>6091673.1767213112</v>
      </c>
      <c r="G265" s="287">
        <f>G264-97500000</f>
        <v>12386402126</v>
      </c>
      <c r="H265" s="191" t="s">
        <v>70</v>
      </c>
      <c r="J265" s="113">
        <f t="shared" si="29"/>
        <v>2016</v>
      </c>
      <c r="K265" s="286">
        <f t="shared" si="35"/>
        <v>-97500000</v>
      </c>
    </row>
    <row r="266" spans="1:11" x14ac:dyDescent="0.15">
      <c r="A266" s="202">
        <v>42453</v>
      </c>
      <c r="B266" s="203">
        <v>42459</v>
      </c>
      <c r="C266" s="204">
        <f t="shared" si="31"/>
        <v>7</v>
      </c>
      <c r="D266" s="204">
        <f t="shared" si="36"/>
        <v>2365254.5049726777</v>
      </c>
      <c r="E266" s="236">
        <v>42825</v>
      </c>
      <c r="F266" s="164">
        <f t="shared" si="30"/>
        <v>4730509.0099453554</v>
      </c>
      <c r="G266" s="287">
        <f>G265-19500000</f>
        <v>12366902126</v>
      </c>
      <c r="H266" s="191" t="s">
        <v>70</v>
      </c>
      <c r="J266" s="113">
        <f t="shared" si="29"/>
        <v>2016</v>
      </c>
      <c r="K266" s="286">
        <f t="shared" si="35"/>
        <v>-19500000</v>
      </c>
    </row>
    <row r="267" spans="1:11" x14ac:dyDescent="0.15">
      <c r="A267" s="202">
        <f>B266+1</f>
        <v>42460</v>
      </c>
      <c r="B267" s="203">
        <v>42467</v>
      </c>
      <c r="C267" s="204">
        <f t="shared" si="31"/>
        <v>8</v>
      </c>
      <c r="D267" s="204">
        <f t="shared" si="36"/>
        <v>2627410.3007650273</v>
      </c>
      <c r="E267" s="236">
        <v>42825</v>
      </c>
      <c r="F267" s="288">
        <f>D267*2</f>
        <v>5254820.6015300546</v>
      </c>
      <c r="G267" s="287">
        <f>G266-346500000</f>
        <v>12020402126</v>
      </c>
      <c r="H267" s="191" t="s">
        <v>71</v>
      </c>
      <c r="J267" s="113">
        <f t="shared" si="29"/>
        <v>2016</v>
      </c>
      <c r="K267" s="286">
        <f t="shared" si="35"/>
        <v>-346500000</v>
      </c>
    </row>
    <row r="268" spans="1:11" x14ac:dyDescent="0.15">
      <c r="A268" s="202">
        <v>42468</v>
      </c>
      <c r="B268" s="203">
        <v>42470</v>
      </c>
      <c r="C268" s="204">
        <f t="shared" si="31"/>
        <v>3</v>
      </c>
      <c r="D268" s="204">
        <f t="shared" si="36"/>
        <v>978782.05950819678</v>
      </c>
      <c r="E268" s="236">
        <v>42825</v>
      </c>
      <c r="F268" s="220">
        <f t="shared" si="30"/>
        <v>1957564.1190163936</v>
      </c>
      <c r="G268" s="287">
        <f>G267-79261000</f>
        <v>11941141126</v>
      </c>
      <c r="H268" s="191" t="s">
        <v>70</v>
      </c>
      <c r="J268" s="113">
        <f t="shared" si="29"/>
        <v>2016</v>
      </c>
      <c r="K268" s="286">
        <f t="shared" si="35"/>
        <v>-79261000</v>
      </c>
    </row>
    <row r="269" spans="1:11" x14ac:dyDescent="0.15">
      <c r="A269" s="202">
        <v>42471</v>
      </c>
      <c r="B269" s="203">
        <v>42477</v>
      </c>
      <c r="C269" s="204">
        <f t="shared" si="31"/>
        <v>7</v>
      </c>
      <c r="D269" s="204">
        <f t="shared" si="36"/>
        <v>2279600.5159016396</v>
      </c>
      <c r="E269" s="236">
        <v>42825</v>
      </c>
      <c r="F269" s="220">
        <f t="shared" si="30"/>
        <v>4559201.0318032792</v>
      </c>
      <c r="G269" s="287">
        <f>G268-22087000</f>
        <v>11919054126</v>
      </c>
      <c r="H269" s="191" t="s">
        <v>70</v>
      </c>
      <c r="J269" s="113">
        <f t="shared" si="29"/>
        <v>2016</v>
      </c>
      <c r="K269" s="286">
        <f t="shared" si="35"/>
        <v>-22087000</v>
      </c>
    </row>
    <row r="270" spans="1:11" x14ac:dyDescent="0.15">
      <c r="A270" s="202">
        <v>42478</v>
      </c>
      <c r="B270" s="203">
        <v>42544</v>
      </c>
      <c r="C270" s="204">
        <f t="shared" si="31"/>
        <v>67</v>
      </c>
      <c r="D270" s="204">
        <f t="shared" si="36"/>
        <v>21797710.667814206</v>
      </c>
      <c r="E270" s="236">
        <v>42825</v>
      </c>
      <c r="F270" s="220">
        <f t="shared" si="30"/>
        <v>43595421.335628413</v>
      </c>
      <c r="G270" s="287">
        <f>G269-11648000</f>
        <v>11907406126</v>
      </c>
      <c r="H270" s="191" t="s">
        <v>70</v>
      </c>
      <c r="J270" s="113">
        <f t="shared" si="29"/>
        <v>2016</v>
      </c>
      <c r="K270" s="286">
        <f t="shared" si="35"/>
        <v>-11648000</v>
      </c>
    </row>
    <row r="271" spans="1:11" x14ac:dyDescent="0.15">
      <c r="A271" s="202">
        <v>42545</v>
      </c>
      <c r="B271" s="203">
        <v>42550</v>
      </c>
      <c r="C271" s="204">
        <f t="shared" si="31"/>
        <v>6</v>
      </c>
      <c r="D271" s="204">
        <f t="shared" si="36"/>
        <v>1694095.1970491805</v>
      </c>
      <c r="E271" s="236">
        <v>42825</v>
      </c>
      <c r="F271" s="220">
        <f t="shared" si="30"/>
        <v>3388190.394098361</v>
      </c>
      <c r="G271" s="287">
        <f>G270-1573425424</f>
        <v>10333980702</v>
      </c>
      <c r="H271" s="191" t="s">
        <v>72</v>
      </c>
      <c r="J271" s="113">
        <f t="shared" si="29"/>
        <v>2016</v>
      </c>
      <c r="K271" s="286">
        <f>G271-G270</f>
        <v>-1573425424</v>
      </c>
    </row>
    <row r="272" spans="1:11" x14ac:dyDescent="0.15">
      <c r="A272" s="202">
        <v>42551</v>
      </c>
      <c r="B272" s="203">
        <v>42551</v>
      </c>
      <c r="C272" s="204">
        <f t="shared" si="31"/>
        <v>1</v>
      </c>
      <c r="D272" s="204">
        <f t="shared" si="36"/>
        <v>272881.98639344261</v>
      </c>
      <c r="E272" s="236">
        <v>42825</v>
      </c>
      <c r="F272" s="220">
        <f t="shared" si="30"/>
        <v>545763.97278688522</v>
      </c>
      <c r="G272" s="287">
        <f>G271-346500000</f>
        <v>9987480702</v>
      </c>
      <c r="H272" s="191" t="s">
        <v>71</v>
      </c>
      <c r="J272" s="113">
        <f>YEAR(A272)</f>
        <v>2016</v>
      </c>
      <c r="K272" s="286">
        <f>G272-G271</f>
        <v>-346500000</v>
      </c>
    </row>
    <row r="273" spans="1:11" x14ac:dyDescent="0.15">
      <c r="A273" s="197"/>
      <c r="B273" s="198"/>
      <c r="C273" s="119"/>
      <c r="D273" s="119"/>
      <c r="E273" s="230"/>
      <c r="F273" s="119"/>
      <c r="G273" s="287"/>
      <c r="H273" s="191"/>
      <c r="J273" s="113">
        <f>YEAR(A273)</f>
        <v>1900</v>
      </c>
      <c r="K273" s="286"/>
    </row>
    <row r="274" spans="1:11" x14ac:dyDescent="0.15">
      <c r="A274" s="197"/>
      <c r="B274" s="198"/>
      <c r="C274" s="119"/>
      <c r="D274" s="119"/>
      <c r="E274" s="230"/>
      <c r="F274" s="119"/>
      <c r="G274" s="287"/>
      <c r="H274" s="191"/>
      <c r="J274" s="113">
        <f>YEAR(A274)</f>
        <v>1900</v>
      </c>
      <c r="K274" s="286">
        <f>G274-G273</f>
        <v>0</v>
      </c>
    </row>
    <row r="275" spans="1:11" x14ac:dyDescent="0.15">
      <c r="A275" s="197"/>
      <c r="B275" s="198"/>
      <c r="C275" s="119"/>
      <c r="D275" s="119"/>
      <c r="E275" s="230"/>
      <c r="F275" s="119"/>
      <c r="G275" s="287"/>
      <c r="H275" s="191"/>
      <c r="J275" s="113">
        <f>YEAR(A275)</f>
        <v>1900</v>
      </c>
      <c r="K275" s="286">
        <f>G275-G274</f>
        <v>0</v>
      </c>
    </row>
    <row r="276" spans="1:11" x14ac:dyDescent="0.15">
      <c r="A276" s="162"/>
      <c r="B276" s="163"/>
      <c r="C276" s="164">
        <f>SUM(C254:C275)</f>
        <v>182</v>
      </c>
      <c r="D276" s="164">
        <f>ROUNDDOWN(SUM(D254:D275),0)</f>
        <v>60902271</v>
      </c>
      <c r="E276" s="115"/>
      <c r="F276" s="289">
        <f>D276*2</f>
        <v>121804542</v>
      </c>
    </row>
    <row r="277" spans="1:11" x14ac:dyDescent="0.15">
      <c r="A277" s="162"/>
      <c r="B277" s="198"/>
      <c r="C277" s="119"/>
      <c r="D277" s="119"/>
      <c r="E277" s="290"/>
      <c r="F277" s="120"/>
      <c r="G277" s="114">
        <f>SUM(D207:D275)</f>
        <v>1429625123.0919516</v>
      </c>
    </row>
    <row r="278" spans="1:11" x14ac:dyDescent="0.15">
      <c r="A278" s="162"/>
      <c r="B278" s="198"/>
      <c r="C278" s="119"/>
      <c r="D278" s="119"/>
      <c r="E278" s="290"/>
      <c r="F278" s="120"/>
    </row>
    <row r="279" spans="1:11" ht="12.75" thickBot="1" x14ac:dyDescent="0.2">
      <c r="A279" s="165"/>
      <c r="B279" s="291"/>
      <c r="C279" s="292"/>
      <c r="D279" s="292"/>
      <c r="E279" s="293"/>
      <c r="F279" s="169"/>
    </row>
    <row r="280" spans="1:11" ht="12.75" thickTop="1" x14ac:dyDescent="0.15"/>
    <row r="282" spans="1:11" x14ac:dyDescent="0.15">
      <c r="A282" s="294" t="s">
        <v>180</v>
      </c>
      <c r="B282" s="115"/>
      <c r="C282" s="115"/>
      <c r="D282" s="119"/>
      <c r="E282" s="115"/>
      <c r="F282" s="120"/>
    </row>
    <row r="283" spans="1:11" x14ac:dyDescent="0.15">
      <c r="A283" s="121"/>
      <c r="B283" s="115"/>
      <c r="C283" s="115"/>
      <c r="D283" s="119"/>
      <c r="E283" s="115"/>
      <c r="F283" s="120"/>
    </row>
    <row r="284" spans="1:11" x14ac:dyDescent="0.15">
      <c r="A284" s="122" t="s">
        <v>181</v>
      </c>
      <c r="B284" s="123" t="s">
        <v>92</v>
      </c>
      <c r="C284" s="123" t="s">
        <v>94</v>
      </c>
      <c r="D284" s="224"/>
      <c r="E284" s="224"/>
      <c r="F284" s="224"/>
    </row>
    <row r="285" spans="1:11" x14ac:dyDescent="0.15">
      <c r="A285" s="208">
        <v>50000000000</v>
      </c>
      <c r="B285" s="126">
        <v>0.02</v>
      </c>
      <c r="C285" s="171">
        <f>+B285*A285</f>
        <v>1000000000</v>
      </c>
      <c r="D285" s="226"/>
      <c r="E285" s="295"/>
      <c r="F285" s="295"/>
      <c r="G285" s="114" t="s">
        <v>182</v>
      </c>
      <c r="H285" s="115" t="s">
        <v>183</v>
      </c>
      <c r="I285" s="113" t="s">
        <v>184</v>
      </c>
    </row>
    <row r="286" spans="1:11" x14ac:dyDescent="0.15">
      <c r="A286" s="296" t="s">
        <v>185</v>
      </c>
      <c r="B286" s="297" t="s">
        <v>186</v>
      </c>
      <c r="C286" s="298" t="s">
        <v>94</v>
      </c>
      <c r="D286" s="298" t="s">
        <v>184</v>
      </c>
      <c r="E286" s="115"/>
      <c r="F286" s="120"/>
    </row>
    <row r="287" spans="1:11" x14ac:dyDescent="0.15">
      <c r="A287" s="119">
        <v>27080365190</v>
      </c>
      <c r="B287" s="174">
        <v>41455</v>
      </c>
      <c r="C287" s="119"/>
      <c r="D287" s="299">
        <f t="shared" ref="D287:D299" si="37">A287*$B$285/4</f>
        <v>135401825.94999999</v>
      </c>
      <c r="E287" s="115"/>
      <c r="F287" s="289"/>
    </row>
    <row r="288" spans="1:11" x14ac:dyDescent="0.15">
      <c r="A288" s="130">
        <v>32076819774</v>
      </c>
      <c r="B288" s="174">
        <v>41547</v>
      </c>
      <c r="C288" s="119"/>
      <c r="D288" s="299">
        <f t="shared" si="37"/>
        <v>160384098.87</v>
      </c>
      <c r="E288" s="115"/>
      <c r="F288" s="289"/>
    </row>
    <row r="289" spans="1:6" x14ac:dyDescent="0.15">
      <c r="A289" s="130">
        <v>32076819774</v>
      </c>
      <c r="B289" s="174">
        <v>41639</v>
      </c>
      <c r="C289" s="119"/>
      <c r="D289" s="299">
        <f t="shared" si="37"/>
        <v>160384098.87</v>
      </c>
      <c r="E289" s="115"/>
      <c r="F289" s="289"/>
    </row>
    <row r="290" spans="1:6" x14ac:dyDescent="0.15">
      <c r="A290" s="173">
        <f>41493121186-1118051010+137315150</f>
        <v>40512385326</v>
      </c>
      <c r="B290" s="174">
        <v>41729</v>
      </c>
      <c r="C290" s="119"/>
      <c r="D290" s="299">
        <f t="shared" si="37"/>
        <v>202561926.63</v>
      </c>
      <c r="E290" s="115"/>
      <c r="F290" s="289"/>
    </row>
    <row r="291" spans="1:6" x14ac:dyDescent="0.15">
      <c r="A291" s="173">
        <f>43352902104-931839125-133870245</f>
        <v>42287192734</v>
      </c>
      <c r="B291" s="174">
        <v>41820</v>
      </c>
      <c r="C291" s="119"/>
      <c r="D291" s="299">
        <f t="shared" si="37"/>
        <v>211435963.67000002</v>
      </c>
      <c r="E291" s="115"/>
      <c r="F291" s="289"/>
    </row>
    <row r="292" spans="1:6" x14ac:dyDescent="0.15">
      <c r="A292" s="173">
        <v>42287192734</v>
      </c>
      <c r="B292" s="174">
        <v>41912</v>
      </c>
      <c r="C292" s="119"/>
      <c r="D292" s="299">
        <f t="shared" si="37"/>
        <v>211435963.67000002</v>
      </c>
      <c r="E292" s="115"/>
      <c r="F292" s="289"/>
    </row>
    <row r="293" spans="1:6" x14ac:dyDescent="0.15">
      <c r="A293" s="173">
        <f>+A292-2635000000</f>
        <v>39652192734</v>
      </c>
      <c r="B293" s="174">
        <v>42004</v>
      </c>
      <c r="C293" s="119" t="s">
        <v>187</v>
      </c>
      <c r="D293" s="299">
        <f t="shared" si="37"/>
        <v>198260963.67000002</v>
      </c>
      <c r="E293" s="115"/>
      <c r="F293" s="289"/>
    </row>
    <row r="294" spans="1:6" x14ac:dyDescent="0.15">
      <c r="A294" s="173">
        <v>37530607734</v>
      </c>
      <c r="B294" s="174">
        <v>42094</v>
      </c>
      <c r="C294" s="119" t="s">
        <v>188</v>
      </c>
      <c r="D294" s="299">
        <f t="shared" si="37"/>
        <v>187653038.67000002</v>
      </c>
      <c r="E294" s="115"/>
      <c r="F294" s="289"/>
    </row>
    <row r="295" spans="1:6" x14ac:dyDescent="0.15">
      <c r="A295" s="173">
        <v>33809114344</v>
      </c>
      <c r="B295" s="174">
        <v>42185</v>
      </c>
      <c r="C295" s="119" t="s">
        <v>189</v>
      </c>
      <c r="D295" s="299">
        <f t="shared" si="37"/>
        <v>169045571.72</v>
      </c>
      <c r="E295" s="115"/>
      <c r="F295" s="289"/>
    </row>
    <row r="296" spans="1:6" x14ac:dyDescent="0.15">
      <c r="A296" s="173">
        <v>33806437752</v>
      </c>
      <c r="B296" s="174">
        <v>42277</v>
      </c>
      <c r="C296" s="119" t="s">
        <v>190</v>
      </c>
      <c r="D296" s="299">
        <f t="shared" si="37"/>
        <v>169032188.75999999</v>
      </c>
      <c r="E296" s="115"/>
      <c r="F296" s="289"/>
    </row>
    <row r="297" spans="1:6" x14ac:dyDescent="0.15">
      <c r="A297" s="173">
        <f>27298310039-2544864440-577500000</f>
        <v>24175945599</v>
      </c>
      <c r="B297" s="174">
        <v>42369</v>
      </c>
      <c r="C297" s="119" t="s">
        <v>191</v>
      </c>
      <c r="D297" s="299">
        <f t="shared" si="37"/>
        <v>120879727.995</v>
      </c>
      <c r="E297" s="115"/>
      <c r="F297" s="289"/>
    </row>
    <row r="298" spans="1:6" x14ac:dyDescent="0.15">
      <c r="A298" s="173">
        <f>A297-1000000000-206249355-577500000-744527641-1499999000</f>
        <v>20147669603</v>
      </c>
      <c r="B298" s="174">
        <v>42460</v>
      </c>
      <c r="C298" s="119" t="s">
        <v>192</v>
      </c>
      <c r="D298" s="299">
        <f t="shared" si="37"/>
        <v>100738348.015</v>
      </c>
      <c r="E298" s="115"/>
      <c r="F298" s="289"/>
    </row>
    <row r="299" spans="1:6" x14ac:dyDescent="0.15">
      <c r="A299" s="173">
        <f>A298-2512574000-577500000-243418500-2400000000-1397652745-2597703839</f>
        <v>10418820519</v>
      </c>
      <c r="B299" s="174">
        <v>42551</v>
      </c>
      <c r="C299" s="119" t="s">
        <v>193</v>
      </c>
      <c r="D299" s="299">
        <f t="shared" si="37"/>
        <v>52094102.594999999</v>
      </c>
      <c r="E299" s="115"/>
      <c r="F299" s="289"/>
    </row>
    <row r="300" spans="1:6" x14ac:dyDescent="0.15">
      <c r="A300" s="173">
        <f>A299-347130000-2000000000-1000000000-1000-577500000</f>
        <v>6494189519</v>
      </c>
      <c r="B300" s="174">
        <v>42643</v>
      </c>
      <c r="C300" s="119" t="s">
        <v>194</v>
      </c>
      <c r="D300" s="299">
        <f>A300*$B$285/4</f>
        <v>32470947.595000003</v>
      </c>
      <c r="E300" s="115"/>
      <c r="F300" s="289"/>
    </row>
    <row r="301" spans="1:6" x14ac:dyDescent="0.15">
      <c r="A301" s="300">
        <f>(2000000000+2146742519+600000000)*55/92</f>
        <v>2837726505.923913</v>
      </c>
      <c r="B301" s="301">
        <v>42698</v>
      </c>
      <c r="C301" s="204" t="s">
        <v>195</v>
      </c>
      <c r="D301" s="302">
        <f>A301*$B$285/4/92*55</f>
        <v>8482334.6644464787</v>
      </c>
      <c r="E301" s="115"/>
      <c r="F301" s="289"/>
    </row>
    <row r="302" spans="1:6" x14ac:dyDescent="0.15">
      <c r="A302" s="300"/>
      <c r="B302" s="301"/>
      <c r="C302" s="204"/>
      <c r="D302" s="204"/>
      <c r="E302" s="115"/>
      <c r="F302" s="303"/>
    </row>
    <row r="303" spans="1:6" x14ac:dyDescent="0.15">
      <c r="A303" s="173"/>
      <c r="B303" s="174"/>
      <c r="C303" s="119"/>
      <c r="D303" s="119"/>
      <c r="E303" s="115"/>
      <c r="F303" s="303"/>
    </row>
    <row r="304" spans="1:6" x14ac:dyDescent="0.15">
      <c r="A304" s="173"/>
      <c r="B304" s="174"/>
      <c r="C304" s="119"/>
      <c r="D304" s="119"/>
      <c r="E304" s="115"/>
      <c r="F304" s="303"/>
    </row>
    <row r="305" spans="1:9" x14ac:dyDescent="0.15">
      <c r="A305" s="135" t="s">
        <v>89</v>
      </c>
      <c r="B305" s="136" t="s">
        <v>90</v>
      </c>
      <c r="C305" s="135" t="s">
        <v>91</v>
      </c>
      <c r="D305" s="135" t="s">
        <v>92</v>
      </c>
      <c r="E305" s="137" t="s">
        <v>196</v>
      </c>
      <c r="F305" s="137" t="s">
        <v>94</v>
      </c>
    </row>
    <row r="306" spans="1:9" x14ac:dyDescent="0.15">
      <c r="A306" s="176">
        <v>40872</v>
      </c>
      <c r="B306" s="163">
        <v>40908</v>
      </c>
      <c r="C306" s="130">
        <f>+B306-A306+1</f>
        <v>37</v>
      </c>
      <c r="D306" s="119">
        <f>+$A$285*$B$285/365*C306</f>
        <v>101369863.01369862</v>
      </c>
      <c r="E306" s="174">
        <v>40908</v>
      </c>
      <c r="F306" s="120" t="s">
        <v>95</v>
      </c>
    </row>
    <row r="307" spans="1:9" x14ac:dyDescent="0.15">
      <c r="A307" s="162">
        <v>40909</v>
      </c>
      <c r="B307" s="163">
        <v>40999</v>
      </c>
      <c r="C307" s="130">
        <f t="shared" ref="C307:C314" si="38">+B307-B306</f>
        <v>91</v>
      </c>
      <c r="D307" s="119">
        <f>+$C$285/4</f>
        <v>250000000</v>
      </c>
      <c r="E307" s="174">
        <v>41002</v>
      </c>
      <c r="F307" s="120"/>
    </row>
    <row r="308" spans="1:9" x14ac:dyDescent="0.15">
      <c r="A308" s="162">
        <v>41000</v>
      </c>
      <c r="B308" s="163">
        <v>41090</v>
      </c>
      <c r="C308" s="130">
        <f t="shared" si="38"/>
        <v>91</v>
      </c>
      <c r="D308" s="119">
        <f>+$C$285/4</f>
        <v>250000000</v>
      </c>
      <c r="E308" s="174">
        <v>41090</v>
      </c>
      <c r="F308" s="120"/>
    </row>
    <row r="309" spans="1:9" x14ac:dyDescent="0.15">
      <c r="A309" s="162">
        <v>41091</v>
      </c>
      <c r="B309" s="163">
        <v>41182</v>
      </c>
      <c r="C309" s="130">
        <f t="shared" si="38"/>
        <v>92</v>
      </c>
      <c r="D309" s="119">
        <f>+$C$285/4</f>
        <v>250000000</v>
      </c>
      <c r="E309" s="174">
        <v>41186</v>
      </c>
      <c r="F309" s="120"/>
    </row>
    <row r="310" spans="1:9" x14ac:dyDescent="0.15">
      <c r="A310" s="162">
        <v>41183</v>
      </c>
      <c r="B310" s="163">
        <v>41274</v>
      </c>
      <c r="C310" s="130">
        <f t="shared" si="38"/>
        <v>92</v>
      </c>
      <c r="D310" s="119">
        <f>+$C$285/4</f>
        <v>250000000</v>
      </c>
      <c r="E310" s="174">
        <v>41274</v>
      </c>
      <c r="F310" s="120"/>
    </row>
    <row r="311" spans="1:9" x14ac:dyDescent="0.15">
      <c r="A311" s="162">
        <v>41275</v>
      </c>
      <c r="B311" s="163">
        <v>41364</v>
      </c>
      <c r="C311" s="130">
        <f t="shared" si="38"/>
        <v>90</v>
      </c>
      <c r="D311" s="119">
        <f>+$C$285/4</f>
        <v>250000000</v>
      </c>
      <c r="E311" s="174">
        <v>41365</v>
      </c>
      <c r="F311" s="120"/>
      <c r="G311" s="304"/>
      <c r="H311" s="119"/>
      <c r="I311" s="114"/>
    </row>
    <row r="312" spans="1:9" ht="11.25" customHeight="1" x14ac:dyDescent="0.15">
      <c r="A312" s="197">
        <v>41365</v>
      </c>
      <c r="B312" s="198">
        <v>41418</v>
      </c>
      <c r="C312" s="119">
        <f t="shared" si="38"/>
        <v>54</v>
      </c>
      <c r="D312" s="119">
        <f>ROUNDDOWN(+$A$285*$B$285/365*C312,0)</f>
        <v>147945205</v>
      </c>
      <c r="E312" s="178">
        <v>41456</v>
      </c>
      <c r="F312" s="305" t="s">
        <v>197</v>
      </c>
      <c r="G312" s="304">
        <f>+D285/91*C313</f>
        <v>0</v>
      </c>
      <c r="H312" s="119">
        <f>+G312/4</f>
        <v>0</v>
      </c>
      <c r="I312" s="114">
        <f>+H312*B285</f>
        <v>0</v>
      </c>
    </row>
    <row r="313" spans="1:9" ht="11.25" customHeight="1" x14ac:dyDescent="0.15">
      <c r="A313" s="197">
        <v>41419</v>
      </c>
      <c r="B313" s="198">
        <v>41455</v>
      </c>
      <c r="C313" s="119">
        <f t="shared" si="38"/>
        <v>37</v>
      </c>
      <c r="D313" s="119">
        <f>ROUNDDOWN($A$287*C313/91/4*$B$285,0)</f>
        <v>55053489</v>
      </c>
      <c r="E313" s="230">
        <v>41729</v>
      </c>
      <c r="F313" s="305" t="s">
        <v>198</v>
      </c>
      <c r="G313" s="304"/>
      <c r="H313" s="119">
        <f>+E285/4</f>
        <v>0</v>
      </c>
      <c r="I313" s="114">
        <f>+H313*B285</f>
        <v>0</v>
      </c>
    </row>
    <row r="314" spans="1:9" ht="11.25" customHeight="1" x14ac:dyDescent="0.15">
      <c r="A314" s="197">
        <v>41456</v>
      </c>
      <c r="B314" s="198">
        <v>41547</v>
      </c>
      <c r="C314" s="119">
        <f t="shared" si="38"/>
        <v>92</v>
      </c>
      <c r="D314" s="119">
        <f>ROUNDDOWN(A288/4*B285,0)</f>
        <v>160384098</v>
      </c>
      <c r="E314" s="230">
        <v>41729</v>
      </c>
      <c r="F314" s="305" t="s">
        <v>198</v>
      </c>
      <c r="G314" s="304"/>
      <c r="H314" s="119">
        <f>+F285/4</f>
        <v>0</v>
      </c>
      <c r="I314" s="114">
        <f>+H314*B285</f>
        <v>0</v>
      </c>
    </row>
    <row r="315" spans="1:9" ht="11.25" customHeight="1" x14ac:dyDescent="0.15">
      <c r="A315" s="197">
        <v>41548</v>
      </c>
      <c r="B315" s="198">
        <v>41639</v>
      </c>
      <c r="C315" s="119">
        <f>+B315-B314</f>
        <v>92</v>
      </c>
      <c r="D315" s="119">
        <f>ROUNDDOWN(A289/4*B285,0)</f>
        <v>160384098</v>
      </c>
      <c r="E315" s="230">
        <v>41729</v>
      </c>
      <c r="F315" s="305" t="s">
        <v>198</v>
      </c>
      <c r="H315" s="130"/>
      <c r="I315" s="114"/>
    </row>
    <row r="316" spans="1:9" ht="11.25" customHeight="1" x14ac:dyDescent="0.15">
      <c r="A316" s="189">
        <v>41640</v>
      </c>
      <c r="B316" s="190">
        <v>42004</v>
      </c>
      <c r="C316" s="191">
        <f>+B316-B315</f>
        <v>365</v>
      </c>
      <c r="D316" s="306">
        <f>SUM(A290:A293)/4*B285</f>
        <v>823694817.63999999</v>
      </c>
      <c r="E316" s="231">
        <v>42094</v>
      </c>
      <c r="F316" s="305" t="s">
        <v>198</v>
      </c>
      <c r="H316" s="130"/>
      <c r="I316" s="114"/>
    </row>
    <row r="317" spans="1:9" s="152" customFormat="1" x14ac:dyDescent="0.15">
      <c r="A317" s="307">
        <v>42005</v>
      </c>
      <c r="B317" s="308">
        <v>42369</v>
      </c>
      <c r="C317" s="309">
        <f>+B317-B316</f>
        <v>365</v>
      </c>
      <c r="D317" s="310">
        <f>INT(+SUM(A294:A297)/4*B285)</f>
        <v>646610527</v>
      </c>
      <c r="E317" s="311">
        <v>42405</v>
      </c>
      <c r="F317" s="312" t="s">
        <v>198</v>
      </c>
      <c r="G317" s="150">
        <f>SUM(D306:D317)</f>
        <v>3345442097.6536984</v>
      </c>
      <c r="H317" s="151"/>
      <c r="I317" s="150"/>
    </row>
    <row r="318" spans="1:9" s="215" customFormat="1" x14ac:dyDescent="0.15">
      <c r="A318" s="202">
        <v>42370</v>
      </c>
      <c r="B318" s="203">
        <v>42698</v>
      </c>
      <c r="C318" s="204">
        <f>+B318-B317</f>
        <v>329</v>
      </c>
      <c r="D318" s="313">
        <f>SUM(D298:D301)</f>
        <v>193785732.86944649</v>
      </c>
      <c r="E318" s="236">
        <v>42698</v>
      </c>
      <c r="F318" s="314"/>
      <c r="G318" s="287">
        <f>305664901-D318</f>
        <v>111879168.13055351</v>
      </c>
      <c r="H318" s="315"/>
      <c r="I318" s="287"/>
    </row>
    <row r="319" spans="1:9" x14ac:dyDescent="0.15">
      <c r="A319" s="162"/>
      <c r="B319" s="163"/>
      <c r="C319" s="164">
        <f>SUM(C318)</f>
        <v>329</v>
      </c>
      <c r="D319" s="164">
        <f>D318</f>
        <v>193785732.86944649</v>
      </c>
      <c r="E319" s="115"/>
      <c r="F319" s="120"/>
      <c r="H319" s="130"/>
      <c r="I319" s="114"/>
    </row>
    <row r="320" spans="1:9" ht="12.75" thickBot="1" x14ac:dyDescent="0.2">
      <c r="A320" s="165"/>
      <c r="B320" s="166"/>
      <c r="C320" s="167"/>
      <c r="D320" s="167"/>
      <c r="E320" s="168"/>
      <c r="F320" s="169"/>
      <c r="H320" s="130"/>
      <c r="I320" s="114"/>
    </row>
    <row r="321" spans="1:9" ht="12.75" thickTop="1" x14ac:dyDescent="0.15">
      <c r="H321" s="130"/>
      <c r="I321" s="114"/>
    </row>
    <row r="323" spans="1:9" x14ac:dyDescent="0.15">
      <c r="A323" s="316"/>
    </row>
    <row r="324" spans="1:9" x14ac:dyDescent="0.15">
      <c r="A324" s="294" t="s">
        <v>199</v>
      </c>
      <c r="B324" s="115"/>
      <c r="C324" s="115"/>
      <c r="D324" s="119"/>
      <c r="E324" s="115"/>
      <c r="F324" s="120"/>
    </row>
    <row r="325" spans="1:9" x14ac:dyDescent="0.15">
      <c r="A325" s="317" t="s">
        <v>200</v>
      </c>
      <c r="B325" s="318">
        <v>42623</v>
      </c>
      <c r="C325" s="115"/>
      <c r="D325" s="119"/>
      <c r="E325" s="115"/>
      <c r="F325" s="120"/>
    </row>
    <row r="326" spans="1:9" x14ac:dyDescent="0.15">
      <c r="A326" s="122" t="s">
        <v>181</v>
      </c>
      <c r="B326" s="123" t="s">
        <v>92</v>
      </c>
      <c r="C326" s="123" t="s">
        <v>94</v>
      </c>
      <c r="D326" s="122" t="s">
        <v>201</v>
      </c>
      <c r="E326" s="123" t="s">
        <v>92</v>
      </c>
      <c r="F326" s="123" t="s">
        <v>94</v>
      </c>
    </row>
    <row r="327" spans="1:9" x14ac:dyDescent="0.15">
      <c r="A327" s="208">
        <v>51000000000</v>
      </c>
      <c r="B327" s="126">
        <v>0.02</v>
      </c>
      <c r="C327" s="171">
        <f>+B327*A327</f>
        <v>1020000000</v>
      </c>
      <c r="D327" s="208">
        <v>53000000000</v>
      </c>
      <c r="E327" s="126">
        <v>0.02</v>
      </c>
      <c r="F327" s="171">
        <f>+E327*D327</f>
        <v>1060000000</v>
      </c>
    </row>
    <row r="328" spans="1:9" s="186" customFormat="1" x14ac:dyDescent="0.15">
      <c r="A328" s="128" t="s">
        <v>185</v>
      </c>
      <c r="B328" s="129" t="s">
        <v>186</v>
      </c>
      <c r="C328" s="128" t="s">
        <v>94</v>
      </c>
      <c r="D328" s="181"/>
      <c r="E328" s="319"/>
      <c r="F328" s="181"/>
      <c r="G328" s="183"/>
      <c r="H328" s="184"/>
    </row>
    <row r="329" spans="1:9" s="186" customFormat="1" x14ac:dyDescent="0.15">
      <c r="A329" s="320"/>
      <c r="B329" s="321"/>
      <c r="C329" s="320"/>
      <c r="D329" s="181"/>
      <c r="E329" s="319"/>
      <c r="F329" s="181"/>
      <c r="G329" s="183"/>
      <c r="H329" s="184"/>
    </row>
    <row r="330" spans="1:9" s="186" customFormat="1" x14ac:dyDescent="0.15">
      <c r="A330" s="320"/>
      <c r="B330" s="321"/>
      <c r="C330" s="320"/>
      <c r="D330" s="181"/>
      <c r="E330" s="319"/>
      <c r="F330" s="181"/>
      <c r="G330" s="183"/>
      <c r="H330" s="184"/>
    </row>
    <row r="331" spans="1:9" s="186" customFormat="1" x14ac:dyDescent="0.15">
      <c r="A331" s="181"/>
      <c r="B331" s="322"/>
      <c r="C331" s="181"/>
      <c r="D331" s="181"/>
      <c r="E331" s="319"/>
      <c r="F331" s="181"/>
      <c r="G331" s="183"/>
      <c r="H331" s="184"/>
    </row>
    <row r="332" spans="1:9" s="186" customFormat="1" x14ac:dyDescent="0.15">
      <c r="A332" s="181"/>
      <c r="B332" s="322"/>
      <c r="C332" s="181"/>
      <c r="D332" s="181"/>
      <c r="E332" s="319"/>
      <c r="F332" s="181"/>
      <c r="G332" s="183"/>
      <c r="H332" s="184"/>
    </row>
    <row r="333" spans="1:9" x14ac:dyDescent="0.15">
      <c r="A333" s="135" t="s">
        <v>89</v>
      </c>
      <c r="B333" s="136" t="s">
        <v>90</v>
      </c>
      <c r="C333" s="135" t="s">
        <v>91</v>
      </c>
      <c r="D333" s="135" t="s">
        <v>92</v>
      </c>
      <c r="E333" s="137" t="s">
        <v>196</v>
      </c>
      <c r="F333" s="137" t="s">
        <v>94</v>
      </c>
    </row>
    <row r="334" spans="1:9" x14ac:dyDescent="0.15">
      <c r="A334" s="162">
        <v>41528</v>
      </c>
      <c r="B334" s="163">
        <v>41547</v>
      </c>
      <c r="C334" s="130">
        <f>B334-A334+1</f>
        <v>20</v>
      </c>
      <c r="D334" s="119">
        <f>ROUNDDOWN($A$327*$B$327*C334/365,0)</f>
        <v>55890410</v>
      </c>
      <c r="E334" s="174">
        <v>41547</v>
      </c>
      <c r="F334" s="120"/>
      <c r="H334" s="143">
        <f>D334</f>
        <v>55890410</v>
      </c>
    </row>
    <row r="335" spans="1:9" ht="11.25" customHeight="1" x14ac:dyDescent="0.15">
      <c r="A335" s="162">
        <v>41548</v>
      </c>
      <c r="B335" s="163">
        <v>41577</v>
      </c>
      <c r="C335" s="130">
        <f t="shared" ref="C335:C340" si="39">+B335-B334</f>
        <v>30</v>
      </c>
      <c r="D335" s="119">
        <f>ROUNDDOWN($A$327*$B$327*C335/365,0)</f>
        <v>83835616</v>
      </c>
      <c r="E335" s="178">
        <v>41639</v>
      </c>
      <c r="F335" s="229"/>
      <c r="H335" s="143">
        <f>H334+D335</f>
        <v>139726026</v>
      </c>
    </row>
    <row r="336" spans="1:9" ht="11.25" customHeight="1" x14ac:dyDescent="0.15">
      <c r="A336" s="162">
        <v>41578</v>
      </c>
      <c r="B336" s="163">
        <v>41639</v>
      </c>
      <c r="C336" s="130">
        <f t="shared" si="39"/>
        <v>62</v>
      </c>
      <c r="D336" s="119">
        <f>ROUNDDOWN($D$327*$E$327*C336/365,0)-F336</f>
        <v>177863013</v>
      </c>
      <c r="E336" s="178">
        <v>41639</v>
      </c>
      <c r="F336" s="323">
        <v>2191781</v>
      </c>
      <c r="G336" s="115" t="s">
        <v>202</v>
      </c>
      <c r="H336" s="143">
        <f t="shared" ref="H336:H344" si="40">H335+D336</f>
        <v>317589039</v>
      </c>
    </row>
    <row r="337" spans="1:9" ht="11.25" customHeight="1" x14ac:dyDescent="0.15">
      <c r="A337" s="179">
        <v>41640</v>
      </c>
      <c r="B337" s="180">
        <v>41729</v>
      </c>
      <c r="C337" s="181">
        <f t="shared" si="39"/>
        <v>90</v>
      </c>
      <c r="D337" s="181">
        <f>+$D$327*$E$327/4</f>
        <v>265000000</v>
      </c>
      <c r="E337" s="182">
        <v>41729</v>
      </c>
      <c r="F337" s="324"/>
      <c r="G337" s="115"/>
      <c r="H337" s="143">
        <f t="shared" si="40"/>
        <v>582589039</v>
      </c>
    </row>
    <row r="338" spans="1:9" ht="11.25" customHeight="1" x14ac:dyDescent="0.15">
      <c r="A338" s="179">
        <v>41730</v>
      </c>
      <c r="B338" s="180">
        <v>41820</v>
      </c>
      <c r="C338" s="181">
        <f t="shared" si="39"/>
        <v>91</v>
      </c>
      <c r="D338" s="181">
        <f>+$D$327*$E$327/4</f>
        <v>265000000</v>
      </c>
      <c r="E338" s="182">
        <v>41820</v>
      </c>
      <c r="F338" s="324" t="s">
        <v>203</v>
      </c>
      <c r="G338" s="115"/>
      <c r="H338" s="143">
        <f t="shared" si="40"/>
        <v>847589039</v>
      </c>
    </row>
    <row r="339" spans="1:9" ht="11.25" customHeight="1" x14ac:dyDescent="0.15">
      <c r="A339" s="179">
        <v>41821</v>
      </c>
      <c r="B339" s="180">
        <v>41912</v>
      </c>
      <c r="C339" s="181">
        <f t="shared" si="39"/>
        <v>92</v>
      </c>
      <c r="D339" s="181">
        <v>265000000</v>
      </c>
      <c r="E339" s="182">
        <v>41912</v>
      </c>
      <c r="F339" s="324"/>
      <c r="G339" s="115"/>
      <c r="H339" s="143">
        <f t="shared" si="40"/>
        <v>1112589039</v>
      </c>
    </row>
    <row r="340" spans="1:9" ht="11.25" customHeight="1" x14ac:dyDescent="0.15">
      <c r="A340" s="189">
        <v>41913</v>
      </c>
      <c r="B340" s="190">
        <v>42004</v>
      </c>
      <c r="C340" s="191">
        <f t="shared" si="39"/>
        <v>92</v>
      </c>
      <c r="D340" s="191">
        <v>265000000</v>
      </c>
      <c r="E340" s="192">
        <v>42004</v>
      </c>
      <c r="F340" s="324" t="s">
        <v>204</v>
      </c>
      <c r="G340" s="115"/>
      <c r="H340" s="143">
        <f t="shared" si="40"/>
        <v>1377589039</v>
      </c>
    </row>
    <row r="341" spans="1:9" ht="11.25" customHeight="1" x14ac:dyDescent="0.15">
      <c r="A341" s="189">
        <v>42005</v>
      </c>
      <c r="B341" s="190">
        <v>42094</v>
      </c>
      <c r="C341" s="191">
        <f>+B341-B340</f>
        <v>90</v>
      </c>
      <c r="D341" s="191">
        <f>+$D$327*$E$327/4</f>
        <v>265000000</v>
      </c>
      <c r="E341" s="192">
        <v>42094</v>
      </c>
      <c r="F341" s="325"/>
      <c r="G341" s="115"/>
      <c r="H341" s="143">
        <f t="shared" si="40"/>
        <v>1642589039</v>
      </c>
    </row>
    <row r="342" spans="1:9" s="214" customFormat="1" ht="11.25" customHeight="1" x14ac:dyDescent="0.15">
      <c r="A342" s="189">
        <v>42095</v>
      </c>
      <c r="B342" s="190">
        <v>42185</v>
      </c>
      <c r="C342" s="191">
        <f>+B342-B341</f>
        <v>91</v>
      </c>
      <c r="D342" s="191">
        <f>+$D$327*$E$327/4</f>
        <v>265000000</v>
      </c>
      <c r="E342" s="192">
        <v>42185</v>
      </c>
      <c r="F342" s="325"/>
      <c r="G342" s="326"/>
      <c r="H342" s="143">
        <f t="shared" si="40"/>
        <v>1907589039</v>
      </c>
    </row>
    <row r="343" spans="1:9" ht="11.25" customHeight="1" x14ac:dyDescent="0.15">
      <c r="A343" s="189">
        <v>42186</v>
      </c>
      <c r="B343" s="190">
        <v>42277</v>
      </c>
      <c r="C343" s="191">
        <f>+B343-B342</f>
        <v>92</v>
      </c>
      <c r="D343" s="191">
        <v>265000000</v>
      </c>
      <c r="E343" s="192">
        <v>42277</v>
      </c>
      <c r="F343" s="325"/>
      <c r="G343" s="115"/>
      <c r="H343" s="143">
        <f t="shared" si="40"/>
        <v>2172589039</v>
      </c>
    </row>
    <row r="344" spans="1:9" x14ac:dyDescent="0.15">
      <c r="A344" s="179">
        <v>42278</v>
      </c>
      <c r="B344" s="180">
        <v>42369</v>
      </c>
      <c r="C344" s="181">
        <f>+B344-B343</f>
        <v>92</v>
      </c>
      <c r="D344" s="181">
        <v>265000000</v>
      </c>
      <c r="E344" s="182">
        <v>42369</v>
      </c>
      <c r="F344" s="324"/>
      <c r="H344" s="143">
        <f t="shared" si="40"/>
        <v>2437589039</v>
      </c>
    </row>
    <row r="345" spans="1:9" x14ac:dyDescent="0.15">
      <c r="A345" s="197">
        <v>42370</v>
      </c>
      <c r="B345" s="198">
        <v>42460</v>
      </c>
      <c r="C345" s="119">
        <f>+B345-B344</f>
        <v>91</v>
      </c>
      <c r="D345" s="119">
        <v>265000000</v>
      </c>
      <c r="E345" s="178">
        <v>42460</v>
      </c>
      <c r="F345" s="327"/>
      <c r="H345" s="143">
        <f>H344+D345</f>
        <v>2702589039</v>
      </c>
    </row>
    <row r="346" spans="1:9" x14ac:dyDescent="0.15">
      <c r="A346" s="179">
        <v>42461</v>
      </c>
      <c r="B346" s="180">
        <v>42551</v>
      </c>
      <c r="C346" s="181">
        <v>91</v>
      </c>
      <c r="D346" s="181">
        <v>265000000</v>
      </c>
      <c r="E346" s="182">
        <v>42551</v>
      </c>
      <c r="F346" s="324"/>
      <c r="H346" s="143"/>
    </row>
    <row r="347" spans="1:9" x14ac:dyDescent="0.15">
      <c r="A347" s="328">
        <v>42552</v>
      </c>
      <c r="B347" s="329">
        <v>42623</v>
      </c>
      <c r="C347" s="330">
        <f>B347-A347+1</f>
        <v>72</v>
      </c>
      <c r="D347" s="330">
        <f>D346/92*C347</f>
        <v>207391304.34782609</v>
      </c>
      <c r="E347" s="331">
        <v>42643</v>
      </c>
      <c r="F347" s="332"/>
      <c r="H347" s="143"/>
    </row>
    <row r="348" spans="1:9" x14ac:dyDescent="0.15">
      <c r="A348" s="328">
        <v>42624</v>
      </c>
      <c r="B348" s="329">
        <v>42643</v>
      </c>
      <c r="C348" s="330">
        <f>B348-A348+1</f>
        <v>20</v>
      </c>
      <c r="D348" s="330">
        <f>A331*$B$327*C348/92</f>
        <v>0</v>
      </c>
      <c r="E348" s="333">
        <v>2017</v>
      </c>
      <c r="F348" s="332" t="s">
        <v>205</v>
      </c>
      <c r="H348" s="143"/>
    </row>
    <row r="349" spans="1:9" x14ac:dyDescent="0.15">
      <c r="A349" s="162"/>
      <c r="B349" s="163"/>
      <c r="C349" s="334">
        <f>SUM(C346:C348)</f>
        <v>183</v>
      </c>
      <c r="D349" s="335">
        <f>SUM(D346:D348)</f>
        <v>472391304.34782612</v>
      </c>
    </row>
    <row r="350" spans="1:9" ht="12.75" thickBot="1" x14ac:dyDescent="0.2">
      <c r="A350" s="165"/>
      <c r="B350" s="166"/>
      <c r="C350" s="167"/>
      <c r="D350" s="167"/>
      <c r="E350" s="168"/>
      <c r="F350" s="169"/>
      <c r="H350" s="130"/>
      <c r="I350" s="114"/>
    </row>
    <row r="351" spans="1:9" ht="12.75" thickTop="1" x14ac:dyDescent="0.15">
      <c r="H351" s="130"/>
      <c r="I351" s="114"/>
    </row>
    <row r="353" spans="1:8" x14ac:dyDescent="0.15">
      <c r="A353" s="316"/>
    </row>
    <row r="354" spans="1:8" x14ac:dyDescent="0.15">
      <c r="A354" s="294" t="s">
        <v>206</v>
      </c>
      <c r="B354" s="115"/>
      <c r="C354" s="115"/>
      <c r="D354" s="119"/>
      <c r="E354" s="115"/>
      <c r="F354" s="120"/>
    </row>
    <row r="355" spans="1:8" x14ac:dyDescent="0.15">
      <c r="A355" s="317" t="s">
        <v>200</v>
      </c>
      <c r="B355" s="318">
        <v>43157</v>
      </c>
      <c r="C355" s="115"/>
      <c r="D355" s="119"/>
      <c r="E355" s="115"/>
      <c r="F355" s="120"/>
    </row>
    <row r="356" spans="1:8" x14ac:dyDescent="0.15">
      <c r="A356" s="122" t="s">
        <v>181</v>
      </c>
      <c r="B356" s="123" t="s">
        <v>92</v>
      </c>
      <c r="C356" s="123" t="s">
        <v>94</v>
      </c>
      <c r="D356" s="122" t="s">
        <v>201</v>
      </c>
      <c r="E356" s="123" t="s">
        <v>92</v>
      </c>
      <c r="F356" s="123" t="s">
        <v>94</v>
      </c>
    </row>
    <row r="357" spans="1:8" x14ac:dyDescent="0.15">
      <c r="A357" s="208">
        <v>33500000000</v>
      </c>
      <c r="B357" s="126">
        <v>0.02</v>
      </c>
      <c r="C357" s="171">
        <f>+B357*A357</f>
        <v>670000000</v>
      </c>
      <c r="D357" s="208"/>
      <c r="E357" s="126">
        <v>0.02</v>
      </c>
      <c r="F357" s="336">
        <f>+E357*D357</f>
        <v>0</v>
      </c>
    </row>
    <row r="358" spans="1:8" s="186" customFormat="1" x14ac:dyDescent="0.15">
      <c r="A358" s="181"/>
      <c r="B358" s="319"/>
      <c r="C358" s="181"/>
      <c r="D358" s="181"/>
      <c r="E358" s="319"/>
      <c r="F358" s="181"/>
      <c r="G358" s="183"/>
      <c r="H358" s="184"/>
    </row>
    <row r="359" spans="1:8" x14ac:dyDescent="0.15">
      <c r="A359" s="135" t="s">
        <v>89</v>
      </c>
      <c r="B359" s="136" t="s">
        <v>90</v>
      </c>
      <c r="C359" s="135" t="s">
        <v>91</v>
      </c>
      <c r="D359" s="135" t="s">
        <v>92</v>
      </c>
      <c r="E359" s="137" t="s">
        <v>196</v>
      </c>
      <c r="F359" s="137" t="s">
        <v>94</v>
      </c>
    </row>
    <row r="360" spans="1:8" x14ac:dyDescent="0.15">
      <c r="A360" s="189">
        <v>41696</v>
      </c>
      <c r="B360" s="190">
        <v>41729</v>
      </c>
      <c r="C360" s="191">
        <f>B360-A360+1</f>
        <v>34</v>
      </c>
      <c r="D360" s="191">
        <f>ROUNDDOWN($A$357*$B$357*C360/365,0)</f>
        <v>62410958</v>
      </c>
      <c r="E360" s="192">
        <v>41730</v>
      </c>
      <c r="F360" s="211"/>
      <c r="H360" s="143">
        <f>D360</f>
        <v>62410958</v>
      </c>
    </row>
    <row r="361" spans="1:8" ht="11.25" customHeight="1" x14ac:dyDescent="0.15">
      <c r="A361" s="189">
        <v>41730</v>
      </c>
      <c r="B361" s="190">
        <v>41820</v>
      </c>
      <c r="C361" s="191">
        <f>+B361-B360</f>
        <v>91</v>
      </c>
      <c r="D361" s="191">
        <f>+C357/4</f>
        <v>167500000</v>
      </c>
      <c r="E361" s="192">
        <v>41821</v>
      </c>
      <c r="F361" s="337"/>
      <c r="G361" s="115"/>
      <c r="H361" s="143">
        <f>H360+D361</f>
        <v>229910958</v>
      </c>
    </row>
    <row r="362" spans="1:8" s="152" customFormat="1" ht="11.25" customHeight="1" x14ac:dyDescent="0.15">
      <c r="A362" s="189">
        <v>41821</v>
      </c>
      <c r="B362" s="190">
        <v>41912</v>
      </c>
      <c r="C362" s="191">
        <f>+B362-B361</f>
        <v>92</v>
      </c>
      <c r="D362" s="191">
        <v>167500000</v>
      </c>
      <c r="E362" s="192">
        <v>41913</v>
      </c>
      <c r="F362" s="324"/>
      <c r="G362" s="338"/>
      <c r="H362" s="143">
        <f t="shared" ref="H362:H367" si="41">H361+D362</f>
        <v>397410958</v>
      </c>
    </row>
    <row r="363" spans="1:8" x14ac:dyDescent="0.15">
      <c r="A363" s="189">
        <v>41913</v>
      </c>
      <c r="B363" s="190">
        <v>42004</v>
      </c>
      <c r="C363" s="191">
        <f>+B363-B362</f>
        <v>92</v>
      </c>
      <c r="D363" s="191">
        <f>+D362</f>
        <v>167500000</v>
      </c>
      <c r="E363" s="192">
        <v>42006</v>
      </c>
      <c r="F363" s="325"/>
      <c r="H363" s="143">
        <f t="shared" si="41"/>
        <v>564910958</v>
      </c>
    </row>
    <row r="364" spans="1:8" x14ac:dyDescent="0.15">
      <c r="A364" s="189">
        <v>42005</v>
      </c>
      <c r="B364" s="190">
        <v>42094</v>
      </c>
      <c r="C364" s="191">
        <f>B364-A364+1</f>
        <v>90</v>
      </c>
      <c r="D364" s="191">
        <f>D363</f>
        <v>167500000</v>
      </c>
      <c r="E364" s="192">
        <v>42095</v>
      </c>
      <c r="F364" s="211"/>
      <c r="H364" s="143">
        <f t="shared" si="41"/>
        <v>732410958</v>
      </c>
    </row>
    <row r="365" spans="1:8" ht="11.25" customHeight="1" x14ac:dyDescent="0.15">
      <c r="A365" s="189">
        <v>42095</v>
      </c>
      <c r="B365" s="190">
        <v>42185</v>
      </c>
      <c r="C365" s="191">
        <f>+B365-B364</f>
        <v>91</v>
      </c>
      <c r="D365" s="191">
        <f>D364</f>
        <v>167500000</v>
      </c>
      <c r="E365" s="192">
        <v>42186</v>
      </c>
      <c r="F365" s="337"/>
      <c r="G365" s="115"/>
      <c r="H365" s="143">
        <f t="shared" si="41"/>
        <v>899910958</v>
      </c>
    </row>
    <row r="366" spans="1:8" s="152" customFormat="1" ht="11.25" customHeight="1" x14ac:dyDescent="0.15">
      <c r="A366" s="189">
        <v>42186</v>
      </c>
      <c r="B366" s="190">
        <v>42277</v>
      </c>
      <c r="C366" s="191">
        <f>+B366-B365</f>
        <v>92</v>
      </c>
      <c r="D366" s="191">
        <f>D365</f>
        <v>167500000</v>
      </c>
      <c r="E366" s="192">
        <v>42278</v>
      </c>
      <c r="F366" s="324"/>
      <c r="G366" s="338"/>
      <c r="H366" s="143">
        <f t="shared" si="41"/>
        <v>1067410958</v>
      </c>
    </row>
    <row r="367" spans="1:8" x14ac:dyDescent="0.15">
      <c r="A367" s="179">
        <v>42278</v>
      </c>
      <c r="B367" s="180">
        <v>42369</v>
      </c>
      <c r="C367" s="181">
        <f>+B367-B366</f>
        <v>92</v>
      </c>
      <c r="D367" s="181">
        <f>D366</f>
        <v>167500000</v>
      </c>
      <c r="E367" s="182">
        <v>42373</v>
      </c>
      <c r="F367" s="324"/>
      <c r="H367" s="143">
        <f t="shared" si="41"/>
        <v>1234910958</v>
      </c>
    </row>
    <row r="368" spans="1:8" x14ac:dyDescent="0.15">
      <c r="A368" s="197">
        <v>42370</v>
      </c>
      <c r="B368" s="198">
        <v>42460</v>
      </c>
      <c r="C368" s="119">
        <f>+B368-B367</f>
        <v>91</v>
      </c>
      <c r="D368" s="119">
        <f>D367</f>
        <v>167500000</v>
      </c>
      <c r="E368" s="178">
        <v>42373</v>
      </c>
      <c r="F368" s="327"/>
      <c r="H368" s="143">
        <f>H367+D368</f>
        <v>1402410958</v>
      </c>
    </row>
    <row r="369" spans="1:8" x14ac:dyDescent="0.15">
      <c r="A369" s="179">
        <v>42461</v>
      </c>
      <c r="B369" s="180">
        <v>42551</v>
      </c>
      <c r="C369" s="181">
        <v>91</v>
      </c>
      <c r="D369" s="181">
        <v>167500000</v>
      </c>
      <c r="E369" s="182">
        <v>42552</v>
      </c>
      <c r="F369" s="324"/>
      <c r="H369" s="143"/>
    </row>
    <row r="370" spans="1:8" s="215" customFormat="1" x14ac:dyDescent="0.15">
      <c r="A370" s="218">
        <f>B369+1</f>
        <v>42552</v>
      </c>
      <c r="B370" s="219">
        <v>42643</v>
      </c>
      <c r="C370" s="220">
        <f>B370-A370+1</f>
        <v>92</v>
      </c>
      <c r="D370" s="220">
        <v>167500000</v>
      </c>
      <c r="E370" s="339">
        <v>42647</v>
      </c>
      <c r="F370" s="340"/>
      <c r="G370" s="287"/>
      <c r="H370" s="341"/>
    </row>
    <row r="371" spans="1:8" x14ac:dyDescent="0.15">
      <c r="A371" s="162"/>
      <c r="B371" s="163"/>
      <c r="C371" s="334">
        <f>SUM(C368:C370)</f>
        <v>274</v>
      </c>
      <c r="D371" s="335">
        <f>SUM(D368:D370)</f>
        <v>502500000</v>
      </c>
    </row>
    <row r="372" spans="1:8" ht="12.75" thickBot="1" x14ac:dyDescent="0.2">
      <c r="A372" s="165"/>
      <c r="B372" s="166"/>
      <c r="C372" s="167"/>
      <c r="D372" s="167"/>
      <c r="E372" s="168"/>
      <c r="F372" s="169"/>
    </row>
    <row r="373" spans="1:8" ht="15" customHeight="1" thickTop="1" x14ac:dyDescent="0.15"/>
    <row r="376" spans="1:8" x14ac:dyDescent="0.15">
      <c r="A376" s="118" t="s">
        <v>207</v>
      </c>
      <c r="B376" s="115"/>
      <c r="C376" s="115"/>
      <c r="D376" s="119"/>
      <c r="E376" s="115"/>
      <c r="F376" s="120"/>
    </row>
    <row r="377" spans="1:8" x14ac:dyDescent="0.15">
      <c r="A377" s="121"/>
      <c r="B377" s="115"/>
      <c r="C377" s="115"/>
      <c r="D377" s="119"/>
      <c r="E377" s="115"/>
      <c r="F377" s="120"/>
    </row>
    <row r="378" spans="1:8" x14ac:dyDescent="0.15">
      <c r="A378" s="122" t="s">
        <v>208</v>
      </c>
      <c r="B378" s="123" t="s">
        <v>92</v>
      </c>
      <c r="C378" s="123" t="s">
        <v>94</v>
      </c>
      <c r="D378" s="119" t="s">
        <v>209</v>
      </c>
      <c r="E378" s="115"/>
      <c r="F378" s="120"/>
    </row>
    <row r="379" spans="1:8" x14ac:dyDescent="0.15">
      <c r="A379" s="208">
        <v>2000000000</v>
      </c>
      <c r="B379" s="126">
        <v>0.02</v>
      </c>
      <c r="C379" s="171" t="s">
        <v>210</v>
      </c>
      <c r="D379" s="178">
        <v>41691</v>
      </c>
      <c r="E379" s="115" t="s">
        <v>211</v>
      </c>
      <c r="F379" s="120"/>
    </row>
    <row r="380" spans="1:8" x14ac:dyDescent="0.15">
      <c r="A380" s="208">
        <v>1200000000</v>
      </c>
      <c r="B380" s="126">
        <v>0.02</v>
      </c>
      <c r="C380" s="171" t="s">
        <v>210</v>
      </c>
      <c r="D380" s="178">
        <v>41710</v>
      </c>
      <c r="E380" s="172" t="s">
        <v>212</v>
      </c>
      <c r="F380" s="120"/>
    </row>
    <row r="381" spans="1:8" x14ac:dyDescent="0.15">
      <c r="A381" s="208">
        <v>1200000000</v>
      </c>
      <c r="B381" s="126">
        <v>0.02</v>
      </c>
      <c r="C381" s="171" t="s">
        <v>210</v>
      </c>
      <c r="D381" s="178">
        <v>41953</v>
      </c>
      <c r="E381" s="172" t="s">
        <v>212</v>
      </c>
      <c r="F381" s="120"/>
    </row>
    <row r="382" spans="1:8" x14ac:dyDescent="0.15">
      <c r="A382" s="208">
        <v>1600000000</v>
      </c>
      <c r="B382" s="126">
        <v>0.02</v>
      </c>
      <c r="C382" s="171" t="s">
        <v>210</v>
      </c>
      <c r="D382" s="178">
        <v>42041</v>
      </c>
      <c r="E382" s="172" t="s">
        <v>212</v>
      </c>
      <c r="F382" s="120"/>
    </row>
    <row r="383" spans="1:8" s="186" customFormat="1" x14ac:dyDescent="0.15">
      <c r="A383" s="173"/>
      <c r="B383" s="131"/>
      <c r="C383" s="119"/>
      <c r="D383" s="119"/>
      <c r="E383" s="115"/>
      <c r="F383" s="120"/>
      <c r="G383" s="183"/>
      <c r="H383" s="184"/>
    </row>
    <row r="384" spans="1:8" x14ac:dyDescent="0.15">
      <c r="A384" s="135" t="s">
        <v>89</v>
      </c>
      <c r="B384" s="136" t="s">
        <v>90</v>
      </c>
      <c r="C384" s="135" t="s">
        <v>91</v>
      </c>
      <c r="D384" s="135" t="s">
        <v>92</v>
      </c>
      <c r="E384" s="137" t="s">
        <v>196</v>
      </c>
      <c r="F384" s="137" t="s">
        <v>94</v>
      </c>
    </row>
    <row r="385" spans="1:11" s="186" customFormat="1" x14ac:dyDescent="0.15">
      <c r="A385" s="189">
        <v>41702</v>
      </c>
      <c r="B385" s="190">
        <v>41709</v>
      </c>
      <c r="C385" s="191">
        <f>+B385-A385+1</f>
        <v>8</v>
      </c>
      <c r="D385" s="191">
        <f>ROUNDDOWN(A379*B379*C385/365,0)</f>
        <v>876712</v>
      </c>
      <c r="E385" s="192">
        <v>41729</v>
      </c>
      <c r="F385" s="210"/>
      <c r="G385" s="183"/>
      <c r="H385" s="342">
        <f>D385</f>
        <v>876712</v>
      </c>
    </row>
    <row r="386" spans="1:11" s="186" customFormat="1" x14ac:dyDescent="0.15">
      <c r="A386" s="189">
        <v>41710</v>
      </c>
      <c r="B386" s="190">
        <v>41729</v>
      </c>
      <c r="C386" s="191">
        <f t="shared" ref="C386:C398" si="42">+B386-B385</f>
        <v>20</v>
      </c>
      <c r="D386" s="191">
        <f>ROUNDDOWN((A379+A380)*B380*C386/365,0)</f>
        <v>3506849</v>
      </c>
      <c r="E386" s="192">
        <v>41729</v>
      </c>
      <c r="F386" s="210"/>
      <c r="G386" s="183"/>
      <c r="H386" s="342">
        <f>H385+D386</f>
        <v>4383561</v>
      </c>
    </row>
    <row r="387" spans="1:11" s="186" customFormat="1" x14ac:dyDescent="0.15">
      <c r="A387" s="189">
        <v>41730</v>
      </c>
      <c r="B387" s="190">
        <v>41820</v>
      </c>
      <c r="C387" s="191">
        <f t="shared" si="42"/>
        <v>91</v>
      </c>
      <c r="D387" s="191">
        <f>+ROUNDDOWN((A379+A380)*B380/365*C387,0)</f>
        <v>15956164</v>
      </c>
      <c r="E387" s="192">
        <v>41820</v>
      </c>
      <c r="F387" s="210"/>
      <c r="G387" s="183"/>
      <c r="H387" s="342">
        <f t="shared" ref="H387:H395" si="43">H386+D387</f>
        <v>20339725</v>
      </c>
    </row>
    <row r="388" spans="1:11" s="214" customFormat="1" x14ac:dyDescent="0.15">
      <c r="A388" s="189">
        <v>41821</v>
      </c>
      <c r="B388" s="190">
        <v>41912</v>
      </c>
      <c r="C388" s="191">
        <f t="shared" si="42"/>
        <v>92</v>
      </c>
      <c r="D388" s="191">
        <f>++ROUNDDOWN((A380+A379)*B380/365*C388,0)</f>
        <v>16131506</v>
      </c>
      <c r="E388" s="192">
        <v>41912</v>
      </c>
      <c r="F388" s="210"/>
      <c r="G388" s="213"/>
      <c r="H388" s="342">
        <f t="shared" si="43"/>
        <v>36471231</v>
      </c>
    </row>
    <row r="389" spans="1:11" s="214" customFormat="1" x14ac:dyDescent="0.15">
      <c r="A389" s="189">
        <v>41913</v>
      </c>
      <c r="B389" s="190">
        <v>41952</v>
      </c>
      <c r="C389" s="191">
        <f t="shared" si="42"/>
        <v>40</v>
      </c>
      <c r="D389" s="191">
        <f>+ROUNDDOWN((A380+A379)*B380/365*C389,0)</f>
        <v>7013698</v>
      </c>
      <c r="E389" s="192">
        <v>42004</v>
      </c>
      <c r="F389" s="212"/>
      <c r="G389" s="213"/>
      <c r="H389" s="342">
        <f t="shared" si="43"/>
        <v>43484929</v>
      </c>
    </row>
    <row r="390" spans="1:11" s="215" customFormat="1" x14ac:dyDescent="0.15">
      <c r="A390" s="189">
        <v>41953</v>
      </c>
      <c r="B390" s="190">
        <v>42004</v>
      </c>
      <c r="C390" s="191">
        <f t="shared" si="42"/>
        <v>52</v>
      </c>
      <c r="D390" s="191">
        <f>+ROUNDDOWN((A381+A380+A379)*B381/365*C390,0)</f>
        <v>12536986</v>
      </c>
      <c r="E390" s="192">
        <v>42004</v>
      </c>
      <c r="F390" s="212"/>
      <c r="G390" s="287"/>
      <c r="H390" s="342">
        <f t="shared" si="43"/>
        <v>56021915</v>
      </c>
    </row>
    <row r="391" spans="1:11" s="215" customFormat="1" x14ac:dyDescent="0.15">
      <c r="A391" s="189">
        <v>42005</v>
      </c>
      <c r="B391" s="190">
        <v>42040</v>
      </c>
      <c r="C391" s="191">
        <f t="shared" si="42"/>
        <v>36</v>
      </c>
      <c r="D391" s="191">
        <f>+ROUNDDOWN((A379+A380+A381)*B381/365*C391,0)</f>
        <v>8679452</v>
      </c>
      <c r="E391" s="192">
        <v>42094</v>
      </c>
      <c r="F391" s="212"/>
      <c r="G391" s="287"/>
      <c r="H391" s="342">
        <f t="shared" si="43"/>
        <v>64701367</v>
      </c>
    </row>
    <row r="392" spans="1:11" s="215" customFormat="1" x14ac:dyDescent="0.15">
      <c r="A392" s="189">
        <v>42041</v>
      </c>
      <c r="B392" s="190">
        <v>42094</v>
      </c>
      <c r="C392" s="191">
        <f t="shared" si="42"/>
        <v>54</v>
      </c>
      <c r="D392" s="191">
        <f>+ROUNDDOWN((SUM(A379:A382))*B382/365*C392,0)</f>
        <v>17753424</v>
      </c>
      <c r="E392" s="192">
        <v>42094</v>
      </c>
      <c r="F392" s="212"/>
      <c r="G392" s="287"/>
      <c r="H392" s="342">
        <f t="shared" si="43"/>
        <v>82454791</v>
      </c>
    </row>
    <row r="393" spans="1:11" s="215" customFormat="1" x14ac:dyDescent="0.15">
      <c r="A393" s="189">
        <v>42095</v>
      </c>
      <c r="B393" s="190">
        <v>42185</v>
      </c>
      <c r="C393" s="191">
        <f t="shared" si="42"/>
        <v>91</v>
      </c>
      <c r="D393" s="191">
        <f>+ROUNDDOWN((SUM(A379:A382))*B382/365*C393,0)</f>
        <v>29917808</v>
      </c>
      <c r="E393" s="192">
        <v>42185</v>
      </c>
      <c r="F393" s="212"/>
      <c r="G393" s="287"/>
      <c r="H393" s="342">
        <f t="shared" si="43"/>
        <v>112372599</v>
      </c>
    </row>
    <row r="394" spans="1:11" s="215" customFormat="1" x14ac:dyDescent="0.15">
      <c r="A394" s="189">
        <v>42186</v>
      </c>
      <c r="B394" s="190">
        <v>42277</v>
      </c>
      <c r="C394" s="191">
        <f t="shared" si="42"/>
        <v>92</v>
      </c>
      <c r="D394" s="191">
        <f>+ROUNDDOWN((SUM(A379:A382))*B382/365*C394,0)</f>
        <v>30246575</v>
      </c>
      <c r="E394" s="192">
        <v>42277</v>
      </c>
      <c r="F394" s="212"/>
      <c r="G394" s="287"/>
      <c r="H394" s="342">
        <f t="shared" si="43"/>
        <v>142619174</v>
      </c>
    </row>
    <row r="395" spans="1:11" x14ac:dyDescent="0.15">
      <c r="A395" s="179">
        <v>42278</v>
      </c>
      <c r="B395" s="180">
        <v>42369</v>
      </c>
      <c r="C395" s="181">
        <f t="shared" si="42"/>
        <v>92</v>
      </c>
      <c r="D395" s="181">
        <f>+ROUNDDOWN((SUM(A379:A382))*B382/365*C395,0)</f>
        <v>30246575</v>
      </c>
      <c r="E395" s="182">
        <v>42369</v>
      </c>
      <c r="F395" s="211"/>
      <c r="H395" s="342">
        <f t="shared" si="43"/>
        <v>172865749</v>
      </c>
    </row>
    <row r="396" spans="1:11" x14ac:dyDescent="0.15">
      <c r="A396" s="197">
        <v>42370</v>
      </c>
      <c r="B396" s="198">
        <v>42460</v>
      </c>
      <c r="C396" s="119">
        <f t="shared" si="42"/>
        <v>91</v>
      </c>
      <c r="D396" s="119">
        <f>+ROUNDDOWN((SUM($A$379:$A$382))*$B$382/366*C396,0)</f>
        <v>29836065</v>
      </c>
      <c r="E396" s="178">
        <v>42460</v>
      </c>
      <c r="F396" s="216"/>
      <c r="H396" s="342">
        <f>H395+D396</f>
        <v>202701814</v>
      </c>
    </row>
    <row r="397" spans="1:11" s="186" customFormat="1" x14ac:dyDescent="0.15">
      <c r="A397" s="179">
        <v>42461</v>
      </c>
      <c r="B397" s="180">
        <v>42551</v>
      </c>
      <c r="C397" s="181">
        <f t="shared" si="42"/>
        <v>91</v>
      </c>
      <c r="D397" s="181">
        <f>+ROUNDDOWN((SUM($A$379:$A$382))*$B$382/366*C397,0)</f>
        <v>29836065</v>
      </c>
      <c r="E397" s="182">
        <v>42551</v>
      </c>
      <c r="F397" s="211"/>
      <c r="G397" s="183"/>
      <c r="H397" s="342">
        <f>H396+D397</f>
        <v>232537879</v>
      </c>
    </row>
    <row r="398" spans="1:11" s="196" customFormat="1" x14ac:dyDescent="0.15">
      <c r="A398" s="218">
        <f>B397+1</f>
        <v>42552</v>
      </c>
      <c r="B398" s="219">
        <v>42643</v>
      </c>
      <c r="C398" s="220">
        <f t="shared" si="42"/>
        <v>92</v>
      </c>
      <c r="D398" s="220">
        <f>+ROUNDDOWN((SUM($A$379:A$382))*$B$382/366*C398,0)</f>
        <v>30163934</v>
      </c>
      <c r="E398" s="221">
        <v>42643</v>
      </c>
      <c r="F398" s="222"/>
      <c r="G398" s="207"/>
      <c r="H398" s="343">
        <f>H397+D398</f>
        <v>262701813</v>
      </c>
      <c r="I398" s="207"/>
      <c r="K398" s="344"/>
    </row>
    <row r="399" spans="1:11" x14ac:dyDescent="0.15">
      <c r="A399" s="162"/>
      <c r="B399" s="163"/>
      <c r="C399" s="334">
        <f>SUM(C396:C398)</f>
        <v>274</v>
      </c>
      <c r="D399" s="345">
        <f>SUM(D396:D398)</f>
        <v>89836064</v>
      </c>
      <c r="E399" s="115"/>
      <c r="F399" s="120"/>
    </row>
    <row r="400" spans="1:11" ht="15" customHeight="1" x14ac:dyDescent="0.15"/>
    <row r="403" spans="1:8" x14ac:dyDescent="0.15">
      <c r="A403" s="118" t="s">
        <v>213</v>
      </c>
      <c r="B403" s="115"/>
      <c r="C403" s="115"/>
      <c r="D403" s="119"/>
      <c r="E403" s="115"/>
      <c r="F403" s="120"/>
    </row>
    <row r="404" spans="1:8" x14ac:dyDescent="0.15">
      <c r="A404" s="121"/>
      <c r="B404" s="115"/>
      <c r="C404" s="115"/>
      <c r="D404" s="119"/>
      <c r="E404" s="115"/>
      <c r="F404" s="120"/>
    </row>
    <row r="405" spans="1:8" x14ac:dyDescent="0.15">
      <c r="A405" s="122" t="s">
        <v>208</v>
      </c>
      <c r="B405" s="123" t="s">
        <v>92</v>
      </c>
      <c r="C405" s="123" t="s">
        <v>94</v>
      </c>
      <c r="D405" s="119" t="s">
        <v>209</v>
      </c>
      <c r="E405" s="115"/>
      <c r="F405" s="120"/>
    </row>
    <row r="406" spans="1:8" x14ac:dyDescent="0.15">
      <c r="A406" s="208">
        <v>10000000000</v>
      </c>
      <c r="B406" s="126">
        <v>1.2999999999999999E-2</v>
      </c>
      <c r="C406" s="171" t="s">
        <v>210</v>
      </c>
      <c r="D406" s="178">
        <v>42600</v>
      </c>
      <c r="E406" s="172" t="s">
        <v>212</v>
      </c>
      <c r="F406" s="120"/>
    </row>
    <row r="407" spans="1:8" s="186" customFormat="1" x14ac:dyDescent="0.15">
      <c r="A407" s="173"/>
      <c r="B407" s="131"/>
      <c r="C407" s="119"/>
      <c r="D407" s="119"/>
      <c r="E407" s="115"/>
      <c r="F407" s="120"/>
      <c r="G407" s="183"/>
      <c r="H407" s="184"/>
    </row>
    <row r="408" spans="1:8" x14ac:dyDescent="0.15">
      <c r="A408" s="135" t="s">
        <v>89</v>
      </c>
      <c r="B408" s="136" t="s">
        <v>90</v>
      </c>
      <c r="C408" s="135" t="s">
        <v>91</v>
      </c>
      <c r="D408" s="135" t="s">
        <v>92</v>
      </c>
      <c r="E408" s="137" t="s">
        <v>196</v>
      </c>
      <c r="F408" s="137" t="s">
        <v>94</v>
      </c>
    </row>
    <row r="409" spans="1:8" s="196" customFormat="1" x14ac:dyDescent="0.15">
      <c r="A409" s="218">
        <f>D406</f>
        <v>42600</v>
      </c>
      <c r="B409" s="219">
        <v>42643</v>
      </c>
      <c r="C409" s="220">
        <f>+B409-A409+1</f>
        <v>44</v>
      </c>
      <c r="D409" s="220">
        <f>ROUNDDOWN(A406*B406*C409/366,0)</f>
        <v>15628415</v>
      </c>
      <c r="E409" s="221">
        <v>42692</v>
      </c>
      <c r="F409" s="222" t="s">
        <v>214</v>
      </c>
      <c r="G409" s="207"/>
      <c r="H409" s="343">
        <f>D409</f>
        <v>15628415</v>
      </c>
    </row>
    <row r="410" spans="1:8" s="186" customFormat="1" x14ac:dyDescent="0.15">
      <c r="A410" s="189"/>
      <c r="B410" s="190"/>
      <c r="C410" s="191"/>
      <c r="D410" s="191"/>
      <c r="E410" s="192"/>
      <c r="F410" s="210"/>
      <c r="G410" s="183"/>
      <c r="H410" s="342"/>
    </row>
    <row r="411" spans="1:8" s="186" customFormat="1" x14ac:dyDescent="0.15">
      <c r="A411" s="189"/>
      <c r="B411" s="190"/>
      <c r="C411" s="191"/>
      <c r="D411" s="191"/>
      <c r="E411" s="192"/>
      <c r="F411" s="210"/>
      <c r="G411" s="183"/>
      <c r="H411" s="342"/>
    </row>
    <row r="412" spans="1:8" s="214" customFormat="1" hidden="1" x14ac:dyDescent="0.15">
      <c r="A412" s="189"/>
      <c r="B412" s="190"/>
      <c r="C412" s="191"/>
      <c r="D412" s="191"/>
      <c r="E412" s="192"/>
      <c r="F412" s="210"/>
      <c r="G412" s="213"/>
      <c r="H412" s="342"/>
    </row>
    <row r="413" spans="1:8" s="214" customFormat="1" hidden="1" x14ac:dyDescent="0.15">
      <c r="A413" s="189"/>
      <c r="B413" s="190"/>
      <c r="C413" s="191"/>
      <c r="D413" s="191"/>
      <c r="E413" s="192"/>
      <c r="F413" s="212"/>
      <c r="G413" s="213"/>
      <c r="H413" s="342"/>
    </row>
    <row r="414" spans="1:8" s="215" customFormat="1" hidden="1" x14ac:dyDescent="0.15">
      <c r="A414" s="189"/>
      <c r="B414" s="190"/>
      <c r="C414" s="191"/>
      <c r="D414" s="191"/>
      <c r="E414" s="192"/>
      <c r="F414" s="212"/>
      <c r="G414" s="287"/>
      <c r="H414" s="342"/>
    </row>
    <row r="415" spans="1:8" s="215" customFormat="1" hidden="1" x14ac:dyDescent="0.15">
      <c r="A415" s="189"/>
      <c r="B415" s="190"/>
      <c r="C415" s="191"/>
      <c r="D415" s="191"/>
      <c r="E415" s="192"/>
      <c r="F415" s="212"/>
      <c r="G415" s="287"/>
      <c r="H415" s="342"/>
    </row>
    <row r="416" spans="1:8" s="215" customFormat="1" hidden="1" x14ac:dyDescent="0.15">
      <c r="A416" s="189"/>
      <c r="B416" s="190"/>
      <c r="C416" s="191"/>
      <c r="D416" s="191"/>
      <c r="E416" s="192"/>
      <c r="F416" s="212"/>
      <c r="G416" s="287"/>
      <c r="H416" s="342"/>
    </row>
    <row r="417" spans="1:11" s="215" customFormat="1" hidden="1" x14ac:dyDescent="0.15">
      <c r="A417" s="189"/>
      <c r="B417" s="190"/>
      <c r="C417" s="191"/>
      <c r="D417" s="191"/>
      <c r="E417" s="192"/>
      <c r="F417" s="212"/>
      <c r="G417" s="287"/>
      <c r="H417" s="342"/>
    </row>
    <row r="418" spans="1:11" s="215" customFormat="1" hidden="1" x14ac:dyDescent="0.15">
      <c r="A418" s="189"/>
      <c r="B418" s="190"/>
      <c r="C418" s="191"/>
      <c r="D418" s="191"/>
      <c r="E418" s="192"/>
      <c r="F418" s="212"/>
      <c r="G418" s="287"/>
      <c r="H418" s="342"/>
    </row>
    <row r="419" spans="1:11" hidden="1" x14ac:dyDescent="0.15">
      <c r="A419" s="179"/>
      <c r="B419" s="180"/>
      <c r="C419" s="181"/>
      <c r="D419" s="181"/>
      <c r="E419" s="182"/>
      <c r="F419" s="211"/>
      <c r="H419" s="342"/>
    </row>
    <row r="420" spans="1:11" hidden="1" x14ac:dyDescent="0.15">
      <c r="A420" s="197"/>
      <c r="B420" s="198"/>
      <c r="C420" s="119"/>
      <c r="D420" s="119"/>
      <c r="E420" s="178"/>
      <c r="F420" s="216"/>
      <c r="H420" s="342"/>
    </row>
    <row r="421" spans="1:11" s="186" customFormat="1" hidden="1" x14ac:dyDescent="0.15">
      <c r="A421" s="179"/>
      <c r="B421" s="180"/>
      <c r="C421" s="181"/>
      <c r="D421" s="181"/>
      <c r="E421" s="182"/>
      <c r="F421" s="211"/>
      <c r="G421" s="183"/>
      <c r="H421" s="342"/>
    </row>
    <row r="422" spans="1:11" s="196" customFormat="1" hidden="1" x14ac:dyDescent="0.15">
      <c r="A422" s="218"/>
      <c r="B422" s="219"/>
      <c r="C422" s="220"/>
      <c r="D422" s="220"/>
      <c r="E422" s="221"/>
      <c r="F422" s="222"/>
      <c r="G422" s="207"/>
      <c r="H422" s="343"/>
      <c r="I422" s="207"/>
      <c r="K422" s="344"/>
    </row>
    <row r="423" spans="1:11" ht="12.75" thickBot="1" x14ac:dyDescent="0.2">
      <c r="A423" s="162"/>
      <c r="B423" s="163"/>
      <c r="C423" s="334">
        <f>SUM(C409:C422)</f>
        <v>44</v>
      </c>
      <c r="D423" s="345">
        <f>SUM(D409:D422)</f>
        <v>15628415</v>
      </c>
      <c r="E423" s="115"/>
      <c r="F423" s="120"/>
    </row>
    <row r="424" spans="1:11" ht="12.75" thickTop="1" x14ac:dyDescent="0.15">
      <c r="A424" s="346" t="s">
        <v>215</v>
      </c>
      <c r="B424" s="116"/>
      <c r="C424" s="116"/>
      <c r="D424" s="347"/>
      <c r="E424" s="116"/>
      <c r="F424" s="348"/>
    </row>
    <row r="425" spans="1:11" x14ac:dyDescent="0.15">
      <c r="A425" s="317" t="s">
        <v>200</v>
      </c>
      <c r="B425" s="318">
        <v>42957</v>
      </c>
      <c r="C425" s="115"/>
      <c r="D425" s="119"/>
      <c r="E425" s="290"/>
      <c r="F425" s="290"/>
    </row>
    <row r="426" spans="1:11" x14ac:dyDescent="0.15">
      <c r="A426" s="122" t="s">
        <v>181</v>
      </c>
      <c r="B426" s="123" t="s">
        <v>92</v>
      </c>
      <c r="C426" s="123" t="s">
        <v>94</v>
      </c>
      <c r="D426" s="349"/>
      <c r="E426" s="349"/>
      <c r="F426" s="349"/>
    </row>
    <row r="427" spans="1:11" x14ac:dyDescent="0.15">
      <c r="A427" s="171">
        <v>50000000000</v>
      </c>
      <c r="B427" s="126">
        <v>0.02</v>
      </c>
      <c r="C427" s="350">
        <f>+B427*A427</f>
        <v>1000000000</v>
      </c>
      <c r="D427" s="119"/>
      <c r="E427" s="351"/>
      <c r="F427" s="119"/>
    </row>
    <row r="428" spans="1:11" s="186" customFormat="1" x14ac:dyDescent="0.15">
      <c r="A428" s="173"/>
      <c r="B428" s="131"/>
      <c r="C428" s="119"/>
      <c r="D428" s="119"/>
      <c r="E428" s="290"/>
      <c r="F428" s="290"/>
      <c r="G428" s="183"/>
      <c r="H428" s="184"/>
    </row>
    <row r="429" spans="1:11" x14ac:dyDescent="0.15">
      <c r="A429" s="135" t="s">
        <v>89</v>
      </c>
      <c r="B429" s="136" t="s">
        <v>90</v>
      </c>
      <c r="C429" s="135" t="s">
        <v>91</v>
      </c>
      <c r="D429" s="135" t="s">
        <v>92</v>
      </c>
      <c r="E429" s="137" t="s">
        <v>196</v>
      </c>
      <c r="F429" s="137" t="s">
        <v>94</v>
      </c>
    </row>
    <row r="430" spans="1:11" s="186" customFormat="1" x14ac:dyDescent="0.15">
      <c r="A430" s="189">
        <v>41862</v>
      </c>
      <c r="B430" s="190">
        <v>41912</v>
      </c>
      <c r="C430" s="191">
        <f>B430-A430+1</f>
        <v>51</v>
      </c>
      <c r="D430" s="191">
        <f>ROUNDDOWN($A$427*$B$427*C430/365,0)</f>
        <v>139726027</v>
      </c>
      <c r="E430" s="192">
        <v>41913</v>
      </c>
      <c r="F430" s="211"/>
      <c r="H430" s="183">
        <f>D430</f>
        <v>139726027</v>
      </c>
    </row>
    <row r="431" spans="1:11" s="215" customFormat="1" x14ac:dyDescent="0.15">
      <c r="A431" s="189">
        <v>41913</v>
      </c>
      <c r="B431" s="190">
        <v>42004</v>
      </c>
      <c r="C431" s="191">
        <f t="shared" ref="C431:C438" si="44">+B431-B430</f>
        <v>92</v>
      </c>
      <c r="D431" s="191">
        <f>+C427/4</f>
        <v>250000000</v>
      </c>
      <c r="E431" s="192">
        <v>42004</v>
      </c>
      <c r="F431" s="337"/>
      <c r="H431" s="114">
        <f t="shared" ref="H431:H436" si="45">H430+D431</f>
        <v>389726027</v>
      </c>
    </row>
    <row r="432" spans="1:11" s="215" customFormat="1" x14ac:dyDescent="0.15">
      <c r="A432" s="189">
        <v>42005</v>
      </c>
      <c r="B432" s="190">
        <v>42094</v>
      </c>
      <c r="C432" s="191">
        <f t="shared" si="44"/>
        <v>90</v>
      </c>
      <c r="D432" s="191">
        <f>D431</f>
        <v>250000000</v>
      </c>
      <c r="E432" s="192">
        <v>42094</v>
      </c>
      <c r="F432" s="232"/>
      <c r="H432" s="114">
        <f t="shared" si="45"/>
        <v>639726027</v>
      </c>
    </row>
    <row r="433" spans="1:8" s="215" customFormat="1" ht="11.25" customHeight="1" x14ac:dyDescent="0.15">
      <c r="A433" s="189">
        <v>42095</v>
      </c>
      <c r="B433" s="190">
        <v>42185</v>
      </c>
      <c r="C433" s="191">
        <f t="shared" si="44"/>
        <v>91</v>
      </c>
      <c r="D433" s="191">
        <f>D432</f>
        <v>250000000</v>
      </c>
      <c r="E433" s="192">
        <v>42185</v>
      </c>
      <c r="F433" s="232"/>
      <c r="H433" s="114">
        <f t="shared" si="45"/>
        <v>889726027</v>
      </c>
    </row>
    <row r="434" spans="1:8" s="215" customFormat="1" ht="11.25" customHeight="1" x14ac:dyDescent="0.15">
      <c r="A434" s="189">
        <v>42186</v>
      </c>
      <c r="B434" s="190">
        <v>42277</v>
      </c>
      <c r="C434" s="191">
        <f t="shared" si="44"/>
        <v>92</v>
      </c>
      <c r="D434" s="191">
        <f>D433</f>
        <v>250000000</v>
      </c>
      <c r="E434" s="192">
        <v>42277</v>
      </c>
      <c r="F434" s="325"/>
      <c r="H434" s="114">
        <f t="shared" si="45"/>
        <v>1139726027</v>
      </c>
    </row>
    <row r="435" spans="1:8" x14ac:dyDescent="0.15">
      <c r="A435" s="189">
        <v>42278</v>
      </c>
      <c r="B435" s="190">
        <v>42369</v>
      </c>
      <c r="C435" s="191">
        <f t="shared" si="44"/>
        <v>92</v>
      </c>
      <c r="D435" s="191">
        <f>D434</f>
        <v>250000000</v>
      </c>
      <c r="E435" s="192">
        <v>42369</v>
      </c>
      <c r="F435" s="325"/>
      <c r="H435" s="114">
        <f t="shared" si="45"/>
        <v>1389726027</v>
      </c>
    </row>
    <row r="436" spans="1:8" x14ac:dyDescent="0.15">
      <c r="A436" s="197">
        <v>42370</v>
      </c>
      <c r="B436" s="198">
        <v>42460</v>
      </c>
      <c r="C436" s="119">
        <f t="shared" si="44"/>
        <v>91</v>
      </c>
      <c r="D436" s="119">
        <f>D435</f>
        <v>250000000</v>
      </c>
      <c r="E436" s="178">
        <v>42460</v>
      </c>
      <c r="F436" s="327"/>
      <c r="H436" s="114">
        <f t="shared" si="45"/>
        <v>1639726027</v>
      </c>
    </row>
    <row r="437" spans="1:8" x14ac:dyDescent="0.15">
      <c r="A437" s="197">
        <v>42461</v>
      </c>
      <c r="B437" s="198">
        <v>42551</v>
      </c>
      <c r="C437" s="119">
        <f t="shared" si="44"/>
        <v>91</v>
      </c>
      <c r="D437" s="119">
        <f>$A$427*$B$427/4</f>
        <v>250000000</v>
      </c>
      <c r="E437" s="178">
        <v>42551</v>
      </c>
      <c r="F437" s="327"/>
      <c r="H437" s="114"/>
    </row>
    <row r="438" spans="1:8" s="215" customFormat="1" x14ac:dyDescent="0.15">
      <c r="A438" s="202">
        <f>B437+1</f>
        <v>42552</v>
      </c>
      <c r="B438" s="203">
        <v>42643</v>
      </c>
      <c r="C438" s="204">
        <f t="shared" si="44"/>
        <v>92</v>
      </c>
      <c r="D438" s="204">
        <f>$A$427*$B$427/4</f>
        <v>250000000</v>
      </c>
      <c r="E438" s="352">
        <v>42643</v>
      </c>
      <c r="F438" s="353"/>
      <c r="G438" s="287"/>
      <c r="H438" s="287"/>
    </row>
    <row r="439" spans="1:8" x14ac:dyDescent="0.15">
      <c r="A439" s="162"/>
      <c r="B439" s="163"/>
      <c r="C439" s="334">
        <f>SUM(C436:C438)</f>
        <v>274</v>
      </c>
      <c r="D439" s="335">
        <f>SUM(D436:D438)</f>
        <v>750000000</v>
      </c>
    </row>
    <row r="440" spans="1:8" x14ac:dyDescent="0.15">
      <c r="A440" s="162"/>
      <c r="B440" s="163"/>
      <c r="C440" s="130"/>
      <c r="D440" s="119"/>
      <c r="E440" s="115"/>
      <c r="F440" s="120"/>
    </row>
    <row r="441" spans="1:8" ht="12.75" thickBot="1" x14ac:dyDescent="0.2">
      <c r="A441" s="165"/>
      <c r="B441" s="166"/>
      <c r="C441" s="167"/>
      <c r="D441" s="167"/>
      <c r="E441" s="168"/>
      <c r="F441" s="169"/>
    </row>
    <row r="442" spans="1:8" ht="12.75" thickTop="1" x14ac:dyDescent="0.15">
      <c r="A442" s="162"/>
      <c r="B442" s="163"/>
      <c r="C442" s="130"/>
      <c r="D442" s="130"/>
      <c r="E442" s="115"/>
      <c r="F442" s="120"/>
    </row>
    <row r="443" spans="1:8" x14ac:dyDescent="0.15">
      <c r="A443" s="294" t="s">
        <v>216</v>
      </c>
      <c r="B443" s="115"/>
      <c r="C443" s="115"/>
      <c r="D443" s="119"/>
      <c r="E443" s="115"/>
      <c r="F443" s="120"/>
    </row>
    <row r="444" spans="1:8" x14ac:dyDescent="0.15">
      <c r="A444" s="121"/>
      <c r="B444" s="115"/>
      <c r="C444" s="115"/>
      <c r="D444" s="119"/>
      <c r="E444" s="290"/>
      <c r="F444" s="290"/>
    </row>
    <row r="445" spans="1:8" x14ac:dyDescent="0.15">
      <c r="A445" s="122" t="s">
        <v>217</v>
      </c>
      <c r="B445" s="123" t="s">
        <v>92</v>
      </c>
      <c r="C445" s="123" t="s">
        <v>218</v>
      </c>
      <c r="D445" s="349"/>
      <c r="E445" s="349"/>
      <c r="F445" s="349"/>
    </row>
    <row r="446" spans="1:8" x14ac:dyDescent="0.15">
      <c r="A446" s="208">
        <v>5500000000</v>
      </c>
      <c r="B446" s="126">
        <v>0.01</v>
      </c>
      <c r="C446" s="350">
        <v>1100000000</v>
      </c>
      <c r="D446" s="178">
        <v>42360</v>
      </c>
      <c r="E446" s="351" t="s">
        <v>219</v>
      </c>
      <c r="F446" s="119"/>
    </row>
    <row r="447" spans="1:8" x14ac:dyDescent="0.15">
      <c r="A447" s="208">
        <v>26850000000</v>
      </c>
      <c r="B447" s="126">
        <v>0.01</v>
      </c>
      <c r="C447" s="171">
        <f>A447</f>
        <v>26850000000</v>
      </c>
      <c r="D447" s="178">
        <v>42369</v>
      </c>
      <c r="E447" s="290"/>
      <c r="F447" s="290"/>
    </row>
    <row r="448" spans="1:8" x14ac:dyDescent="0.15">
      <c r="A448" s="135" t="s">
        <v>89</v>
      </c>
      <c r="B448" s="136" t="s">
        <v>90</v>
      </c>
      <c r="C448" s="135" t="s">
        <v>91</v>
      </c>
      <c r="D448" s="135" t="s">
        <v>92</v>
      </c>
      <c r="E448" s="137" t="s">
        <v>196</v>
      </c>
      <c r="F448" s="137" t="s">
        <v>94</v>
      </c>
    </row>
    <row r="449" spans="1:8" x14ac:dyDescent="0.15">
      <c r="A449" s="179">
        <v>42360</v>
      </c>
      <c r="B449" s="180">
        <v>42366</v>
      </c>
      <c r="C449" s="181">
        <f>B449-A449+1</f>
        <v>7</v>
      </c>
      <c r="D449" s="181">
        <f>ROUNDDOWN($C$446*$B$446*C449/365,0)</f>
        <v>210958</v>
      </c>
      <c r="E449" s="182">
        <v>42369</v>
      </c>
      <c r="F449" s="222"/>
      <c r="H449" s="114">
        <f>D449</f>
        <v>210958</v>
      </c>
    </row>
    <row r="450" spans="1:8" x14ac:dyDescent="0.15">
      <c r="A450" s="179">
        <v>42367</v>
      </c>
      <c r="B450" s="180">
        <v>42369</v>
      </c>
      <c r="C450" s="181">
        <f>+B450-B449</f>
        <v>3</v>
      </c>
      <c r="D450" s="181">
        <f>ROUNDDOWN($C$447*$B$446*C450/365,0)</f>
        <v>2206849</v>
      </c>
      <c r="E450" s="182">
        <v>42369</v>
      </c>
      <c r="F450" s="354"/>
      <c r="H450" s="114">
        <f>H449+D450</f>
        <v>2417807</v>
      </c>
    </row>
    <row r="451" spans="1:8" x14ac:dyDescent="0.15">
      <c r="A451" s="197">
        <v>42370</v>
      </c>
      <c r="B451" s="198">
        <v>42460</v>
      </c>
      <c r="C451" s="119">
        <f>+B451-B450</f>
        <v>91</v>
      </c>
      <c r="D451" s="119">
        <f>ROUNDDOWN($C$447*$B$447*C451/366,0)-(2658903-D449-D450)</f>
        <v>66517100</v>
      </c>
      <c r="E451" s="178">
        <v>42460</v>
      </c>
      <c r="F451" s="355"/>
      <c r="H451" s="114">
        <f>H450+D451</f>
        <v>68934907</v>
      </c>
    </row>
    <row r="452" spans="1:8" x14ac:dyDescent="0.15">
      <c r="A452" s="197">
        <v>42461</v>
      </c>
      <c r="B452" s="198">
        <v>42551</v>
      </c>
      <c r="C452" s="119">
        <v>91</v>
      </c>
      <c r="D452" s="119">
        <f>ROUNDDOWN(C447*B447*C452/366,0)</f>
        <v>66758196</v>
      </c>
      <c r="E452" s="178">
        <v>42551</v>
      </c>
      <c r="F452" s="355"/>
      <c r="H452" s="114">
        <f>H451+D452</f>
        <v>135693103</v>
      </c>
    </row>
    <row r="453" spans="1:8" x14ac:dyDescent="0.15">
      <c r="A453" s="356">
        <f>B452+1</f>
        <v>42552</v>
      </c>
      <c r="B453" s="356">
        <v>42643</v>
      </c>
      <c r="C453" s="357">
        <f>+B453-B452</f>
        <v>92</v>
      </c>
      <c r="D453" s="357">
        <f>ROUNDDOWN($C$447*$B$447*C453/366,0)</f>
        <v>67491803</v>
      </c>
      <c r="E453" s="358">
        <v>42643</v>
      </c>
      <c r="F453" s="359"/>
      <c r="H453" s="114">
        <f>H452+D453</f>
        <v>203184906</v>
      </c>
    </row>
    <row r="454" spans="1:8" ht="12.75" thickBot="1" x14ac:dyDescent="0.2">
      <c r="C454" s="360">
        <f>SUM(C451:C453)</f>
        <v>274</v>
      </c>
      <c r="D454" s="361">
        <f>SUM(D451:D453)</f>
        <v>200767099</v>
      </c>
    </row>
    <row r="455" spans="1:8" ht="12.75" thickTop="1" x14ac:dyDescent="0.15">
      <c r="A455" s="116"/>
      <c r="B455" s="116"/>
      <c r="C455" s="116"/>
      <c r="D455" s="117"/>
      <c r="E455" s="116"/>
      <c r="F455" s="116"/>
    </row>
    <row r="456" spans="1:8" x14ac:dyDescent="0.15">
      <c r="A456" s="294" t="s">
        <v>220</v>
      </c>
    </row>
    <row r="458" spans="1:8" x14ac:dyDescent="0.15">
      <c r="A458" s="122" t="s">
        <v>217</v>
      </c>
      <c r="B458" s="123" t="s">
        <v>92</v>
      </c>
      <c r="C458" s="123" t="s">
        <v>218</v>
      </c>
      <c r="D458" s="349"/>
      <c r="E458" s="349"/>
      <c r="F458" s="349"/>
    </row>
    <row r="459" spans="1:8" x14ac:dyDescent="0.15">
      <c r="A459" s="171">
        <v>25300000000</v>
      </c>
      <c r="B459" s="126">
        <v>1.2999999999999999E-2</v>
      </c>
      <c r="C459" s="350">
        <v>5060000000</v>
      </c>
      <c r="D459" s="178">
        <v>42521</v>
      </c>
      <c r="E459" s="351" t="s">
        <v>221</v>
      </c>
      <c r="F459" s="119"/>
    </row>
    <row r="460" spans="1:8" x14ac:dyDescent="0.15">
      <c r="A460" s="135" t="s">
        <v>89</v>
      </c>
      <c r="B460" s="136" t="s">
        <v>90</v>
      </c>
      <c r="C460" s="135" t="s">
        <v>91</v>
      </c>
      <c r="D460" s="135" t="s">
        <v>92</v>
      </c>
      <c r="E460" s="137" t="s">
        <v>196</v>
      </c>
      <c r="F460" s="137" t="s">
        <v>94</v>
      </c>
    </row>
    <row r="461" spans="1:8" x14ac:dyDescent="0.15">
      <c r="A461" s="180">
        <v>42521</v>
      </c>
      <c r="B461" s="180">
        <v>42551</v>
      </c>
      <c r="C461" s="181">
        <v>31</v>
      </c>
      <c r="D461" s="181">
        <f>A459*B459*C461/366</f>
        <v>27857650.273224045</v>
      </c>
      <c r="E461" s="182"/>
      <c r="F461" s="362"/>
    </row>
    <row r="462" spans="1:8" s="366" customFormat="1" x14ac:dyDescent="0.15">
      <c r="A462" s="329">
        <v>42552</v>
      </c>
      <c r="B462" s="329">
        <v>42643</v>
      </c>
      <c r="C462" s="330">
        <f>B462-A462+1</f>
        <v>92</v>
      </c>
      <c r="D462" s="330">
        <f>A459*B459*C462/366</f>
        <v>82674316.939890712</v>
      </c>
      <c r="E462" s="331"/>
      <c r="F462" s="363"/>
      <c r="G462" s="364"/>
      <c r="H462" s="365"/>
    </row>
    <row r="463" spans="1:8" x14ac:dyDescent="0.15">
      <c r="C463" s="360">
        <f>SUM(C461:C462)</f>
        <v>123</v>
      </c>
      <c r="D463" s="361">
        <f>SUM(D461:D462)</f>
        <v>110531967.21311475</v>
      </c>
    </row>
    <row r="465" spans="1:2" x14ac:dyDescent="0.15">
      <c r="A465" s="367">
        <v>12568632</v>
      </c>
    </row>
    <row r="466" spans="1:2" x14ac:dyDescent="0.15">
      <c r="A466" s="367">
        <v>207391304</v>
      </c>
    </row>
    <row r="467" spans="1:2" x14ac:dyDescent="0.15">
      <c r="A467" s="367">
        <v>45792349</v>
      </c>
    </row>
    <row r="468" spans="1:2" x14ac:dyDescent="0.15">
      <c r="A468" s="367">
        <v>250000000</v>
      </c>
    </row>
    <row r="469" spans="1:2" x14ac:dyDescent="0.15">
      <c r="A469" s="367">
        <v>67491803</v>
      </c>
    </row>
    <row r="470" spans="1:2" x14ac:dyDescent="0.15">
      <c r="A470" s="367">
        <v>82674317</v>
      </c>
    </row>
    <row r="471" spans="1:2" x14ac:dyDescent="0.15">
      <c r="A471" s="367">
        <v>167500000</v>
      </c>
    </row>
    <row r="472" spans="1:2" x14ac:dyDescent="0.15">
      <c r="A472" s="367">
        <v>55300544</v>
      </c>
      <c r="B472" s="114">
        <f>A472/2</f>
        <v>27650272</v>
      </c>
    </row>
    <row r="473" spans="1:2" x14ac:dyDescent="0.15">
      <c r="A473" s="368">
        <f>SUM(A465:A472)</f>
        <v>888718949</v>
      </c>
      <c r="B473" s="368">
        <f>A473-B472</f>
        <v>861068677</v>
      </c>
    </row>
  </sheetData>
  <phoneticPr fontId="2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13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관리보수</vt:lpstr>
      <vt:lpstr>성과보수</vt:lpstr>
      <vt:lpstr>샘플</vt:lpstr>
      <vt:lpstr>Sheet3</vt:lpstr>
      <vt:lpstr>샘플!Print_Area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dcterms:created xsi:type="dcterms:W3CDTF">2016-11-30T04:45:56Z</dcterms:created>
  <dcterms:modified xsi:type="dcterms:W3CDTF">2016-11-30T08:41:00Z</dcterms:modified>
</cp:coreProperties>
</file>