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865" windowHeight="9030"/>
  </bookViews>
  <sheets>
    <sheet name="VC해산" sheetId="1" r:id="rId1"/>
    <sheet name="CRC해산" sheetId="5" r:id="rId2"/>
    <sheet name="VC조합" sheetId="2" r:id="rId3"/>
    <sheet name="CRC조합" sheetId="3" r:id="rId4"/>
    <sheet name="PEF" sheetId="11" r:id="rId5"/>
    <sheet name="VC해산조합요약" sheetId="8" r:id="rId6"/>
    <sheet name="CRC해산조합요약" sheetId="4" state="hidden" r:id="rId7"/>
    <sheet name="Sheet1" sheetId="6" state="hidden" r:id="rId8"/>
    <sheet name="지대표인터뷰_090917" sheetId="7" state="hidden" r:id="rId9"/>
    <sheet name="Sheet2" sheetId="9" state="hidden" r:id="rId10"/>
    <sheet name="Sheet3" sheetId="12" r:id="rId11"/>
    <sheet name="Sheet4" sheetId="13" r:id="rId12"/>
  </sheets>
  <definedNames>
    <definedName name="_xlnm._FilterDatabase" localSheetId="3" hidden="1">CRC조합!$A$3:$R$230</definedName>
    <definedName name="_xlnm._FilterDatabase" localSheetId="1" hidden="1">CRC해산!$B$3:$AD$179</definedName>
    <definedName name="_xlnm._FilterDatabase" localSheetId="6" hidden="1">CRC해산조합요약!$A$1:$AC$300</definedName>
    <definedName name="_xlnm._FilterDatabase" localSheetId="4" hidden="1">PEF!$A$3:$T$106</definedName>
    <definedName name="_xlnm._FilterDatabase" localSheetId="2" hidden="1">VC조합!$A$3:$X$465</definedName>
    <definedName name="_xlnm._FilterDatabase" localSheetId="0" hidden="1">VC해산!$A$3:$Y$1345</definedName>
    <definedName name="_xlnm._FilterDatabase" localSheetId="5" hidden="1">VC해산조합요약!$A$3:$O$273</definedName>
    <definedName name="_xlnm.Print_Area" localSheetId="3">CRC조합!$A$1:$R$213</definedName>
    <definedName name="_xlnm.Print_Area" localSheetId="1">CRC해산!$A$1:$R$208</definedName>
    <definedName name="_xlnm.Print_Area" localSheetId="6">CRC해산조합요약!$A$1:$G$36</definedName>
    <definedName name="_xlnm.Print_Area" localSheetId="0">VC해산!$A$1:$P$931</definedName>
    <definedName name="_xlnm.Print_Area" localSheetId="5">VC해산조합요약!$A$1:$G$273</definedName>
    <definedName name="_xlnm.Print_Area" localSheetId="8">지대표인터뷰_090917!$A$1:$I$23</definedName>
    <definedName name="_xlnm.Print_Titles" localSheetId="1">CRC해산!$3:$3</definedName>
    <definedName name="_xlnm.Print_Titles" localSheetId="2">VC조합!$3:$3</definedName>
    <definedName name="_xlnm.Print_Titles" localSheetId="0">VC해산!$3:$3</definedName>
    <definedName name="_xlnm.Print_Titles" localSheetId="5">VC해산조합요약!$3:$3</definedName>
  </definedNames>
  <calcPr calcId="152511"/>
</workbook>
</file>

<file path=xl/calcChain.xml><?xml version="1.0" encoding="utf-8"?>
<calcChain xmlns="http://schemas.openxmlformats.org/spreadsheetml/2006/main">
  <c r="S465" i="2" l="1"/>
  <c r="R465" i="2"/>
  <c r="Q465" i="2"/>
  <c r="O465" i="2"/>
  <c r="J465" i="2"/>
  <c r="T453" i="2"/>
  <c r="T452" i="2"/>
  <c r="I453" i="2"/>
  <c r="I452" i="2"/>
  <c r="S454" i="2"/>
  <c r="R454" i="2"/>
  <c r="Q454" i="2"/>
  <c r="T444" i="2"/>
  <c r="T443" i="2"/>
  <c r="T442" i="2"/>
  <c r="I444" i="2"/>
  <c r="I443" i="2"/>
  <c r="I442" i="2"/>
  <c r="Q445" i="2"/>
  <c r="U523" i="2"/>
  <c r="AC488" i="2"/>
  <c r="AD488" i="2" s="1"/>
  <c r="AC484" i="2"/>
  <c r="AD484" i="2" s="1"/>
  <c r="AC480" i="2"/>
  <c r="AD480" i="2" s="1"/>
  <c r="AC470" i="2"/>
  <c r="AD470" i="2" s="1"/>
  <c r="AA470" i="2"/>
  <c r="T464" i="2"/>
  <c r="T463" i="2"/>
  <c r="S462" i="2"/>
  <c r="R462" i="2"/>
  <c r="Q462" i="2"/>
  <c r="P462" i="2"/>
  <c r="O462" i="2"/>
  <c r="J462" i="2"/>
  <c r="T455" i="2"/>
  <c r="T462" i="2" s="1"/>
  <c r="I455" i="2"/>
  <c r="P454" i="2"/>
  <c r="T451" i="2"/>
  <c r="J450" i="2"/>
  <c r="J454" i="2" s="1"/>
  <c r="T448" i="2"/>
  <c r="O448" i="2"/>
  <c r="O454" i="2" s="1"/>
  <c r="T447" i="2"/>
  <c r="T446" i="2"/>
  <c r="S445" i="2"/>
  <c r="P445" i="2"/>
  <c r="T441" i="2"/>
  <c r="J440" i="2"/>
  <c r="T440" i="2" s="1"/>
  <c r="T438" i="2"/>
  <c r="O438" i="2"/>
  <c r="O445" i="2" s="1"/>
  <c r="T437" i="2"/>
  <c r="T436" i="2"/>
  <c r="T435" i="2"/>
  <c r="T434" i="2"/>
  <c r="T433" i="2"/>
  <c r="I433" i="2"/>
  <c r="T432" i="2"/>
  <c r="I432" i="2"/>
  <c r="AB431" i="2"/>
  <c r="AC431" i="2" s="1"/>
  <c r="T431" i="2"/>
  <c r="R431" i="2"/>
  <c r="R445" i="2" s="1"/>
  <c r="T430" i="2"/>
  <c r="S429" i="2"/>
  <c r="R429" i="2"/>
  <c r="Q429" i="2"/>
  <c r="J429" i="2"/>
  <c r="T428" i="2"/>
  <c r="O428" i="2"/>
  <c r="T427" i="2"/>
  <c r="O427" i="2"/>
  <c r="I427" i="2"/>
  <c r="O426" i="2"/>
  <c r="I426" i="2"/>
  <c r="T425" i="2"/>
  <c r="O425" i="2"/>
  <c r="I425" i="2"/>
  <c r="T424" i="2"/>
  <c r="O424" i="2"/>
  <c r="O422" i="2"/>
  <c r="O421" i="2"/>
  <c r="O420" i="2"/>
  <c r="O419" i="2"/>
  <c r="AC418" i="2"/>
  <c r="AD418" i="2" s="1"/>
  <c r="T418" i="2"/>
  <c r="O418" i="2"/>
  <c r="T417" i="2"/>
  <c r="O417" i="2"/>
  <c r="AC416" i="2"/>
  <c r="AD416" i="2" s="1"/>
  <c r="T416" i="2"/>
  <c r="O416" i="2"/>
  <c r="T415" i="2"/>
  <c r="O415" i="2"/>
  <c r="T414" i="2"/>
  <c r="O414" i="2"/>
  <c r="T413" i="2"/>
  <c r="AC476" i="2" s="1"/>
  <c r="AD476" i="2" s="1"/>
  <c r="O413" i="2"/>
  <c r="T412" i="2"/>
  <c r="AC473" i="2" s="1"/>
  <c r="AD473" i="2" s="1"/>
  <c r="O412" i="2"/>
  <c r="O411" i="2"/>
  <c r="O410" i="2"/>
  <c r="N410" i="2" s="1"/>
  <c r="O409" i="2"/>
  <c r="O408" i="2"/>
  <c r="N408" i="2" s="1"/>
  <c r="T407" i="2"/>
  <c r="O407" i="2"/>
  <c r="O406" i="2"/>
  <c r="O405" i="2"/>
  <c r="O404" i="2"/>
  <c r="T403" i="2"/>
  <c r="O403" i="2"/>
  <c r="T402" i="2"/>
  <c r="O402" i="2"/>
  <c r="O401" i="2"/>
  <c r="O400" i="2"/>
  <c r="O399" i="2"/>
  <c r="O398" i="2"/>
  <c r="O397" i="2"/>
  <c r="AC396" i="2"/>
  <c r="AD396" i="2" s="1"/>
  <c r="O396" i="2"/>
  <c r="O395" i="2"/>
  <c r="O394" i="2"/>
  <c r="AC393" i="2"/>
  <c r="AD393" i="2" s="1"/>
  <c r="O393" i="2"/>
  <c r="O392" i="2"/>
  <c r="AA391" i="2"/>
  <c r="AC391" i="2" s="1"/>
  <c r="AE391" i="2" s="1"/>
  <c r="T391" i="2"/>
  <c r="O391" i="2"/>
  <c r="O390" i="2"/>
  <c r="O389" i="2"/>
  <c r="O388" i="2"/>
  <c r="O387" i="2"/>
  <c r="AC386" i="2"/>
  <c r="AD386" i="2" s="1"/>
  <c r="T386" i="2"/>
  <c r="O386" i="2"/>
  <c r="N386" i="2" s="1"/>
  <c r="O385" i="2"/>
  <c r="O384" i="2"/>
  <c r="I384" i="2"/>
  <c r="O383" i="2"/>
  <c r="T382" i="2"/>
  <c r="O382" i="2"/>
  <c r="O381" i="2"/>
  <c r="T380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T356" i="2"/>
  <c r="O356" i="2"/>
  <c r="S355" i="2"/>
  <c r="Q355" i="2"/>
  <c r="P355" i="2"/>
  <c r="K355" i="2"/>
  <c r="I354" i="2"/>
  <c r="T353" i="2"/>
  <c r="I353" i="2"/>
  <c r="T352" i="2"/>
  <c r="R352" i="2"/>
  <c r="O350" i="2"/>
  <c r="O349" i="2"/>
  <c r="O348" i="2"/>
  <c r="T347" i="2"/>
  <c r="T346" i="2"/>
  <c r="R345" i="2"/>
  <c r="R344" i="2"/>
  <c r="R343" i="2"/>
  <c r="T342" i="2"/>
  <c r="R342" i="2"/>
  <c r="T341" i="2"/>
  <c r="T340" i="2"/>
  <c r="R339" i="2"/>
  <c r="R338" i="2"/>
  <c r="T337" i="2"/>
  <c r="R337" i="2"/>
  <c r="T336" i="2"/>
  <c r="T335" i="2"/>
  <c r="AD331" i="2"/>
  <c r="AC326" i="2"/>
  <c r="AD326" i="2" s="1"/>
  <c r="AC324" i="2"/>
  <c r="AD324" i="2" s="1"/>
  <c r="AA321" i="2"/>
  <c r="AC321" i="2" s="1"/>
  <c r="AD321" i="2" s="1"/>
  <c r="AC318" i="2"/>
  <c r="AD318" i="2" s="1"/>
  <c r="AC315" i="2"/>
  <c r="AD315" i="2" s="1"/>
  <c r="T311" i="2"/>
  <c r="J310" i="2"/>
  <c r="T308" i="2" s="1"/>
  <c r="I309" i="2"/>
  <c r="AC295" i="2"/>
  <c r="AD295" i="2" s="1"/>
  <c r="T294" i="2"/>
  <c r="T293" i="2"/>
  <c r="T292" i="2"/>
  <c r="T291" i="2"/>
  <c r="R291" i="2"/>
  <c r="T290" i="2"/>
  <c r="S289" i="2"/>
  <c r="P289" i="2"/>
  <c r="O289" i="2"/>
  <c r="K289" i="2"/>
  <c r="J289" i="2"/>
  <c r="T288" i="2"/>
  <c r="T285" i="2"/>
  <c r="AD282" i="2"/>
  <c r="T281" i="2"/>
  <c r="R280" i="2"/>
  <c r="N280" i="2"/>
  <c r="M277" i="2"/>
  <c r="N277" i="2" s="1"/>
  <c r="Q276" i="2"/>
  <c r="N276" i="2"/>
  <c r="Q271" i="2"/>
  <c r="R271" i="2" s="1"/>
  <c r="M271" i="2"/>
  <c r="N271" i="2" s="1"/>
  <c r="AD269" i="2"/>
  <c r="AA269" i="2"/>
  <c r="AB269" i="2" s="1"/>
  <c r="AB268" i="2"/>
  <c r="AD264" i="2"/>
  <c r="AA264" i="2"/>
  <c r="AB264" i="2" s="1"/>
  <c r="AD259" i="2"/>
  <c r="AC256" i="2"/>
  <c r="AD256" i="2" s="1"/>
  <c r="T251" i="2"/>
  <c r="T250" i="2"/>
  <c r="R250" i="2"/>
  <c r="N250" i="2"/>
  <c r="S249" i="2"/>
  <c r="Q249" i="2"/>
  <c r="P249" i="2"/>
  <c r="J249" i="2"/>
  <c r="R248" i="2"/>
  <c r="R247" i="2"/>
  <c r="R246" i="2"/>
  <c r="T244" i="2"/>
  <c r="T243" i="2"/>
  <c r="T242" i="2"/>
  <c r="AC252" i="2" s="1"/>
  <c r="AD252" i="2" s="1"/>
  <c r="R241" i="2"/>
  <c r="N241" i="2"/>
  <c r="T239" i="2"/>
  <c r="AC250" i="2" s="1"/>
  <c r="AD250" i="2" s="1"/>
  <c r="R238" i="2"/>
  <c r="R237" i="2"/>
  <c r="T236" i="2"/>
  <c r="AC243" i="2" s="1"/>
  <c r="AD243" i="2" s="1"/>
  <c r="T235" i="2"/>
  <c r="AC239" i="2" s="1"/>
  <c r="AD239" i="2" s="1"/>
  <c r="AC234" i="2"/>
  <c r="AD234" i="2" s="1"/>
  <c r="U221" i="2" s="1"/>
  <c r="T234" i="2"/>
  <c r="R234" i="2"/>
  <c r="N234" i="2"/>
  <c r="O233" i="2"/>
  <c r="O249" i="2" s="1"/>
  <c r="T221" i="2"/>
  <c r="AK220" i="2"/>
  <c r="AL220" i="2" s="1"/>
  <c r="AD220" i="2"/>
  <c r="U220" i="2" s="1"/>
  <c r="AB220" i="2"/>
  <c r="T220" i="2"/>
  <c r="R220" i="2"/>
  <c r="N220" i="2"/>
  <c r="O219" i="2"/>
  <c r="R218" i="2"/>
  <c r="R219" i="2" s="1"/>
  <c r="AC206" i="2"/>
  <c r="AD206" i="2" s="1"/>
  <c r="T206" i="2"/>
  <c r="T205" i="2"/>
  <c r="AC204" i="2"/>
  <c r="AD204" i="2" s="1"/>
  <c r="T203" i="2"/>
  <c r="S202" i="2"/>
  <c r="Q202" i="2"/>
  <c r="P202" i="2"/>
  <c r="O202" i="2"/>
  <c r="J202" i="2"/>
  <c r="T201" i="2"/>
  <c r="R201" i="2"/>
  <c r="AC200" i="2"/>
  <c r="AD200" i="2" s="1"/>
  <c r="R197" i="2"/>
  <c r="T187" i="2"/>
  <c r="T186" i="2"/>
  <c r="AD185" i="2"/>
  <c r="T184" i="2"/>
  <c r="S183" i="2"/>
  <c r="Q183" i="2"/>
  <c r="P183" i="2"/>
  <c r="O183" i="2"/>
  <c r="J183" i="2"/>
  <c r="AC182" i="2"/>
  <c r="AD182" i="2" s="1"/>
  <c r="T182" i="2"/>
  <c r="R181" i="2"/>
  <c r="R180" i="2"/>
  <c r="R179" i="2"/>
  <c r="T178" i="2"/>
  <c r="R178" i="2"/>
  <c r="T177" i="2"/>
  <c r="R176" i="2"/>
  <c r="R175" i="2"/>
  <c r="R174" i="2"/>
  <c r="AC172" i="2"/>
  <c r="AD172" i="2" s="1"/>
  <c r="T172" i="2"/>
  <c r="AJ171" i="2"/>
  <c r="AK171" i="2" s="1"/>
  <c r="T171" i="2"/>
  <c r="T168" i="2"/>
  <c r="AC167" i="2"/>
  <c r="AD167" i="2" s="1"/>
  <c r="T167" i="2"/>
  <c r="T166" i="2"/>
  <c r="R166" i="2"/>
  <c r="T165" i="2"/>
  <c r="T153" i="2"/>
  <c r="T151" i="2"/>
  <c r="T465" i="2" l="1"/>
  <c r="J445" i="2"/>
  <c r="T445" i="2"/>
  <c r="T183" i="2"/>
  <c r="R355" i="2"/>
  <c r="O355" i="2"/>
  <c r="O429" i="2"/>
  <c r="U429" i="2" s="1"/>
  <c r="T450" i="2"/>
  <c r="T454" i="2" s="1"/>
  <c r="T202" i="2"/>
  <c r="R202" i="2"/>
  <c r="T429" i="2"/>
  <c r="AC292" i="2"/>
  <c r="AD292" i="2" s="1"/>
  <c r="R183" i="2"/>
  <c r="T249" i="2"/>
  <c r="T289" i="2"/>
  <c r="T355" i="2"/>
  <c r="P379" i="2"/>
  <c r="P429" i="2" s="1"/>
  <c r="Q277" i="2"/>
  <c r="R277" i="2" s="1"/>
  <c r="R276" i="2"/>
  <c r="J355" i="2"/>
  <c r="AD391" i="2"/>
  <c r="R233" i="2"/>
  <c r="R249" i="2" s="1"/>
  <c r="R289" i="2" l="1"/>
  <c r="J468" i="2"/>
  <c r="Q289" i="2"/>
  <c r="L144" i="11" l="1"/>
  <c r="N143" i="11"/>
  <c r="L149" i="11" l="1"/>
  <c r="N148" i="11"/>
  <c r="N127" i="11"/>
  <c r="L209" i="3"/>
  <c r="N206" i="3"/>
  <c r="G100" i="11" l="1"/>
  <c r="F282" i="11" l="1"/>
  <c r="F281" i="11"/>
  <c r="F280" i="11"/>
  <c r="F279" i="11"/>
  <c r="F278" i="11"/>
  <c r="F277" i="11"/>
  <c r="F276" i="11"/>
  <c r="F275" i="11"/>
  <c r="F274" i="11"/>
  <c r="F273" i="11"/>
  <c r="F272" i="11"/>
  <c r="F271" i="11"/>
  <c r="F270" i="11"/>
  <c r="F269" i="11"/>
  <c r="F267" i="11"/>
  <c r="F266" i="11"/>
  <c r="F265" i="11"/>
  <c r="F264" i="11"/>
  <c r="F263" i="11"/>
  <c r="F262" i="11"/>
  <c r="F261" i="11"/>
  <c r="G258" i="11"/>
  <c r="H285" i="11" s="1"/>
  <c r="H227" i="11"/>
  <c r="L87" i="3" l="1"/>
  <c r="P68" i="3"/>
  <c r="N80" i="3"/>
  <c r="M209" i="3"/>
  <c r="L176" i="3"/>
  <c r="O176" i="3"/>
  <c r="N175" i="3"/>
  <c r="N197" i="3"/>
  <c r="N205" i="3"/>
  <c r="M100" i="11"/>
  <c r="L100" i="11"/>
  <c r="P97" i="11"/>
  <c r="P100" i="11" s="1"/>
  <c r="N98" i="11"/>
  <c r="M149" i="11"/>
  <c r="G149" i="11"/>
  <c r="N147" i="11"/>
  <c r="N140" i="11"/>
  <c r="M81" i="11"/>
  <c r="P80" i="11" s="1"/>
  <c r="L156" i="11" l="1"/>
  <c r="M156" i="11" s="1"/>
  <c r="K155" i="11"/>
  <c r="K154" i="11"/>
  <c r="L81" i="11"/>
  <c r="N81" i="11" s="1"/>
  <c r="G242" i="11" l="1"/>
  <c r="H242" i="11" s="1"/>
  <c r="F241" i="11"/>
  <c r="F240" i="11"/>
  <c r="G243" i="11" l="1"/>
  <c r="H243" i="11" s="1"/>
  <c r="L129" i="11"/>
  <c r="N126" i="11"/>
  <c r="M69" i="11" l="1"/>
  <c r="N84" i="11" l="1"/>
  <c r="L85" i="11"/>
  <c r="R178" i="5"/>
  <c r="R158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O163" i="5"/>
  <c r="P163" i="5" s="1"/>
  <c r="M163" i="5"/>
  <c r="O162" i="5"/>
  <c r="P162" i="5" s="1"/>
  <c r="M162" i="5"/>
  <c r="P161" i="5"/>
  <c r="O160" i="5"/>
  <c r="N160" i="5"/>
  <c r="O159" i="5"/>
  <c r="N159" i="5"/>
  <c r="N179" i="5" s="1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I166" i="5"/>
  <c r="I165" i="5"/>
  <c r="I164" i="5"/>
  <c r="I160" i="5"/>
  <c r="I159" i="5"/>
  <c r="O1093" i="1"/>
  <c r="N1093" i="1"/>
  <c r="M1093" i="1"/>
  <c r="H1093" i="1"/>
  <c r="P1091" i="1"/>
  <c r="P1077" i="1"/>
  <c r="P1092" i="1"/>
  <c r="P1080" i="1"/>
  <c r="P1079" i="1"/>
  <c r="P1074" i="1"/>
  <c r="P1059" i="1"/>
  <c r="P1057" i="1"/>
  <c r="P1046" i="1"/>
  <c r="P1040" i="1"/>
  <c r="P1038" i="1"/>
  <c r="P1034" i="1"/>
  <c r="P1033" i="1"/>
  <c r="P1027" i="1"/>
  <c r="P1008" i="1"/>
  <c r="P1005" i="1"/>
  <c r="P990" i="1"/>
  <c r="P978" i="1"/>
  <c r="P971" i="1"/>
  <c r="P963" i="1"/>
  <c r="P960" i="1"/>
  <c r="P957" i="1"/>
  <c r="H1078" i="1"/>
  <c r="M1078" i="1"/>
  <c r="N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R1093" i="1"/>
  <c r="R174" i="5" l="1"/>
  <c r="O179" i="5"/>
  <c r="R163" i="5"/>
  <c r="R179" i="5" s="1"/>
  <c r="I179" i="5"/>
  <c r="P160" i="5"/>
  <c r="P159" i="5"/>
  <c r="P1093" i="1"/>
  <c r="O1078" i="1"/>
  <c r="P1078" i="1"/>
  <c r="F70" i="11"/>
  <c r="P179" i="5" l="1"/>
  <c r="AJ29" i="11"/>
  <c r="AH27" i="11"/>
  <c r="G235" i="11" l="1"/>
  <c r="E233" i="11"/>
  <c r="L31" i="12" l="1"/>
  <c r="G144" i="11"/>
  <c r="P139" i="11"/>
  <c r="M144" i="11"/>
  <c r="N142" i="11"/>
  <c r="G138" i="11"/>
  <c r="F84" i="11" l="1"/>
  <c r="J122" i="11" l="1"/>
  <c r="E115" i="11"/>
  <c r="P91" i="3" l="1"/>
  <c r="N202" i="3"/>
  <c r="N203" i="3"/>
  <c r="N204" i="3"/>
  <c r="M106" i="11"/>
  <c r="L106" i="11"/>
  <c r="A106" i="11"/>
  <c r="AD105" i="11"/>
  <c r="U105" i="11"/>
  <c r="U106" i="11" s="1"/>
  <c r="P105" i="11"/>
  <c r="P106" i="11" s="1"/>
  <c r="N105" i="11"/>
  <c r="N106" i="11" s="1"/>
  <c r="G106" i="11"/>
  <c r="L94" i="11" l="1"/>
  <c r="N91" i="11" l="1"/>
  <c r="N92" i="11"/>
  <c r="N93" i="11"/>
  <c r="M94" i="11"/>
  <c r="N125" i="11" l="1"/>
  <c r="E138" i="11" l="1"/>
  <c r="F136" i="11"/>
  <c r="M104" i="11"/>
  <c r="L104" i="11"/>
  <c r="A104" i="11"/>
  <c r="AD103" i="11"/>
  <c r="U103" i="11"/>
  <c r="U104" i="11" s="1"/>
  <c r="N103" i="11"/>
  <c r="N104" i="11" s="1"/>
  <c r="G103" i="11"/>
  <c r="G104" i="11" s="1"/>
  <c r="G101" i="11"/>
  <c r="G102" i="11" s="1"/>
  <c r="A102" i="11"/>
  <c r="M102" i="11"/>
  <c r="L102" i="11"/>
  <c r="AD101" i="11"/>
  <c r="U101" i="11"/>
  <c r="U102" i="11" s="1"/>
  <c r="N101" i="11"/>
  <c r="N102" i="11" s="1"/>
  <c r="P103" i="11" l="1"/>
  <c r="P104" i="11" s="1"/>
  <c r="P101" i="11"/>
  <c r="P102" i="11" s="1"/>
  <c r="N146" i="11"/>
  <c r="U145" i="11"/>
  <c r="U149" i="11" s="1"/>
  <c r="P145" i="11"/>
  <c r="P149" i="11" s="1"/>
  <c r="N145" i="11"/>
  <c r="N149" i="11" s="1"/>
  <c r="F145" i="11"/>
  <c r="N97" i="11"/>
  <c r="N100" i="11" s="1"/>
  <c r="N139" i="11"/>
  <c r="N144" i="11" s="1"/>
  <c r="N141" i="11"/>
  <c r="N128" i="11"/>
  <c r="N124" i="11"/>
  <c r="N123" i="11"/>
  <c r="N122" i="11"/>
  <c r="N121" i="11"/>
  <c r="N120" i="11"/>
  <c r="N119" i="11"/>
  <c r="N118" i="11"/>
  <c r="N117" i="11"/>
  <c r="N116" i="11"/>
  <c r="N115" i="11"/>
  <c r="N158" i="3" l="1"/>
  <c r="M60" i="11" l="1"/>
  <c r="N60" i="11" s="1"/>
  <c r="K60" i="11"/>
  <c r="M59" i="11"/>
  <c r="N59" i="11" s="1"/>
  <c r="K59" i="11"/>
  <c r="P198" i="3" l="1"/>
  <c r="P81" i="3" l="1"/>
  <c r="F81" i="3"/>
  <c r="F198" i="3"/>
  <c r="AK86" i="11" l="1"/>
  <c r="AI84" i="11"/>
  <c r="AK82" i="11"/>
  <c r="AJ76" i="11"/>
  <c r="AK77" i="11" s="1"/>
  <c r="AJ46" i="11"/>
  <c r="AF52" i="11"/>
  <c r="AJ52" i="11" s="1"/>
  <c r="AG52" i="11"/>
  <c r="AH52" i="11" s="1"/>
  <c r="AH51" i="11"/>
  <c r="AH48" i="11"/>
  <c r="AG46" i="11"/>
  <c r="AH46" i="11" s="1"/>
  <c r="AH45" i="11"/>
  <c r="AA51" i="11"/>
  <c r="AA50" i="11"/>
  <c r="AA49" i="11"/>
  <c r="AA48" i="11"/>
  <c r="AA47" i="11"/>
  <c r="AA46" i="11"/>
  <c r="AA45" i="11"/>
  <c r="AA44" i="11"/>
  <c r="AA43" i="11"/>
  <c r="AA42" i="11"/>
  <c r="AA41" i="11"/>
  <c r="AA40" i="11"/>
  <c r="AA39" i="11"/>
  <c r="AA38" i="11"/>
  <c r="AA36" i="11"/>
  <c r="AA35" i="11"/>
  <c r="AA34" i="11"/>
  <c r="AA33" i="11"/>
  <c r="AA32" i="11"/>
  <c r="AA31" i="11"/>
  <c r="AA30" i="11"/>
  <c r="AB27" i="11"/>
  <c r="AC54" i="11" s="1"/>
  <c r="W201" i="3"/>
  <c r="X200" i="3" s="1"/>
  <c r="X184" i="3"/>
  <c r="X180" i="3"/>
  <c r="AC104" i="3"/>
  <c r="AC92" i="3"/>
  <c r="X161" i="3"/>
  <c r="AC138" i="3"/>
  <c r="X136" i="3"/>
  <c r="AC122" i="3"/>
  <c r="AC116" i="3"/>
  <c r="X118" i="3"/>
  <c r="X115" i="3"/>
  <c r="AC11" i="3"/>
  <c r="X67" i="3"/>
  <c r="AC63" i="3"/>
  <c r="AC39" i="3"/>
  <c r="AC33" i="3"/>
  <c r="X45" i="3"/>
  <c r="X40" i="3"/>
  <c r="X36" i="3"/>
  <c r="X32" i="3"/>
  <c r="P128" i="11" l="1"/>
  <c r="M129" i="11"/>
  <c r="G129" i="11"/>
  <c r="F128" i="11"/>
  <c r="P115" i="11"/>
  <c r="P129" i="11" s="1"/>
  <c r="N129" i="11"/>
  <c r="H34" i="12" l="1"/>
  <c r="F34" i="12"/>
  <c r="I33" i="12"/>
  <c r="H33" i="12"/>
  <c r="G33" i="12"/>
  <c r="F33" i="12"/>
  <c r="E33" i="12"/>
  <c r="D33" i="12"/>
  <c r="C33" i="12"/>
  <c r="C28" i="12"/>
  <c r="AB380" i="1"/>
  <c r="AA378" i="1"/>
  <c r="AA377" i="1"/>
  <c r="AA376" i="1"/>
  <c r="AA375" i="1"/>
  <c r="AB374" i="1"/>
  <c r="AA367" i="1"/>
  <c r="Z367" i="1" s="1"/>
  <c r="AA366" i="1"/>
  <c r="AB365" i="1"/>
  <c r="AB362" i="1"/>
  <c r="Z362" i="1"/>
  <c r="AA360" i="1"/>
  <c r="AB360" i="1" s="1"/>
  <c r="Y340" i="1"/>
  <c r="AA337" i="1"/>
  <c r="AB337" i="1" s="1"/>
  <c r="AA335" i="1"/>
  <c r="AA334" i="1"/>
  <c r="AB335" i="1" s="1"/>
  <c r="Z333" i="1"/>
  <c r="AA332" i="1"/>
  <c r="AB333" i="1" s="1"/>
  <c r="AA330" i="1"/>
  <c r="Y330" i="1"/>
  <c r="AA329" i="1"/>
  <c r="AA328" i="1"/>
  <c r="AA326" i="1"/>
  <c r="AA325" i="1"/>
  <c r="AB327" i="1" s="1"/>
  <c r="AB170" i="1"/>
  <c r="AB168" i="1"/>
  <c r="AA168" i="1"/>
  <c r="AB166" i="1"/>
  <c r="AB164" i="1"/>
  <c r="AB162" i="1"/>
  <c r="AA161" i="1"/>
  <c r="AA160" i="1"/>
  <c r="AB160" i="1" s="1"/>
  <c r="AB158" i="1"/>
  <c r="AA156" i="1"/>
  <c r="AB156" i="1" s="1"/>
  <c r="AB154" i="1"/>
  <c r="AA150" i="1"/>
  <c r="AB150" i="1" s="1"/>
  <c r="AA147" i="1"/>
  <c r="AB148" i="1" s="1"/>
  <c r="AA146" i="1"/>
  <c r="AB146" i="1" s="1"/>
  <c r="AB144" i="1"/>
  <c r="AA142" i="1"/>
  <c r="AA141" i="1"/>
  <c r="AA140" i="1"/>
  <c r="AA139" i="1"/>
  <c r="AA138" i="1"/>
  <c r="AA136" i="1"/>
  <c r="AB137" i="1" s="1"/>
  <c r="AA134" i="1"/>
  <c r="AA133" i="1"/>
  <c r="AA131" i="1"/>
  <c r="AB132" i="1" s="1"/>
  <c r="AA129" i="1"/>
  <c r="AA128" i="1"/>
  <c r="AA127" i="1"/>
  <c r="AA125" i="1"/>
  <c r="AB126" i="1" s="1"/>
  <c r="AA123" i="1"/>
  <c r="AA122" i="1"/>
  <c r="AA120" i="1"/>
  <c r="AB121" i="1" s="1"/>
  <c r="AA116" i="1"/>
  <c r="AA115" i="1"/>
  <c r="AA114" i="1"/>
  <c r="AA113" i="1"/>
  <c r="AA112" i="1"/>
  <c r="AA110" i="1"/>
  <c r="AB111" i="1" s="1"/>
  <c r="AA109" i="1"/>
  <c r="AA108" i="1"/>
  <c r="AA107" i="1"/>
  <c r="AA106" i="1"/>
  <c r="AA105" i="1"/>
  <c r="AA103" i="1"/>
  <c r="AA102" i="1"/>
  <c r="AA66" i="1"/>
  <c r="AA65" i="1"/>
  <c r="AA64" i="1"/>
  <c r="AA63" i="1"/>
  <c r="AA61" i="1"/>
  <c r="AA60" i="1"/>
  <c r="AA59" i="1"/>
  <c r="AA58" i="1"/>
  <c r="AA50" i="1"/>
  <c r="AA57" i="1"/>
  <c r="AA56" i="1"/>
  <c r="AA55" i="1"/>
  <c r="AA54" i="1"/>
  <c r="AA53" i="1"/>
  <c r="AA52" i="1"/>
  <c r="AA51" i="1"/>
  <c r="AD111" i="11"/>
  <c r="AE111" i="11" s="1"/>
  <c r="AD108" i="11"/>
  <c r="AE108" i="11" s="1"/>
  <c r="AD88" i="11"/>
  <c r="AD85" i="11"/>
  <c r="AE85" i="11" s="1"/>
  <c r="AC82" i="11"/>
  <c r="AC80" i="11"/>
  <c r="AD76" i="11"/>
  <c r="AC76" i="11" s="1"/>
  <c r="AB62" i="11"/>
  <c r="AD62" i="11" s="1"/>
  <c r="AE62" i="11" s="1"/>
  <c r="AI211" i="3"/>
  <c r="AJ211" i="3" s="1"/>
  <c r="AI200" i="3"/>
  <c r="AJ200" i="3" s="1"/>
  <c r="AH198" i="3"/>
  <c r="AH177" i="3"/>
  <c r="AI177" i="3" s="1"/>
  <c r="AH92" i="3"/>
  <c r="AI92" i="3" s="1"/>
  <c r="AH89" i="3"/>
  <c r="AI89" i="3" s="1"/>
  <c r="AH87" i="3"/>
  <c r="AI87" i="3" s="1"/>
  <c r="AG85" i="3"/>
  <c r="AI84" i="3"/>
  <c r="AH67" i="3"/>
  <c r="AI68" i="3" s="1"/>
  <c r="AH65" i="3"/>
  <c r="AI66" i="3" s="1"/>
  <c r="AH36" i="3"/>
  <c r="AH38" i="3" s="1"/>
  <c r="AB367" i="1" l="1"/>
  <c r="AD78" i="11"/>
  <c r="Z330" i="1"/>
  <c r="AB124" i="1"/>
  <c r="AB142" i="1"/>
  <c r="AB378" i="1"/>
  <c r="AB119" i="1"/>
  <c r="AB57" i="1"/>
  <c r="AB59" i="1"/>
  <c r="AB62" i="1"/>
  <c r="AB65" i="1"/>
  <c r="AB104" i="1"/>
  <c r="AB109" i="1"/>
  <c r="AB113" i="1"/>
  <c r="AB130" i="1"/>
  <c r="AB135" i="1"/>
  <c r="AE78" i="11"/>
  <c r="M114" i="11"/>
  <c r="N69" i="11" l="1"/>
  <c r="J69" i="11"/>
  <c r="K69" i="11" s="1"/>
  <c r="J75" i="11"/>
  <c r="K75" i="11" s="1"/>
  <c r="M74" i="11"/>
  <c r="M75" i="11" s="1"/>
  <c r="N75" i="11" s="1"/>
  <c r="K74" i="11"/>
  <c r="N73" i="11"/>
  <c r="N72" i="11"/>
  <c r="N82" i="11"/>
  <c r="N74" i="11" l="1"/>
  <c r="I230" i="11"/>
  <c r="G229" i="11"/>
  <c r="G216" i="11"/>
  <c r="H215" i="11"/>
  <c r="F215" i="11"/>
  <c r="F214" i="11"/>
  <c r="F213" i="11"/>
  <c r="F212" i="11"/>
  <c r="F211" i="11"/>
  <c r="F210" i="11"/>
  <c r="F209" i="11"/>
  <c r="F208" i="11"/>
  <c r="F207" i="11"/>
  <c r="F206" i="11"/>
  <c r="F205" i="11"/>
  <c r="F204" i="11"/>
  <c r="F203" i="11"/>
  <c r="F202" i="11"/>
  <c r="F201" i="11"/>
  <c r="F200" i="11"/>
  <c r="F199" i="11"/>
  <c r="F198" i="11"/>
  <c r="F197" i="11"/>
  <c r="F196" i="11"/>
  <c r="F195" i="11"/>
  <c r="F194" i="11"/>
  <c r="H181" i="11"/>
  <c r="F181" i="11"/>
  <c r="L177" i="11"/>
  <c r="H175" i="11"/>
  <c r="F174" i="11"/>
  <c r="H173" i="11"/>
  <c r="L172" i="11"/>
  <c r="G170" i="11"/>
  <c r="H171" i="11" s="1"/>
  <c r="K168" i="11"/>
  <c r="K170" i="11" s="1"/>
  <c r="J168" i="11"/>
  <c r="L168" i="11" s="1"/>
  <c r="H166" i="11"/>
  <c r="F164" i="11"/>
  <c r="S144" i="11"/>
  <c r="S149" i="11" s="1"/>
  <c r="R144" i="11"/>
  <c r="R149" i="11" s="1"/>
  <c r="Q144" i="11"/>
  <c r="Q149" i="11" s="1"/>
  <c r="U139" i="11"/>
  <c r="U144" i="11" s="1"/>
  <c r="P144" i="11"/>
  <c r="F139" i="11"/>
  <c r="N138" i="11"/>
  <c r="M138" i="11"/>
  <c r="L138" i="11"/>
  <c r="F132" i="11"/>
  <c r="P130" i="11"/>
  <c r="P138" i="11" s="1"/>
  <c r="F130" i="11"/>
  <c r="L113" i="11"/>
  <c r="L114" i="11" s="1"/>
  <c r="N112" i="11"/>
  <c r="G112" i="11"/>
  <c r="U97" i="11"/>
  <c r="U100" i="11" s="1"/>
  <c r="N96" i="11"/>
  <c r="M96" i="11"/>
  <c r="L96" i="11"/>
  <c r="G96" i="11"/>
  <c r="P95" i="11"/>
  <c r="P96" i="11" s="1"/>
  <c r="E95" i="11"/>
  <c r="N90" i="11"/>
  <c r="N89" i="11"/>
  <c r="N88" i="11"/>
  <c r="N87" i="11"/>
  <c r="G87" i="11"/>
  <c r="G94" i="11" s="1"/>
  <c r="N86" i="11"/>
  <c r="P84" i="11"/>
  <c r="P83" i="11"/>
  <c r="P82" i="11"/>
  <c r="F82" i="11"/>
  <c r="AD83" i="11"/>
  <c r="AE83" i="11" s="1"/>
  <c r="N80" i="11"/>
  <c r="K80" i="11"/>
  <c r="F80" i="11"/>
  <c r="M79" i="11"/>
  <c r="P79" i="11" s="1"/>
  <c r="G78" i="11"/>
  <c r="G85" i="11" s="1"/>
  <c r="O77" i="11"/>
  <c r="M77" i="11"/>
  <c r="L77" i="11"/>
  <c r="N76" i="11"/>
  <c r="G76" i="11"/>
  <c r="F76" i="11" s="1"/>
  <c r="P75" i="11"/>
  <c r="F72" i="11"/>
  <c r="N68" i="11"/>
  <c r="N67" i="11"/>
  <c r="N66" i="11"/>
  <c r="N65" i="11"/>
  <c r="N64" i="11"/>
  <c r="N63" i="11"/>
  <c r="N62" i="11"/>
  <c r="N61" i="11"/>
  <c r="N58" i="11"/>
  <c r="N57" i="11"/>
  <c r="N56" i="11"/>
  <c r="N55" i="11"/>
  <c r="N54" i="11"/>
  <c r="K54" i="11"/>
  <c r="N53" i="11"/>
  <c r="K53" i="11"/>
  <c r="N52" i="11"/>
  <c r="K52" i="11"/>
  <c r="N51" i="11"/>
  <c r="K51" i="11"/>
  <c r="N50" i="11"/>
  <c r="K50" i="11"/>
  <c r="N49" i="11"/>
  <c r="K49" i="11"/>
  <c r="N48" i="11"/>
  <c r="K48" i="11"/>
  <c r="N47" i="11"/>
  <c r="K47" i="11"/>
  <c r="N46" i="11"/>
  <c r="K46" i="11"/>
  <c r="N45" i="11"/>
  <c r="K45" i="11"/>
  <c r="N44" i="11"/>
  <c r="K44" i="11"/>
  <c r="N43" i="11"/>
  <c r="K43" i="11"/>
  <c r="N42" i="11"/>
  <c r="K42" i="11"/>
  <c r="N41" i="11"/>
  <c r="K41" i="11"/>
  <c r="N40" i="11"/>
  <c r="N39" i="11"/>
  <c r="K39" i="11"/>
  <c r="N38" i="11"/>
  <c r="K38" i="11"/>
  <c r="N37" i="11"/>
  <c r="K37" i="11"/>
  <c r="N36" i="11"/>
  <c r="K36" i="11"/>
  <c r="N35" i="11"/>
  <c r="K35" i="11"/>
  <c r="N34" i="11"/>
  <c r="K34" i="11"/>
  <c r="N33" i="11"/>
  <c r="K33" i="11"/>
  <c r="N32" i="11"/>
  <c r="N31" i="11"/>
  <c r="G31" i="11"/>
  <c r="P31" i="11" s="1"/>
  <c r="O30" i="11"/>
  <c r="M30" i="11"/>
  <c r="L30" i="11"/>
  <c r="G30" i="11"/>
  <c r="N29" i="11"/>
  <c r="P28" i="11"/>
  <c r="P30" i="11" s="1"/>
  <c r="N28" i="11"/>
  <c r="F28" i="11"/>
  <c r="O27" i="11"/>
  <c r="L27" i="11"/>
  <c r="G27" i="11"/>
  <c r="N26" i="11"/>
  <c r="K26" i="11"/>
  <c r="N25" i="11"/>
  <c r="K25" i="11"/>
  <c r="N24" i="11"/>
  <c r="K24" i="11"/>
  <c r="N23" i="11"/>
  <c r="K23" i="11"/>
  <c r="N22" i="11"/>
  <c r="K22" i="11"/>
  <c r="N21" i="11"/>
  <c r="K21" i="11"/>
  <c r="N20" i="11"/>
  <c r="K20" i="11"/>
  <c r="N19" i="11"/>
  <c r="K19" i="11"/>
  <c r="N18" i="11"/>
  <c r="K18" i="11"/>
  <c r="N17" i="11"/>
  <c r="K17" i="11"/>
  <c r="N16" i="11"/>
  <c r="K16" i="11"/>
  <c r="N15" i="11"/>
  <c r="K15" i="11"/>
  <c r="N14" i="11"/>
  <c r="K14" i="11"/>
  <c r="N13" i="11"/>
  <c r="K13" i="11"/>
  <c r="N12" i="11"/>
  <c r="K12" i="11"/>
  <c r="N11" i="11"/>
  <c r="K11" i="11"/>
  <c r="N10" i="11"/>
  <c r="K10" i="11"/>
  <c r="N9" i="11"/>
  <c r="K9" i="11"/>
  <c r="N8" i="11"/>
  <c r="K8" i="11"/>
  <c r="N7" i="11"/>
  <c r="K7" i="11"/>
  <c r="N6" i="11"/>
  <c r="K6" i="11"/>
  <c r="P5" i="11"/>
  <c r="N5" i="11"/>
  <c r="K5" i="11"/>
  <c r="M4" i="11"/>
  <c r="N4" i="11" s="1"/>
  <c r="K4" i="11"/>
  <c r="N94" i="11" l="1"/>
  <c r="N30" i="11"/>
  <c r="G114" i="11"/>
  <c r="P112" i="11"/>
  <c r="M78" i="11"/>
  <c r="M85" i="11" s="1"/>
  <c r="N79" i="11"/>
  <c r="N113" i="11"/>
  <c r="N114" i="11" s="1"/>
  <c r="G77" i="11"/>
  <c r="G153" i="11" s="1"/>
  <c r="N27" i="11"/>
  <c r="N77" i="11"/>
  <c r="L178" i="11"/>
  <c r="L179" i="11" s="1"/>
  <c r="L174" i="11"/>
  <c r="M176" i="11" s="1"/>
  <c r="P4" i="11"/>
  <c r="P27" i="11" s="1"/>
  <c r="M27" i="11"/>
  <c r="P76" i="11"/>
  <c r="P77" i="11" s="1"/>
  <c r="P78" i="11"/>
  <c r="P85" i="11" s="1"/>
  <c r="P86" i="11"/>
  <c r="N201" i="3"/>
  <c r="N78" i="11" l="1"/>
  <c r="N85" i="11" s="1"/>
  <c r="P94" i="11"/>
  <c r="AD97" i="11"/>
  <c r="AE105" i="11" s="1"/>
  <c r="AE97" i="11" l="1"/>
  <c r="AE101" i="11"/>
  <c r="AE103" i="11"/>
  <c r="M114" i="5"/>
  <c r="L564" i="1"/>
  <c r="L561" i="1"/>
  <c r="P428" i="1"/>
  <c r="O505" i="1"/>
  <c r="O495" i="1"/>
  <c r="O494" i="1"/>
  <c r="O492" i="1"/>
  <c r="M456" i="1"/>
  <c r="O456" i="1" s="1"/>
  <c r="O459" i="1"/>
  <c r="O458" i="1"/>
  <c r="O491" i="1"/>
  <c r="O493" i="1"/>
  <c r="O457" i="1"/>
  <c r="O463" i="1"/>
  <c r="O422" i="1"/>
  <c r="O423" i="1"/>
  <c r="O392" i="1"/>
  <c r="O391" i="1"/>
  <c r="P393" i="1"/>
  <c r="O393" i="1"/>
  <c r="L393" i="1"/>
  <c r="P395" i="1"/>
  <c r="O395" i="1"/>
  <c r="P397" i="1"/>
  <c r="O397" i="1"/>
  <c r="P383" i="1"/>
  <c r="F292" i="1"/>
  <c r="O305" i="1"/>
  <c r="O320" i="1"/>
  <c r="O299" i="1"/>
  <c r="N292" i="1"/>
  <c r="N293" i="1"/>
  <c r="N294" i="1"/>
  <c r="N295" i="1"/>
  <c r="N296" i="1"/>
  <c r="N297" i="1"/>
  <c r="N298" i="1"/>
  <c r="N300" i="1"/>
  <c r="N301" i="1"/>
  <c r="N302" i="1"/>
  <c r="N303" i="1"/>
  <c r="N304" i="1"/>
  <c r="N291" i="1"/>
  <c r="M289" i="1"/>
  <c r="N289" i="1" s="1"/>
  <c r="O290" i="1"/>
  <c r="L322" i="1"/>
  <c r="O43" i="1"/>
  <c r="O219" i="1"/>
  <c r="O221" i="1"/>
  <c r="O213" i="1"/>
  <c r="O212" i="1"/>
  <c r="M214" i="1"/>
  <c r="O214" i="1" s="1"/>
  <c r="O89" i="1"/>
  <c r="O88" i="1"/>
  <c r="O90" i="1"/>
  <c r="O1353" i="1"/>
  <c r="O1352" i="1"/>
  <c r="L73" i="1"/>
  <c r="L91" i="1"/>
  <c r="L78" i="1"/>
  <c r="G78" i="1"/>
  <c r="O501" i="1"/>
  <c r="M658" i="1"/>
  <c r="O658" i="1" s="1"/>
  <c r="G487" i="3" l="1"/>
  <c r="G485" i="3"/>
  <c r="G484" i="3"/>
  <c r="G483" i="3"/>
  <c r="G482" i="3"/>
  <c r="G488" i="3" s="1"/>
  <c r="O122" i="1"/>
  <c r="P85" i="3"/>
  <c r="O209" i="3" l="1"/>
  <c r="N200" i="3"/>
  <c r="N196" i="3"/>
  <c r="N174" i="3"/>
  <c r="N79" i="3"/>
  <c r="I1404" i="1" l="1"/>
  <c r="I466" i="3"/>
  <c r="H463" i="3"/>
  <c r="H459" i="3"/>
  <c r="I240" i="3"/>
  <c r="H235" i="3"/>
  <c r="H479" i="3"/>
  <c r="H475" i="3"/>
  <c r="S289" i="3"/>
  <c r="H471" i="3"/>
  <c r="H230" i="3"/>
  <c r="R263" i="3"/>
  <c r="G205" i="5"/>
  <c r="H205" i="5" s="1"/>
  <c r="I208" i="5"/>
  <c r="H225" i="3"/>
  <c r="H466" i="3"/>
  <c r="H452" i="3"/>
  <c r="I1488" i="1"/>
  <c r="F1477" i="1"/>
  <c r="G1477" i="1" s="1"/>
  <c r="G1476" i="1"/>
  <c r="I1474" i="1"/>
  <c r="H1461" i="1"/>
  <c r="I1464" i="1" s="1"/>
  <c r="I1452" i="1"/>
  <c r="G1452" i="1"/>
  <c r="F1451" i="1"/>
  <c r="I1448" i="1"/>
  <c r="H1433" i="1"/>
  <c r="I1434" i="1" s="1"/>
  <c r="J271" i="5"/>
  <c r="J269" i="5"/>
  <c r="J266" i="5"/>
  <c r="R289" i="3" l="1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33" i="3"/>
  <c r="O332" i="3"/>
  <c r="O331" i="3"/>
  <c r="O330" i="3"/>
  <c r="O329" i="3"/>
  <c r="O328" i="3"/>
  <c r="P326" i="3"/>
  <c r="P325" i="3"/>
  <c r="P324" i="3"/>
  <c r="P323" i="3"/>
  <c r="P322" i="3"/>
  <c r="O320" i="3"/>
  <c r="O319" i="3"/>
  <c r="O318" i="3"/>
  <c r="O317" i="3"/>
  <c r="O316" i="3"/>
  <c r="O315" i="3"/>
  <c r="O314" i="3"/>
  <c r="O313" i="3"/>
  <c r="P290" i="3"/>
  <c r="O311" i="3"/>
  <c r="O310" i="3"/>
  <c r="O309" i="3"/>
  <c r="O308" i="3"/>
  <c r="O307" i="3"/>
  <c r="O306" i="3"/>
  <c r="P304" i="3"/>
  <c r="P303" i="3"/>
  <c r="P302" i="3"/>
  <c r="O301" i="3"/>
  <c r="P300" i="3"/>
  <c r="O295" i="3"/>
  <c r="O294" i="3"/>
  <c r="O293" i="3"/>
  <c r="O292" i="3"/>
  <c r="O291" i="3"/>
  <c r="R333" i="3" l="1"/>
  <c r="P370" i="3"/>
  <c r="P200" i="3" l="1"/>
  <c r="H215" i="3"/>
  <c r="K258" i="5"/>
  <c r="I257" i="5"/>
  <c r="J239" i="5"/>
  <c r="J247" i="5"/>
  <c r="J252" i="5"/>
  <c r="H251" i="5"/>
  <c r="H239" i="5"/>
  <c r="J234" i="5"/>
  <c r="J224" i="5"/>
  <c r="H224" i="5"/>
  <c r="I213" i="5"/>
  <c r="I215" i="5"/>
  <c r="I216" i="5"/>
  <c r="I217" i="5"/>
  <c r="I218" i="5"/>
  <c r="I212" i="5"/>
  <c r="H447" i="3" l="1"/>
  <c r="E447" i="3"/>
  <c r="F447" i="3" s="1"/>
  <c r="F441" i="3"/>
  <c r="F440" i="3"/>
  <c r="F439" i="3"/>
  <c r="F438" i="3"/>
  <c r="F437" i="3"/>
  <c r="F436" i="3"/>
  <c r="G434" i="3"/>
  <c r="G433" i="3"/>
  <c r="G432" i="3"/>
  <c r="G431" i="3"/>
  <c r="G430" i="3"/>
  <c r="F428" i="3"/>
  <c r="F427" i="3"/>
  <c r="F426" i="3"/>
  <c r="F425" i="3"/>
  <c r="F424" i="3"/>
  <c r="F423" i="3"/>
  <c r="F422" i="3"/>
  <c r="F421" i="3"/>
  <c r="H418" i="3"/>
  <c r="H396" i="3"/>
  <c r="H392" i="3"/>
  <c r="H401" i="3"/>
  <c r="F388" i="3"/>
  <c r="F387" i="3"/>
  <c r="F386" i="3"/>
  <c r="F385" i="3"/>
  <c r="F384" i="3"/>
  <c r="F383" i="3"/>
  <c r="G381" i="3"/>
  <c r="G380" i="3"/>
  <c r="G379" i="3"/>
  <c r="F378" i="3"/>
  <c r="G377" i="3"/>
  <c r="F372" i="3"/>
  <c r="F371" i="3"/>
  <c r="F370" i="3"/>
  <c r="F369" i="3"/>
  <c r="F368" i="3"/>
  <c r="G367" i="3"/>
  <c r="H364" i="3"/>
  <c r="H359" i="3"/>
  <c r="H356" i="3"/>
  <c r="G341" i="3"/>
  <c r="G340" i="3"/>
  <c r="G339" i="3"/>
  <c r="H336" i="3"/>
  <c r="H441" i="3" l="1"/>
  <c r="H352" i="3"/>
  <c r="H388" i="3"/>
  <c r="N195" i="3" l="1"/>
  <c r="N173" i="3"/>
  <c r="N78" i="3"/>
  <c r="N172" i="3"/>
  <c r="N77" i="3"/>
  <c r="N188" i="3" l="1"/>
  <c r="N189" i="3"/>
  <c r="N190" i="3"/>
  <c r="N191" i="3"/>
  <c r="N192" i="3"/>
  <c r="N193" i="3"/>
  <c r="N194" i="3"/>
  <c r="H1423" i="1" l="1"/>
  <c r="H1427" i="1"/>
  <c r="H1426" i="1"/>
  <c r="H1425" i="1"/>
  <c r="H1424" i="1"/>
  <c r="H1421" i="1"/>
  <c r="G1420" i="1"/>
  <c r="G1419" i="1"/>
  <c r="G1418" i="1"/>
  <c r="H1404" i="1"/>
  <c r="G1394" i="1"/>
  <c r="H1375" i="1"/>
  <c r="H1374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H1359" i="1"/>
  <c r="H1391" i="1" l="1"/>
  <c r="H1428" i="1"/>
  <c r="N171" i="3" l="1"/>
  <c r="N76" i="3"/>
  <c r="N75" i="3"/>
  <c r="P84" i="3"/>
  <c r="P83" i="3"/>
  <c r="F19" i="9" l="1"/>
  <c r="C19" i="9"/>
  <c r="P8" i="9"/>
  <c r="N8" i="9"/>
  <c r="N7" i="9"/>
  <c r="N6" i="9"/>
  <c r="P10" i="9"/>
  <c r="N10" i="9"/>
  <c r="N9" i="9"/>
  <c r="P12" i="9"/>
  <c r="N12" i="9"/>
  <c r="N11" i="9"/>
  <c r="N170" i="3"/>
  <c r="M152" i="3"/>
  <c r="N152" i="3" s="1"/>
  <c r="N57" i="3"/>
  <c r="M51" i="3"/>
  <c r="N63" i="3"/>
  <c r="M59" i="3"/>
  <c r="N59" i="3" s="1"/>
  <c r="M60" i="3"/>
  <c r="N60" i="3" s="1"/>
  <c r="M61" i="3"/>
  <c r="N61" i="3" s="1"/>
  <c r="M62" i="3"/>
  <c r="N62" i="3" s="1"/>
  <c r="M58" i="3"/>
  <c r="N58" i="3" s="1"/>
  <c r="K59" i="3"/>
  <c r="K60" i="3"/>
  <c r="K61" i="3"/>
  <c r="K62" i="3"/>
  <c r="K63" i="3"/>
  <c r="K58" i="3"/>
  <c r="N159" i="3"/>
  <c r="N146" i="3"/>
  <c r="M157" i="3"/>
  <c r="N157" i="3" s="1"/>
  <c r="M153" i="3"/>
  <c r="N153" i="3" s="1"/>
  <c r="M154" i="3"/>
  <c r="N154" i="3" s="1"/>
  <c r="M155" i="3"/>
  <c r="N155" i="3" s="1"/>
  <c r="M156" i="3"/>
  <c r="N156" i="3" s="1"/>
  <c r="M151" i="3"/>
  <c r="K154" i="3"/>
  <c r="K155" i="3"/>
  <c r="K156" i="3"/>
  <c r="K157" i="3"/>
  <c r="K159" i="3"/>
  <c r="K153" i="3"/>
  <c r="P185" i="3"/>
  <c r="P163" i="3"/>
  <c r="N169" i="3"/>
  <c r="N74" i="3"/>
  <c r="N168" i="3" l="1"/>
  <c r="N73" i="3"/>
  <c r="N166" i="3" l="1"/>
  <c r="N71" i="3"/>
  <c r="P134" i="3" l="1"/>
  <c r="N134" i="3"/>
  <c r="N133" i="3"/>
  <c r="K145" i="3"/>
  <c r="K139" i="3"/>
  <c r="K140" i="3"/>
  <c r="K141" i="3"/>
  <c r="K142" i="3"/>
  <c r="K143" i="3"/>
  <c r="K144" i="3"/>
  <c r="K138" i="3"/>
  <c r="N151" i="3"/>
  <c r="M148" i="3"/>
  <c r="M149" i="3"/>
  <c r="M150" i="3"/>
  <c r="M147" i="3"/>
  <c r="N148" i="3" l="1"/>
  <c r="N150" i="3"/>
  <c r="N147" i="3"/>
  <c r="N149" i="3"/>
  <c r="M56" i="3" l="1"/>
  <c r="M55" i="3"/>
  <c r="M54" i="3"/>
  <c r="K53" i="3"/>
  <c r="M53" i="3"/>
  <c r="N53" i="3" s="1"/>
  <c r="M52" i="3"/>
  <c r="N56" i="3" l="1"/>
  <c r="N52" i="3"/>
  <c r="N54" i="3"/>
  <c r="N55" i="3"/>
  <c r="N51" i="3" l="1"/>
  <c r="N165" i="3"/>
  <c r="N167" i="3"/>
  <c r="N72" i="3"/>
  <c r="I1343" i="1"/>
  <c r="I1339" i="1"/>
  <c r="I1337" i="1"/>
  <c r="I1334" i="1"/>
  <c r="I1326" i="1"/>
  <c r="I1323" i="1"/>
  <c r="I1318" i="1"/>
  <c r="I1314" i="1"/>
  <c r="I1312" i="1"/>
  <c r="I1309" i="1"/>
  <c r="I1307" i="1"/>
  <c r="I1302" i="1"/>
  <c r="I1299" i="1"/>
  <c r="H1283" i="1"/>
  <c r="I1293" i="1" s="1"/>
  <c r="I1280" i="1"/>
  <c r="I1271" i="1"/>
  <c r="I1262" i="1"/>
  <c r="I1248" i="1"/>
  <c r="I1232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H1201" i="1"/>
  <c r="I1229" i="1" s="1"/>
  <c r="I1200" i="1"/>
  <c r="I1195" i="1"/>
  <c r="I1188" i="1"/>
  <c r="I1182" i="1"/>
  <c r="I1179" i="1"/>
  <c r="I1174" i="1"/>
  <c r="I1167" i="1"/>
  <c r="H1156" i="1"/>
  <c r="H1154" i="1"/>
  <c r="I1151" i="1"/>
  <c r="I1140" i="1"/>
  <c r="I1138" i="1"/>
  <c r="H1129" i="1"/>
  <c r="I1130" i="1" s="1"/>
  <c r="H1127" i="1"/>
  <c r="H1126" i="1"/>
  <c r="H1125" i="1"/>
  <c r="I1119" i="1"/>
  <c r="G1115" i="1"/>
  <c r="G1114" i="1"/>
  <c r="G1113" i="1"/>
  <c r="G1112" i="1"/>
  <c r="G1111" i="1"/>
  <c r="G1110" i="1"/>
  <c r="G1109" i="1"/>
  <c r="H1108" i="1"/>
  <c r="I1115" i="1" s="1"/>
  <c r="I1106" i="1"/>
  <c r="G1106" i="1"/>
  <c r="H1344" i="1" l="1"/>
  <c r="I1159" i="1"/>
  <c r="I1127" i="1"/>
  <c r="P180" i="3"/>
  <c r="N180" i="3"/>
  <c r="P137" i="3"/>
  <c r="N137" i="3"/>
  <c r="N132" i="3"/>
  <c r="P42" i="3"/>
  <c r="N42" i="3"/>
  <c r="N187" i="3" l="1"/>
  <c r="N131" i="3"/>
  <c r="N130" i="3"/>
  <c r="N70" i="3"/>
  <c r="L211" i="3"/>
  <c r="N134" i="5"/>
  <c r="G310" i="3"/>
  <c r="H240" i="3"/>
  <c r="N186" i="3"/>
  <c r="N185" i="3"/>
  <c r="N116" i="3"/>
  <c r="N164" i="3"/>
  <c r="N129" i="3"/>
  <c r="N163" i="3"/>
  <c r="N9" i="3"/>
  <c r="P8" i="3"/>
  <c r="N64" i="3"/>
  <c r="N69" i="3"/>
  <c r="N68" i="3"/>
  <c r="P6" i="3"/>
  <c r="N7" i="3"/>
  <c r="N91" i="3"/>
  <c r="N128" i="3"/>
  <c r="J181" i="3"/>
  <c r="K181" i="3" s="1"/>
  <c r="M145" i="3"/>
  <c r="N145" i="3" s="1"/>
  <c r="M144" i="3"/>
  <c r="N144" i="3" s="1"/>
  <c r="M143" i="3"/>
  <c r="N143" i="3" s="1"/>
  <c r="M50" i="3"/>
  <c r="N50" i="3" s="1"/>
  <c r="M49" i="3"/>
  <c r="N49" i="3" s="1"/>
  <c r="M48" i="3"/>
  <c r="N48" i="3" s="1"/>
  <c r="Z82" i="5"/>
  <c r="Y74" i="5"/>
  <c r="P796" i="1"/>
  <c r="O796" i="1"/>
  <c r="P791" i="1"/>
  <c r="O791" i="1"/>
  <c r="M224" i="3"/>
  <c r="J207" i="5"/>
  <c r="G207" i="5"/>
  <c r="H207" i="5" s="1"/>
  <c r="H206" i="5"/>
  <c r="G204" i="5"/>
  <c r="H204" i="5" s="1"/>
  <c r="G203" i="5"/>
  <c r="H203" i="5" s="1"/>
  <c r="F301" i="3" l="1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G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G255" i="3"/>
  <c r="H301" i="3" s="1"/>
  <c r="H245" i="3"/>
  <c r="M47" i="3"/>
  <c r="N47" i="3" s="1"/>
  <c r="M46" i="3"/>
  <c r="N46" i="3" s="1"/>
  <c r="M45" i="3"/>
  <c r="N45" i="3" s="1"/>
  <c r="M44" i="3"/>
  <c r="M43" i="3"/>
  <c r="N43" i="3" s="1"/>
  <c r="K47" i="3"/>
  <c r="K46" i="3"/>
  <c r="K45" i="3"/>
  <c r="K44" i="3"/>
  <c r="K43" i="3"/>
  <c r="M142" i="3"/>
  <c r="N142" i="3" s="1"/>
  <c r="M141" i="3"/>
  <c r="N141" i="3" s="1"/>
  <c r="M140" i="3"/>
  <c r="N140" i="3" s="1"/>
  <c r="M139" i="3"/>
  <c r="N139" i="3" s="1"/>
  <c r="M138" i="3"/>
  <c r="P5" i="3"/>
  <c r="N5" i="3"/>
  <c r="N702" i="1"/>
  <c r="O701" i="1"/>
  <c r="M702" i="1"/>
  <c r="N177" i="3"/>
  <c r="G184" i="3"/>
  <c r="P184" i="3" s="1"/>
  <c r="G182" i="3"/>
  <c r="P182" i="3" s="1"/>
  <c r="N127" i="3"/>
  <c r="G162" i="3"/>
  <c r="P162" i="3" s="1"/>
  <c r="G160" i="3"/>
  <c r="P160" i="3" s="1"/>
  <c r="G67" i="3"/>
  <c r="P67" i="3" s="1"/>
  <c r="G65" i="3"/>
  <c r="P65" i="3" s="1"/>
  <c r="P64" i="3"/>
  <c r="P159" i="3" l="1"/>
  <c r="N44" i="3"/>
  <c r="N138" i="3"/>
  <c r="O134" i="5"/>
  <c r="I134" i="5"/>
  <c r="R133" i="5"/>
  <c r="P133" i="5"/>
  <c r="P132" i="5"/>
  <c r="P131" i="5"/>
  <c r="P130" i="5"/>
  <c r="P134" i="5" l="1"/>
  <c r="P181" i="3"/>
  <c r="N181" i="3"/>
  <c r="N179" i="3"/>
  <c r="N136" i="3"/>
  <c r="N90" i="3"/>
  <c r="N126" i="3"/>
  <c r="O87" i="3"/>
  <c r="G43" i="3"/>
  <c r="P63" i="3" s="1"/>
  <c r="N41" i="3"/>
  <c r="N6" i="3"/>
  <c r="N40" i="3"/>
  <c r="O642" i="1"/>
  <c r="O591" i="1"/>
  <c r="O553" i="1"/>
  <c r="O542" i="1"/>
  <c r="O244" i="1"/>
  <c r="P120" i="3"/>
  <c r="N120" i="3"/>
  <c r="P119" i="3"/>
  <c r="N119" i="3"/>
  <c r="P14" i="3"/>
  <c r="N14" i="3"/>
  <c r="P13" i="3"/>
  <c r="N13" i="3"/>
  <c r="N125" i="3"/>
  <c r="Q129" i="5"/>
  <c r="N129" i="5"/>
  <c r="I129" i="5"/>
  <c r="G128" i="5"/>
  <c r="H128" i="5" s="1"/>
  <c r="O127" i="5"/>
  <c r="O129" i="5" s="1"/>
  <c r="L127" i="5"/>
  <c r="M127" i="5" s="1"/>
  <c r="G127" i="5"/>
  <c r="H127" i="5" s="1"/>
  <c r="R126" i="5"/>
  <c r="P126" i="5"/>
  <c r="M126" i="5"/>
  <c r="G126" i="5"/>
  <c r="H126" i="5" s="1"/>
  <c r="N209" i="3" l="1"/>
  <c r="R128" i="5"/>
  <c r="R129" i="5" s="1"/>
  <c r="P127" i="5"/>
  <c r="P129" i="5" s="1"/>
  <c r="E246" i="6" l="1"/>
  <c r="E200" i="6"/>
  <c r="K4" i="8" l="1"/>
  <c r="N118" i="3"/>
  <c r="N89" i="3"/>
  <c r="N124" i="3"/>
  <c r="N123" i="3"/>
  <c r="P89" i="3"/>
  <c r="N12" i="3"/>
  <c r="E148" i="6"/>
  <c r="H4" i="8"/>
  <c r="N82" i="5" l="1"/>
  <c r="O474" i="1"/>
  <c r="P875" i="1"/>
  <c r="O873" i="1"/>
  <c r="M4" i="1"/>
  <c r="O82" i="5"/>
  <c r="P81" i="5"/>
  <c r="N86" i="5"/>
  <c r="O86" i="5"/>
  <c r="P85" i="5"/>
  <c r="I4" i="4"/>
  <c r="G36" i="4"/>
  <c r="F36" i="4"/>
  <c r="K35" i="4"/>
  <c r="K34" i="4"/>
  <c r="G33" i="4"/>
  <c r="F33" i="4"/>
  <c r="K32" i="4"/>
  <c r="G31" i="4"/>
  <c r="F31" i="4"/>
  <c r="K30" i="4"/>
  <c r="K29" i="4"/>
  <c r="G28" i="4"/>
  <c r="F28" i="4"/>
  <c r="K27" i="4"/>
  <c r="G26" i="4"/>
  <c r="F26" i="4"/>
  <c r="K25" i="4"/>
  <c r="K24" i="4"/>
  <c r="K23" i="4"/>
  <c r="K22" i="4"/>
  <c r="K21" i="4"/>
  <c r="K20" i="4"/>
  <c r="G19" i="4"/>
  <c r="K19" i="4" s="1"/>
  <c r="F19" i="4"/>
  <c r="K18" i="4"/>
  <c r="K17" i="4"/>
  <c r="G16" i="4"/>
  <c r="F16" i="4"/>
  <c r="K15" i="4"/>
  <c r="G14" i="4"/>
  <c r="F14" i="4"/>
  <c r="K14" i="4" s="1"/>
  <c r="K13" i="4"/>
  <c r="K12" i="4"/>
  <c r="G11" i="4"/>
  <c r="F11" i="4"/>
  <c r="K10" i="4"/>
  <c r="G9" i="4"/>
  <c r="K9" i="4" s="1"/>
  <c r="F9" i="4"/>
  <c r="K8" i="4"/>
  <c r="K7" i="4"/>
  <c r="K6" i="4"/>
  <c r="G5" i="4"/>
  <c r="F5" i="4"/>
  <c r="K4" i="4"/>
  <c r="F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G254" i="8"/>
  <c r="G273" i="8" s="1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G236" i="8"/>
  <c r="F236" i="8"/>
  <c r="K235" i="8"/>
  <c r="G234" i="8"/>
  <c r="F234" i="8"/>
  <c r="K233" i="8"/>
  <c r="K232" i="8"/>
  <c r="K231" i="8"/>
  <c r="G230" i="8"/>
  <c r="F230" i="8"/>
  <c r="K229" i="8"/>
  <c r="G228" i="8"/>
  <c r="F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G211" i="8"/>
  <c r="F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G196" i="8"/>
  <c r="F196" i="8"/>
  <c r="K195" i="8"/>
  <c r="G194" i="8"/>
  <c r="F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G168" i="8"/>
  <c r="F168" i="8"/>
  <c r="K167" i="8"/>
  <c r="K166" i="8"/>
  <c r="K165" i="8"/>
  <c r="K164" i="8"/>
  <c r="K163" i="8"/>
  <c r="K162" i="8"/>
  <c r="K161" i="8"/>
  <c r="K160" i="8"/>
  <c r="K159" i="8"/>
  <c r="K158" i="8"/>
  <c r="K157" i="8"/>
  <c r="G156" i="8"/>
  <c r="F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G139" i="8"/>
  <c r="F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G119" i="8"/>
  <c r="F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G104" i="8"/>
  <c r="F104" i="8"/>
  <c r="K103" i="8"/>
  <c r="K102" i="8"/>
  <c r="K101" i="8"/>
  <c r="K100" i="8"/>
  <c r="G99" i="8"/>
  <c r="F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G79" i="8"/>
  <c r="F79" i="8"/>
  <c r="K78" i="8"/>
  <c r="K77" i="8"/>
  <c r="K76" i="8"/>
  <c r="K75" i="8"/>
  <c r="K74" i="8"/>
  <c r="K73" i="8"/>
  <c r="G72" i="8"/>
  <c r="F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G45" i="8"/>
  <c r="F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G30" i="8"/>
  <c r="F30" i="8"/>
  <c r="K29" i="8"/>
  <c r="K28" i="8"/>
  <c r="K27" i="8"/>
  <c r="K26" i="8"/>
  <c r="K25" i="8"/>
  <c r="K24" i="8"/>
  <c r="K23" i="8"/>
  <c r="K22" i="8"/>
  <c r="K21" i="8"/>
  <c r="G20" i="8"/>
  <c r="F20" i="8"/>
  <c r="K19" i="8"/>
  <c r="K18" i="8"/>
  <c r="K17" i="8"/>
  <c r="K16" i="8"/>
  <c r="K15" i="8"/>
  <c r="K14" i="8"/>
  <c r="K13" i="8"/>
  <c r="K12" i="8"/>
  <c r="G11" i="8"/>
  <c r="F11" i="8"/>
  <c r="K10" i="8"/>
  <c r="K9" i="8"/>
  <c r="G8" i="8"/>
  <c r="F8" i="8"/>
  <c r="K7" i="8"/>
  <c r="K6" i="8"/>
  <c r="K5" i="8"/>
  <c r="E17" i="7"/>
  <c r="C17" i="7"/>
  <c r="F12" i="7"/>
  <c r="E12" i="7"/>
  <c r="D12" i="7"/>
  <c r="C12" i="7"/>
  <c r="F220" i="7"/>
  <c r="I12" i="7" s="1"/>
  <c r="E220" i="7"/>
  <c r="F8" i="7"/>
  <c r="E8" i="7"/>
  <c r="D8" i="7"/>
  <c r="C8" i="7"/>
  <c r="F206" i="7"/>
  <c r="I8" i="7" s="1"/>
  <c r="E206" i="7"/>
  <c r="F194" i="7"/>
  <c r="I11" i="7" s="1"/>
  <c r="F11" i="7"/>
  <c r="E11" i="7"/>
  <c r="D11" i="7"/>
  <c r="C11" i="7"/>
  <c r="E194" i="7"/>
  <c r="F169" i="7"/>
  <c r="I10" i="7" s="1"/>
  <c r="E169" i="7"/>
  <c r="F10" i="7"/>
  <c r="G10" i="7" s="1"/>
  <c r="H10" i="7" s="1"/>
  <c r="E10" i="7"/>
  <c r="D10" i="7"/>
  <c r="C10" i="7"/>
  <c r="K26" i="4" l="1"/>
  <c r="K33" i="4"/>
  <c r="G11" i="7"/>
  <c r="H11" i="7" s="1"/>
  <c r="G12" i="7"/>
  <c r="H12" i="7" s="1"/>
  <c r="K36" i="4"/>
  <c r="K254" i="8"/>
  <c r="K5" i="4"/>
  <c r="K11" i="4"/>
  <c r="K16" i="4"/>
  <c r="K28" i="4"/>
  <c r="K31" i="4"/>
  <c r="G8" i="7"/>
  <c r="H8" i="7" s="1"/>
  <c r="E16" i="7"/>
  <c r="C16" i="7"/>
  <c r="E15" i="7"/>
  <c r="C15" i="7"/>
  <c r="D151" i="7"/>
  <c r="F95" i="7"/>
  <c r="I9" i="7" s="1"/>
  <c r="E95" i="7"/>
  <c r="F88" i="7"/>
  <c r="I7" i="7" s="1"/>
  <c r="E88" i="7"/>
  <c r="F75" i="7"/>
  <c r="I6" i="7" s="1"/>
  <c r="E75" i="7"/>
  <c r="F70" i="7"/>
  <c r="I5" i="7" s="1"/>
  <c r="E70" i="7"/>
  <c r="E63" i="7"/>
  <c r="F63" i="7"/>
  <c r="I4" i="7" s="1"/>
  <c r="C127" i="7"/>
  <c r="D127" i="7"/>
  <c r="C128" i="7"/>
  <c r="D128" i="7"/>
  <c r="C129" i="7"/>
  <c r="D129" i="7"/>
  <c r="C130" i="7"/>
  <c r="D130" i="7"/>
  <c r="C131" i="7"/>
  <c r="D131" i="7"/>
  <c r="C132" i="7"/>
  <c r="D132" i="7"/>
  <c r="C133" i="7"/>
  <c r="D133" i="7"/>
  <c r="C134" i="7"/>
  <c r="D134" i="7"/>
  <c r="C135" i="7"/>
  <c r="D135" i="7"/>
  <c r="C136" i="7"/>
  <c r="D136" i="7"/>
  <c r="C137" i="7"/>
  <c r="D137" i="7"/>
  <c r="C138" i="7"/>
  <c r="D138" i="7"/>
  <c r="C139" i="7"/>
  <c r="D139" i="7"/>
  <c r="C140" i="7"/>
  <c r="D140" i="7"/>
  <c r="C141" i="7"/>
  <c r="D141" i="7"/>
  <c r="C142" i="7"/>
  <c r="D142" i="7"/>
  <c r="C143" i="7"/>
  <c r="D143" i="7"/>
  <c r="C144" i="7"/>
  <c r="D144" i="7"/>
  <c r="C145" i="7"/>
  <c r="D145" i="7"/>
  <c r="C146" i="7"/>
  <c r="D146" i="7"/>
  <c r="C147" i="7"/>
  <c r="D147" i="7"/>
  <c r="D126" i="7"/>
  <c r="C126" i="7"/>
  <c r="C125" i="7"/>
  <c r="D124" i="7"/>
  <c r="C124" i="7"/>
  <c r="D123" i="7"/>
  <c r="C123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00" i="7"/>
  <c r="C99" i="7"/>
  <c r="D98" i="7"/>
  <c r="C98" i="7"/>
  <c r="D97" i="7"/>
  <c r="C97" i="7"/>
  <c r="A25" i="7"/>
  <c r="F13" i="7"/>
  <c r="F5" i="7"/>
  <c r="E5" i="7"/>
  <c r="C14" i="7" l="1"/>
  <c r="D13" i="7"/>
  <c r="C13" i="7"/>
  <c r="G6" i="7"/>
  <c r="H6" i="7" s="1"/>
  <c r="G5" i="7"/>
  <c r="H5" i="7" s="1"/>
  <c r="G178" i="3"/>
  <c r="G209" i="3" s="1"/>
  <c r="G135" i="3"/>
  <c r="P135" i="3" s="1"/>
  <c r="G39" i="3"/>
  <c r="P39" i="3" s="1"/>
  <c r="C102" i="6"/>
  <c r="D102" i="6"/>
  <c r="D101" i="6"/>
  <c r="C101" i="6"/>
  <c r="D100" i="6"/>
  <c r="C100" i="6"/>
  <c r="B100" i="6"/>
  <c r="A100" i="6"/>
  <c r="E103" i="6" l="1"/>
  <c r="F103" i="6"/>
  <c r="P178" i="3"/>
  <c r="C146" i="6"/>
  <c r="D145" i="6"/>
  <c r="C145" i="6"/>
  <c r="C138" i="6"/>
  <c r="D138" i="6"/>
  <c r="C139" i="6"/>
  <c r="D139" i="6"/>
  <c r="C140" i="6"/>
  <c r="D140" i="6"/>
  <c r="C141" i="6"/>
  <c r="D141" i="6"/>
  <c r="C142" i="6"/>
  <c r="D142" i="6"/>
  <c r="C143" i="6"/>
  <c r="D143" i="6"/>
  <c r="C144" i="6"/>
  <c r="D144" i="6"/>
  <c r="D137" i="6"/>
  <c r="C137" i="6"/>
  <c r="D136" i="6"/>
  <c r="C136" i="6"/>
  <c r="D135" i="6"/>
  <c r="C135" i="6"/>
  <c r="A135" i="6"/>
  <c r="C113" i="6"/>
  <c r="D113" i="6"/>
  <c r="C114" i="6"/>
  <c r="D114" i="6"/>
  <c r="C115" i="6"/>
  <c r="D115" i="6"/>
  <c r="C116" i="6"/>
  <c r="D116" i="6"/>
  <c r="C117" i="6"/>
  <c r="D117" i="6"/>
  <c r="C118" i="6"/>
  <c r="D118" i="6"/>
  <c r="C119" i="6"/>
  <c r="D119" i="6"/>
  <c r="C120" i="6"/>
  <c r="D120" i="6"/>
  <c r="C121" i="6"/>
  <c r="D121" i="6"/>
  <c r="C122" i="6"/>
  <c r="D122" i="6"/>
  <c r="C123" i="6"/>
  <c r="D123" i="6"/>
  <c r="C124" i="6"/>
  <c r="D124" i="6"/>
  <c r="C125" i="6"/>
  <c r="D125" i="6"/>
  <c r="C126" i="6"/>
  <c r="D126" i="6"/>
  <c r="C127" i="6"/>
  <c r="D127" i="6"/>
  <c r="C128" i="6"/>
  <c r="D128" i="6"/>
  <c r="C129" i="6"/>
  <c r="D129" i="6"/>
  <c r="C130" i="6"/>
  <c r="D130" i="6"/>
  <c r="C131" i="6"/>
  <c r="D131" i="6"/>
  <c r="C132" i="6"/>
  <c r="D132" i="6"/>
  <c r="C133" i="6"/>
  <c r="D133" i="6"/>
  <c r="C134" i="6"/>
  <c r="D112" i="6"/>
  <c r="C112" i="6"/>
  <c r="D111" i="6"/>
  <c r="C111" i="6"/>
  <c r="B111" i="6"/>
  <c r="A111" i="6"/>
  <c r="C110" i="6"/>
  <c r="D110" i="6"/>
  <c r="D109" i="6"/>
  <c r="C109" i="6"/>
  <c r="D108" i="6"/>
  <c r="C108" i="6"/>
  <c r="D107" i="6"/>
  <c r="D106" i="6"/>
  <c r="C107" i="6"/>
  <c r="C106" i="6"/>
  <c r="C105" i="6"/>
  <c r="D105" i="6"/>
  <c r="D104" i="6"/>
  <c r="C104" i="6"/>
  <c r="A104" i="6"/>
  <c r="C98" i="6"/>
  <c r="D9" i="7" s="1"/>
  <c r="D98" i="6"/>
  <c r="D97" i="6"/>
  <c r="C97" i="6"/>
  <c r="C96" i="6"/>
  <c r="D96" i="6"/>
  <c r="E9" i="7" s="1"/>
  <c r="B96" i="6"/>
  <c r="C91" i="6"/>
  <c r="D91" i="6"/>
  <c r="C92" i="6"/>
  <c r="D92" i="6"/>
  <c r="C93" i="6"/>
  <c r="D93" i="6"/>
  <c r="C94" i="6"/>
  <c r="D94" i="6"/>
  <c r="C95" i="6"/>
  <c r="D95" i="6"/>
  <c r="D90" i="6"/>
  <c r="C90" i="6"/>
  <c r="D89" i="6"/>
  <c r="C89" i="6"/>
  <c r="C7" i="7" s="1"/>
  <c r="C87" i="6"/>
  <c r="D87" i="6"/>
  <c r="C88" i="6"/>
  <c r="D7" i="7" s="1"/>
  <c r="D88" i="6"/>
  <c r="D86" i="6"/>
  <c r="C86" i="6"/>
  <c r="D85" i="6"/>
  <c r="C85" i="6"/>
  <c r="C84" i="6"/>
  <c r="D84" i="6"/>
  <c r="C79" i="6"/>
  <c r="D79" i="6"/>
  <c r="C80" i="6"/>
  <c r="D80" i="6"/>
  <c r="C81" i="6"/>
  <c r="D81" i="6"/>
  <c r="C82" i="6"/>
  <c r="D82" i="6"/>
  <c r="C83" i="6"/>
  <c r="D83" i="6"/>
  <c r="D78" i="6"/>
  <c r="C78" i="6"/>
  <c r="D77" i="6"/>
  <c r="C77" i="6"/>
  <c r="D76" i="6"/>
  <c r="C76" i="6"/>
  <c r="D75" i="6"/>
  <c r="C75" i="6"/>
  <c r="C73" i="6"/>
  <c r="D73" i="6"/>
  <c r="C74" i="6"/>
  <c r="D74" i="6"/>
  <c r="D72" i="6"/>
  <c r="C72" i="6"/>
  <c r="C66" i="6"/>
  <c r="D66" i="6"/>
  <c r="C67" i="6"/>
  <c r="C68" i="6"/>
  <c r="D68" i="6"/>
  <c r="C69" i="6"/>
  <c r="D69" i="6"/>
  <c r="C70" i="6"/>
  <c r="D70" i="6"/>
  <c r="C71" i="6"/>
  <c r="D71" i="6"/>
  <c r="D65" i="6"/>
  <c r="C65" i="6"/>
  <c r="B65" i="6"/>
  <c r="A65" i="6"/>
  <c r="D64" i="6"/>
  <c r="C64" i="6"/>
  <c r="D63" i="6"/>
  <c r="C63" i="6"/>
  <c r="D62" i="6"/>
  <c r="C62" i="6"/>
  <c r="D61" i="6"/>
  <c r="C61" i="6"/>
  <c r="A61" i="6"/>
  <c r="D60" i="6"/>
  <c r="C60" i="6"/>
  <c r="D59" i="6"/>
  <c r="C59" i="6"/>
  <c r="B59" i="6"/>
  <c r="A59" i="6"/>
  <c r="C57" i="6"/>
  <c r="D57" i="6"/>
  <c r="C58" i="6"/>
  <c r="D6" i="7" s="1"/>
  <c r="D58" i="6"/>
  <c r="D56" i="6"/>
  <c r="C56" i="6"/>
  <c r="D55" i="6"/>
  <c r="C55" i="6"/>
  <c r="C6" i="7" s="1"/>
  <c r="B55" i="6"/>
  <c r="C53" i="6"/>
  <c r="D53" i="6"/>
  <c r="C54" i="6"/>
  <c r="D54" i="6"/>
  <c r="D52" i="6"/>
  <c r="C52" i="6"/>
  <c r="D51" i="6"/>
  <c r="C51" i="6"/>
  <c r="B51" i="6"/>
  <c r="A51" i="6"/>
  <c r="D50" i="6"/>
  <c r="C50" i="6"/>
  <c r="D49" i="6"/>
  <c r="C49" i="6"/>
  <c r="B49" i="6"/>
  <c r="A49" i="6"/>
  <c r="C48" i="6"/>
  <c r="D48" i="6"/>
  <c r="D47" i="6"/>
  <c r="C47" i="6"/>
  <c r="D46" i="6"/>
  <c r="C46" i="6"/>
  <c r="B46" i="6"/>
  <c r="C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" i="7" s="1"/>
  <c r="D45" i="6"/>
  <c r="D19" i="6"/>
  <c r="C19" i="6"/>
  <c r="D15" i="6"/>
  <c r="D16" i="6"/>
  <c r="D17" i="6"/>
  <c r="D18" i="6"/>
  <c r="D14" i="6"/>
  <c r="C18" i="6"/>
  <c r="C17" i="6"/>
  <c r="C16" i="6"/>
  <c r="C15" i="6"/>
  <c r="C14" i="6"/>
  <c r="C13" i="6"/>
  <c r="D13" i="6"/>
  <c r="D12" i="6"/>
  <c r="C12" i="6"/>
  <c r="C8" i="6"/>
  <c r="D8" i="6"/>
  <c r="C9" i="6"/>
  <c r="D9" i="6"/>
  <c r="C10" i="6"/>
  <c r="D10" i="6"/>
  <c r="C11" i="6"/>
  <c r="D7" i="6"/>
  <c r="C7" i="6"/>
  <c r="C4" i="7" s="1"/>
  <c r="A7" i="6"/>
  <c r="A3" i="6"/>
  <c r="D5" i="6"/>
  <c r="D6" i="6"/>
  <c r="C5" i="6"/>
  <c r="C6" i="6"/>
  <c r="C4" i="6"/>
  <c r="D3" i="6"/>
  <c r="C3" i="6"/>
  <c r="Q125" i="5"/>
  <c r="I125" i="5"/>
  <c r="R124" i="5"/>
  <c r="N118" i="5"/>
  <c r="P118" i="5" s="1"/>
  <c r="P117" i="5"/>
  <c r="O116" i="5"/>
  <c r="O125" i="5" s="1"/>
  <c r="M116" i="5"/>
  <c r="Q115" i="5"/>
  <c r="O115" i="5"/>
  <c r="I115" i="5"/>
  <c r="R114" i="5"/>
  <c r="R115" i="5" s="1"/>
  <c r="P114" i="5"/>
  <c r="P113" i="5"/>
  <c r="M113" i="5"/>
  <c r="P112" i="5"/>
  <c r="M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Q91" i="5"/>
  <c r="O91" i="5"/>
  <c r="N91" i="5"/>
  <c r="I91" i="5"/>
  <c r="R90" i="5"/>
  <c r="P90" i="5"/>
  <c r="P89" i="5"/>
  <c r="R88" i="5"/>
  <c r="P88" i="5"/>
  <c r="R87" i="5"/>
  <c r="P87" i="5"/>
  <c r="Q86" i="5"/>
  <c r="I86" i="5"/>
  <c r="R84" i="5"/>
  <c r="R86" i="5" s="1"/>
  <c r="P84" i="5"/>
  <c r="M84" i="5"/>
  <c r="P83" i="5"/>
  <c r="Q82" i="5"/>
  <c r="R80" i="5"/>
  <c r="P80" i="5"/>
  <c r="M80" i="5"/>
  <c r="P79" i="5"/>
  <c r="R78" i="5"/>
  <c r="P78" i="5"/>
  <c r="P77" i="5"/>
  <c r="P76" i="5"/>
  <c r="P75" i="5"/>
  <c r="P74" i="5"/>
  <c r="P73" i="5"/>
  <c r="R72" i="5"/>
  <c r="P72" i="5"/>
  <c r="M72" i="5"/>
  <c r="P70" i="5"/>
  <c r="R69" i="5"/>
  <c r="P69" i="5"/>
  <c r="P68" i="5"/>
  <c r="P67" i="5"/>
  <c r="P66" i="5"/>
  <c r="P65" i="5"/>
  <c r="P64" i="5"/>
  <c r="P63" i="5"/>
  <c r="R62" i="5"/>
  <c r="P62" i="5"/>
  <c r="M62" i="5"/>
  <c r="P57" i="5"/>
  <c r="I57" i="5"/>
  <c r="P56" i="5"/>
  <c r="P55" i="5"/>
  <c r="Q54" i="5"/>
  <c r="O54" i="5"/>
  <c r="N54" i="5"/>
  <c r="I54" i="5"/>
  <c r="R53" i="5"/>
  <c r="P53" i="5"/>
  <c r="R52" i="5"/>
  <c r="P52" i="5"/>
  <c r="R51" i="5"/>
  <c r="P51" i="5"/>
  <c r="G60" i="6" s="1"/>
  <c r="Q50" i="5"/>
  <c r="O50" i="5"/>
  <c r="N50" i="5"/>
  <c r="I50" i="5"/>
  <c r="R49" i="5"/>
  <c r="P49" i="5"/>
  <c r="P48" i="5"/>
  <c r="P47" i="5"/>
  <c r="R46" i="5"/>
  <c r="R50" i="5" s="1"/>
  <c r="P46" i="5"/>
  <c r="P45" i="5"/>
  <c r="P44" i="5"/>
  <c r="R43" i="5"/>
  <c r="P43" i="5"/>
  <c r="G50" i="6" s="1"/>
  <c r="M43" i="5"/>
  <c r="Q42" i="5"/>
  <c r="R41" i="5"/>
  <c r="P41" i="5"/>
  <c r="P40" i="5"/>
  <c r="O39" i="5"/>
  <c r="O42" i="5" s="1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M26" i="5"/>
  <c r="P25" i="5"/>
  <c r="M25" i="5"/>
  <c r="P24" i="5"/>
  <c r="M24" i="5"/>
  <c r="P23" i="5"/>
  <c r="M23" i="5"/>
  <c r="N21" i="5"/>
  <c r="P22" i="5" s="1"/>
  <c r="P18" i="5"/>
  <c r="M18" i="5"/>
  <c r="P17" i="5"/>
  <c r="M17" i="5"/>
  <c r="P16" i="5"/>
  <c r="M16" i="5"/>
  <c r="P15" i="5"/>
  <c r="M15" i="5"/>
  <c r="N14" i="5"/>
  <c r="I12" i="5"/>
  <c r="I42" i="5" s="1"/>
  <c r="P9" i="5"/>
  <c r="P8" i="5"/>
  <c r="Q7" i="5"/>
  <c r="N7" i="5"/>
  <c r="I7" i="5"/>
  <c r="P6" i="5"/>
  <c r="O5" i="5"/>
  <c r="O7" i="5" s="1"/>
  <c r="N4" i="5"/>
  <c r="D4" i="6" s="1"/>
  <c r="P5" i="5" l="1"/>
  <c r="P4" i="5"/>
  <c r="F50" i="6"/>
  <c r="P54" i="5"/>
  <c r="G64" i="6" s="1"/>
  <c r="R6" i="5"/>
  <c r="R7" i="5" s="1"/>
  <c r="R54" i="5"/>
  <c r="I82" i="5"/>
  <c r="I200" i="5" s="1"/>
  <c r="I214" i="5"/>
  <c r="J221" i="5" s="1"/>
  <c r="N42" i="5"/>
  <c r="M22" i="5"/>
  <c r="D67" i="6"/>
  <c r="F99" i="6" s="1"/>
  <c r="D146" i="6"/>
  <c r="F146" i="6" s="1"/>
  <c r="R12" i="5"/>
  <c r="D11" i="6"/>
  <c r="E4" i="7" s="1"/>
  <c r="D27" i="6"/>
  <c r="D20" i="6"/>
  <c r="P82" i="5"/>
  <c r="E84" i="6"/>
  <c r="E95" i="6"/>
  <c r="F7" i="7"/>
  <c r="F58" i="6"/>
  <c r="E54" i="6"/>
  <c r="E110" i="6"/>
  <c r="F110" i="6"/>
  <c r="F60" i="6"/>
  <c r="E60" i="6"/>
  <c r="P86" i="5"/>
  <c r="G103" i="6" s="1"/>
  <c r="H103" i="6" s="1"/>
  <c r="P91" i="5"/>
  <c r="G110" i="6" s="1"/>
  <c r="C9" i="7"/>
  <c r="E99" i="6"/>
  <c r="E7" i="7"/>
  <c r="F64" i="6"/>
  <c r="E64" i="6"/>
  <c r="E6" i="6"/>
  <c r="P7" i="5"/>
  <c r="G6" i="6" s="1"/>
  <c r="P50" i="5"/>
  <c r="G58" i="6" s="1"/>
  <c r="G99" i="6"/>
  <c r="R91" i="5"/>
  <c r="P115" i="5"/>
  <c r="G134" i="6" s="1"/>
  <c r="F9" i="7"/>
  <c r="G9" i="7" s="1"/>
  <c r="H9" i="7" s="1"/>
  <c r="D134" i="6"/>
  <c r="F134" i="6" s="1"/>
  <c r="F6" i="6"/>
  <c r="E74" i="6"/>
  <c r="E48" i="6"/>
  <c r="E50" i="6"/>
  <c r="E58" i="6"/>
  <c r="P13" i="5"/>
  <c r="P39" i="5"/>
  <c r="R61" i="5"/>
  <c r="R82" i="5" s="1"/>
  <c r="N115" i="5"/>
  <c r="R116" i="5"/>
  <c r="R125" i="5" s="1"/>
  <c r="N125" i="5"/>
  <c r="R39" i="5"/>
  <c r="R42" i="5" s="1"/>
  <c r="P116" i="5"/>
  <c r="P125" i="5" s="1"/>
  <c r="E146" i="6" l="1"/>
  <c r="F4" i="7"/>
  <c r="G4" i="7" s="1"/>
  <c r="H4" i="7" s="1"/>
  <c r="E45" i="6"/>
  <c r="F48" i="6"/>
  <c r="F150" i="6" s="1"/>
  <c r="J45" i="6"/>
  <c r="G7" i="7"/>
  <c r="H7" i="7" s="1"/>
  <c r="H99" i="6"/>
  <c r="P42" i="5"/>
  <c r="G48" i="6" s="1"/>
  <c r="E134" i="6"/>
  <c r="D150" i="6"/>
  <c r="G146" i="6"/>
  <c r="H6" i="6"/>
  <c r="P702" i="1"/>
  <c r="H702" i="1"/>
  <c r="N698" i="1"/>
  <c r="N683" i="1"/>
  <c r="M683" i="1"/>
  <c r="H683" i="1"/>
  <c r="O627" i="1"/>
  <c r="O628" i="1"/>
  <c r="O629" i="1"/>
  <c r="O630" i="1"/>
  <c r="O632" i="1"/>
  <c r="O633" i="1"/>
  <c r="O634" i="1"/>
  <c r="O626" i="1"/>
  <c r="H589" i="1"/>
  <c r="P273" i="1"/>
  <c r="M232" i="1"/>
  <c r="H232" i="1"/>
  <c r="N159" i="1"/>
  <c r="P92" i="1"/>
  <c r="O100" i="1"/>
  <c r="O96" i="1"/>
  <c r="O93" i="1"/>
  <c r="O91" i="1"/>
  <c r="O87" i="1"/>
  <c r="O86" i="1"/>
  <c r="O85" i="1"/>
  <c r="O84" i="1"/>
  <c r="O83" i="1"/>
  <c r="O82" i="1"/>
  <c r="O81" i="1"/>
  <c r="O80" i="1"/>
  <c r="O79" i="1"/>
  <c r="O74" i="1"/>
  <c r="O73" i="1"/>
  <c r="O72" i="1"/>
  <c r="O71" i="1"/>
  <c r="N122" i="3"/>
  <c r="G150" i="6" l="1"/>
  <c r="H48" i="6"/>
  <c r="P177" i="3"/>
  <c r="P209" i="3" s="1"/>
  <c r="M37" i="3"/>
  <c r="N37" i="3" s="1"/>
  <c r="K37" i="3"/>
  <c r="M36" i="3"/>
  <c r="N36" i="3" s="1"/>
  <c r="K36" i="3"/>
  <c r="M35" i="3"/>
  <c r="N35" i="3" s="1"/>
  <c r="K35" i="3"/>
  <c r="M34" i="3"/>
  <c r="N34" i="3" s="1"/>
  <c r="K34" i="3"/>
  <c r="M33" i="3"/>
  <c r="N33" i="3" s="1"/>
  <c r="K33" i="3"/>
  <c r="M32" i="3"/>
  <c r="N32" i="3" s="1"/>
  <c r="K32" i="3"/>
  <c r="M31" i="3"/>
  <c r="N31" i="3" s="1"/>
  <c r="K31" i="3"/>
  <c r="M30" i="3"/>
  <c r="N30" i="3" s="1"/>
  <c r="K30" i="3"/>
  <c r="M29" i="3"/>
  <c r="N29" i="3" s="1"/>
  <c r="K29" i="3"/>
  <c r="M28" i="3"/>
  <c r="N28" i="3" s="1"/>
  <c r="K28" i="3"/>
  <c r="M27" i="3"/>
  <c r="N27" i="3" s="1"/>
  <c r="K27" i="3"/>
  <c r="M26" i="3"/>
  <c r="N26" i="3" s="1"/>
  <c r="K26" i="3"/>
  <c r="M25" i="3"/>
  <c r="N25" i="3" s="1"/>
  <c r="K25" i="3"/>
  <c r="M24" i="3"/>
  <c r="N24" i="3" s="1"/>
  <c r="K24" i="3"/>
  <c r="M23" i="3"/>
  <c r="K23" i="3"/>
  <c r="M22" i="3"/>
  <c r="N22" i="3" s="1"/>
  <c r="K22" i="3"/>
  <c r="M21" i="3"/>
  <c r="N21" i="3" s="1"/>
  <c r="K21" i="3"/>
  <c r="M20" i="3"/>
  <c r="N20" i="3" s="1"/>
  <c r="K20" i="3"/>
  <c r="M19" i="3"/>
  <c r="N19" i="3" s="1"/>
  <c r="K19" i="3"/>
  <c r="M18" i="3"/>
  <c r="N18" i="3" s="1"/>
  <c r="K18" i="3"/>
  <c r="M17" i="3"/>
  <c r="N17" i="3" s="1"/>
  <c r="K17" i="3"/>
  <c r="M16" i="3"/>
  <c r="N16" i="3" s="1"/>
  <c r="K16" i="3"/>
  <c r="M15" i="3"/>
  <c r="K15" i="3"/>
  <c r="G15" i="3"/>
  <c r="G87" i="3" s="1"/>
  <c r="P38" i="3"/>
  <c r="N38" i="3"/>
  <c r="N11" i="3"/>
  <c r="P10" i="3"/>
  <c r="N10" i="3"/>
  <c r="N8" i="3"/>
  <c r="N4" i="3"/>
  <c r="N121" i="3"/>
  <c r="N117" i="3"/>
  <c r="P116" i="3"/>
  <c r="P115" i="3"/>
  <c r="N115" i="3"/>
  <c r="P92" i="3"/>
  <c r="N92" i="3"/>
  <c r="N88" i="3"/>
  <c r="M114" i="3"/>
  <c r="N114" i="3" s="1"/>
  <c r="K114" i="3"/>
  <c r="M113" i="3"/>
  <c r="N113" i="3" s="1"/>
  <c r="K113" i="3"/>
  <c r="M112" i="3"/>
  <c r="N112" i="3" s="1"/>
  <c r="K112" i="3"/>
  <c r="M111" i="3"/>
  <c r="N111" i="3" s="1"/>
  <c r="K111" i="3"/>
  <c r="M110" i="3"/>
  <c r="N110" i="3" s="1"/>
  <c r="K110" i="3"/>
  <c r="M109" i="3"/>
  <c r="N109" i="3" s="1"/>
  <c r="K109" i="3"/>
  <c r="M108" i="3"/>
  <c r="N108" i="3" s="1"/>
  <c r="K108" i="3"/>
  <c r="M107" i="3"/>
  <c r="N107" i="3" s="1"/>
  <c r="K107" i="3"/>
  <c r="M106" i="3"/>
  <c r="N106" i="3" s="1"/>
  <c r="K106" i="3"/>
  <c r="M105" i="3"/>
  <c r="N105" i="3" s="1"/>
  <c r="K105" i="3"/>
  <c r="M104" i="3"/>
  <c r="N104" i="3" s="1"/>
  <c r="K104" i="3"/>
  <c r="M103" i="3"/>
  <c r="N103" i="3" s="1"/>
  <c r="K103" i="3"/>
  <c r="M102" i="3"/>
  <c r="N102" i="3" s="1"/>
  <c r="K102" i="3"/>
  <c r="M101" i="3"/>
  <c r="N101" i="3" s="1"/>
  <c r="K101" i="3"/>
  <c r="M100" i="3"/>
  <c r="N100" i="3" s="1"/>
  <c r="K100" i="3"/>
  <c r="M99" i="3"/>
  <c r="N99" i="3" s="1"/>
  <c r="K99" i="3"/>
  <c r="M98" i="3"/>
  <c r="N98" i="3" s="1"/>
  <c r="K98" i="3"/>
  <c r="M97" i="3"/>
  <c r="N97" i="3" s="1"/>
  <c r="K97" i="3"/>
  <c r="M96" i="3"/>
  <c r="N96" i="3" s="1"/>
  <c r="K96" i="3"/>
  <c r="M95" i="3"/>
  <c r="N95" i="3" s="1"/>
  <c r="K95" i="3"/>
  <c r="M94" i="3"/>
  <c r="N94" i="3" s="1"/>
  <c r="K94" i="3"/>
  <c r="M93" i="3"/>
  <c r="K93" i="3"/>
  <c r="G93" i="3"/>
  <c r="G176" i="3" s="1"/>
  <c r="C93" i="3"/>
  <c r="P930" i="1"/>
  <c r="O929" i="1"/>
  <c r="P926" i="1"/>
  <c r="O926" i="1"/>
  <c r="P924" i="1"/>
  <c r="O923" i="1"/>
  <c r="P921" i="1"/>
  <c r="N913" i="1"/>
  <c r="O913" i="1" s="1"/>
  <c r="P912" i="1"/>
  <c r="P908" i="1"/>
  <c r="P905" i="1"/>
  <c r="O905" i="1"/>
  <c r="P903" i="1"/>
  <c r="P901" i="1"/>
  <c r="O901" i="1"/>
  <c r="P899" i="1"/>
  <c r="P895" i="1"/>
  <c r="O894" i="1"/>
  <c r="P892" i="1"/>
  <c r="O890" i="1"/>
  <c r="O874" i="1"/>
  <c r="O871" i="1"/>
  <c r="P867" i="1"/>
  <c r="P858" i="1"/>
  <c r="P845" i="1"/>
  <c r="P830" i="1"/>
  <c r="P784" i="1"/>
  <c r="P778" i="1"/>
  <c r="P775" i="1"/>
  <c r="P770" i="1"/>
  <c r="P762" i="1"/>
  <c r="P746" i="1"/>
  <c r="P734" i="1"/>
  <c r="P732" i="1"/>
  <c r="P726" i="1"/>
  <c r="P723" i="1"/>
  <c r="P714" i="1"/>
  <c r="O863" i="1"/>
  <c r="G799" i="1"/>
  <c r="H797" i="1"/>
  <c r="P828" i="1" s="1"/>
  <c r="O800" i="1"/>
  <c r="O801" i="1"/>
  <c r="O802" i="1"/>
  <c r="O803" i="1"/>
  <c r="O804" i="1"/>
  <c r="O805" i="1"/>
  <c r="O806" i="1"/>
  <c r="O807" i="1"/>
  <c r="O808" i="1"/>
  <c r="O809" i="1"/>
  <c r="O810" i="1"/>
  <c r="O812" i="1"/>
  <c r="O813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8" i="1"/>
  <c r="O799" i="1"/>
  <c r="L800" i="1"/>
  <c r="L801" i="1"/>
  <c r="L802" i="1"/>
  <c r="L803" i="1"/>
  <c r="L804" i="1"/>
  <c r="L805" i="1"/>
  <c r="L806" i="1"/>
  <c r="L807" i="1"/>
  <c r="L808" i="1"/>
  <c r="L809" i="1"/>
  <c r="L810" i="1"/>
  <c r="L812" i="1"/>
  <c r="L813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8" i="1"/>
  <c r="L799" i="1"/>
  <c r="O788" i="1"/>
  <c r="O786" i="1"/>
  <c r="O781" i="1"/>
  <c r="O777" i="1"/>
  <c r="O773" i="1"/>
  <c r="O767" i="1"/>
  <c r="O768" i="1"/>
  <c r="O760" i="1"/>
  <c r="N751" i="1"/>
  <c r="O745" i="1"/>
  <c r="M725" i="1"/>
  <c r="O725" i="1" s="1"/>
  <c r="O722" i="1"/>
  <c r="O714" i="1"/>
  <c r="F705" i="1"/>
  <c r="O711" i="1"/>
  <c r="O710" i="1"/>
  <c r="O709" i="1"/>
  <c r="O708" i="1"/>
  <c r="O707" i="1"/>
  <c r="O706" i="1"/>
  <c r="L706" i="1"/>
  <c r="L707" i="1"/>
  <c r="L708" i="1"/>
  <c r="L709" i="1"/>
  <c r="L710" i="1"/>
  <c r="L711" i="1"/>
  <c r="L705" i="1"/>
  <c r="O899" i="1"/>
  <c r="O726" i="1"/>
  <c r="O924" i="1"/>
  <c r="O858" i="1"/>
  <c r="O903" i="1"/>
  <c r="O778" i="1"/>
  <c r="O867" i="1"/>
  <c r="O875" i="1"/>
  <c r="O762" i="1"/>
  <c r="O734" i="1"/>
  <c r="O912" i="1"/>
  <c r="O795" i="1"/>
  <c r="O790" i="1"/>
  <c r="O784" i="1"/>
  <c r="O895" i="1"/>
  <c r="O866" i="1"/>
  <c r="O865" i="1"/>
  <c r="O864" i="1"/>
  <c r="O732" i="1"/>
  <c r="O845" i="1"/>
  <c r="O886" i="1"/>
  <c r="O892" i="1"/>
  <c r="O754" i="1"/>
  <c r="O746" i="1"/>
  <c r="M723" i="1"/>
  <c r="O723" i="1" s="1"/>
  <c r="O908" i="1"/>
  <c r="O770" i="1"/>
  <c r="O775" i="1"/>
  <c r="O911" i="1"/>
  <c r="O862" i="1"/>
  <c r="O861" i="1"/>
  <c r="O761" i="1"/>
  <c r="O860" i="1"/>
  <c r="O753" i="1"/>
  <c r="O755" i="1"/>
  <c r="O752" i="1"/>
  <c r="O885" i="1"/>
  <c r="O910" i="1"/>
  <c r="O921" i="1"/>
  <c r="O872" i="1"/>
  <c r="O884" i="1"/>
  <c r="O907" i="1"/>
  <c r="O920" i="1"/>
  <c r="O919" i="1"/>
  <c r="O918" i="1"/>
  <c r="O915" i="1"/>
  <c r="O916" i="1"/>
  <c r="O917" i="1"/>
  <c r="O922" i="1"/>
  <c r="O925" i="1"/>
  <c r="O794" i="1"/>
  <c r="O904" i="1"/>
  <c r="O906" i="1"/>
  <c r="O909" i="1"/>
  <c r="O914" i="1"/>
  <c r="O927" i="1"/>
  <c r="O928" i="1"/>
  <c r="O930" i="1"/>
  <c r="O705" i="1"/>
  <c r="O870" i="1"/>
  <c r="L703" i="1"/>
  <c r="O783" i="1"/>
  <c r="O898" i="1"/>
  <c r="O883" i="1"/>
  <c r="O897" i="1"/>
  <c r="O793" i="1"/>
  <c r="O789" i="1"/>
  <c r="O782" i="1"/>
  <c r="O857" i="1"/>
  <c r="O759" i="1"/>
  <c r="O856" i="1"/>
  <c r="O882" i="1"/>
  <c r="O844" i="1"/>
  <c r="O846" i="1"/>
  <c r="O881" i="1"/>
  <c r="O843" i="1"/>
  <c r="O842" i="1"/>
  <c r="O891" i="1"/>
  <c r="O855" i="1"/>
  <c r="O769" i="1"/>
  <c r="O774" i="1"/>
  <c r="O854" i="1"/>
  <c r="O841" i="1"/>
  <c r="O853" i="1"/>
  <c r="O889" i="1"/>
  <c r="O840" i="1"/>
  <c r="O880" i="1"/>
  <c r="O758" i="1"/>
  <c r="O852" i="1"/>
  <c r="O879" i="1"/>
  <c r="O851" i="1"/>
  <c r="O878" i="1"/>
  <c r="O887" i="1"/>
  <c r="O888" i="1"/>
  <c r="O850" i="1"/>
  <c r="O893" i="1"/>
  <c r="O896" i="1"/>
  <c r="O900" i="1"/>
  <c r="O902" i="1"/>
  <c r="O839" i="1"/>
  <c r="O849" i="1"/>
  <c r="O838" i="1"/>
  <c r="O848" i="1"/>
  <c r="O877" i="1"/>
  <c r="O847" i="1"/>
  <c r="M751" i="1"/>
  <c r="O751" i="1" s="1"/>
  <c r="N876" i="1"/>
  <c r="P886" i="1" s="1"/>
  <c r="M876" i="1"/>
  <c r="O837" i="1"/>
  <c r="O836" i="1"/>
  <c r="O744" i="1"/>
  <c r="O835" i="1"/>
  <c r="O731" i="1"/>
  <c r="O834" i="1"/>
  <c r="O743" i="1"/>
  <c r="O747" i="1"/>
  <c r="M721" i="1"/>
  <c r="O721" i="1" s="1"/>
  <c r="O727" i="1"/>
  <c r="P696" i="1"/>
  <c r="O772" i="1"/>
  <c r="O792" i="1"/>
  <c r="O712" i="1"/>
  <c r="O713" i="1"/>
  <c r="O715" i="1"/>
  <c r="O716" i="1"/>
  <c r="O717" i="1"/>
  <c r="O718" i="1"/>
  <c r="O719" i="1"/>
  <c r="O724" i="1"/>
  <c r="O728" i="1"/>
  <c r="O729" i="1"/>
  <c r="O730" i="1"/>
  <c r="O733" i="1"/>
  <c r="O735" i="1"/>
  <c r="O736" i="1"/>
  <c r="O737" i="1"/>
  <c r="O738" i="1"/>
  <c r="O739" i="1"/>
  <c r="O740" i="1"/>
  <c r="O741" i="1"/>
  <c r="O742" i="1"/>
  <c r="O748" i="1"/>
  <c r="O750" i="1"/>
  <c r="O756" i="1"/>
  <c r="O757" i="1"/>
  <c r="O763" i="1"/>
  <c r="O764" i="1"/>
  <c r="O765" i="1"/>
  <c r="O766" i="1"/>
  <c r="O771" i="1"/>
  <c r="O776" i="1"/>
  <c r="O779" i="1"/>
  <c r="O780" i="1"/>
  <c r="O785" i="1"/>
  <c r="O787" i="1"/>
  <c r="O829" i="1"/>
  <c r="O831" i="1"/>
  <c r="O832" i="1"/>
  <c r="O833" i="1"/>
  <c r="O859" i="1"/>
  <c r="O868" i="1"/>
  <c r="O869" i="1"/>
  <c r="O703" i="1"/>
  <c r="M720" i="1"/>
  <c r="O720" i="1" s="1"/>
  <c r="M749" i="1"/>
  <c r="O749" i="1" s="1"/>
  <c r="M704" i="1"/>
  <c r="H704" i="1"/>
  <c r="P711" i="1" s="1"/>
  <c r="H703" i="1"/>
  <c r="O700" i="1"/>
  <c r="O699" i="1"/>
  <c r="P687" i="1"/>
  <c r="P688" i="1"/>
  <c r="P686" i="1"/>
  <c r="P682" i="1"/>
  <c r="P683" i="1" s="1"/>
  <c r="O696" i="1"/>
  <c r="O695" i="1"/>
  <c r="O693" i="1"/>
  <c r="O692" i="1"/>
  <c r="O691" i="1"/>
  <c r="O690" i="1"/>
  <c r="O694" i="1"/>
  <c r="M685" i="1"/>
  <c r="M698" i="1" s="1"/>
  <c r="L684" i="1"/>
  <c r="L697" i="1"/>
  <c r="O697" i="1"/>
  <c r="H697" i="1"/>
  <c r="P697" i="1" s="1"/>
  <c r="O688" i="1"/>
  <c r="O689" i="1"/>
  <c r="O684" i="1"/>
  <c r="O686" i="1"/>
  <c r="O687" i="1"/>
  <c r="H684" i="1"/>
  <c r="O675" i="1"/>
  <c r="O676" i="1"/>
  <c r="O677" i="1"/>
  <c r="O678" i="1"/>
  <c r="O679" i="1"/>
  <c r="O680" i="1"/>
  <c r="O681" i="1"/>
  <c r="O682" i="1"/>
  <c r="O674" i="1"/>
  <c r="O673" i="1"/>
  <c r="O672" i="1"/>
  <c r="O671" i="1"/>
  <c r="O670" i="1"/>
  <c r="M176" i="3" l="1"/>
  <c r="N23" i="3"/>
  <c r="M87" i="3"/>
  <c r="G211" i="3"/>
  <c r="O876" i="1"/>
  <c r="M931" i="1"/>
  <c r="P754" i="1"/>
  <c r="N931" i="1"/>
  <c r="E13" i="7"/>
  <c r="D99" i="7"/>
  <c r="D125" i="7"/>
  <c r="P37" i="3"/>
  <c r="P87" i="3" s="1"/>
  <c r="P685" i="1"/>
  <c r="P698" i="1" s="1"/>
  <c r="H698" i="1"/>
  <c r="P703" i="1"/>
  <c r="H931" i="1"/>
  <c r="O704" i="1"/>
  <c r="O702" i="1"/>
  <c r="O683" i="1"/>
  <c r="O698" i="1"/>
  <c r="E14" i="7"/>
  <c r="P914" i="1"/>
  <c r="N93" i="3"/>
  <c r="N176" i="3" s="1"/>
  <c r="P114" i="3"/>
  <c r="P176" i="3" s="1"/>
  <c r="N15" i="3"/>
  <c r="P588" i="1"/>
  <c r="P624" i="1"/>
  <c r="P666" i="1"/>
  <c r="P647" i="1"/>
  <c r="P644" i="1"/>
  <c r="P641" i="1"/>
  <c r="P634" i="1"/>
  <c r="P623" i="1"/>
  <c r="P604" i="1"/>
  <c r="P593" i="1"/>
  <c r="P590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35" i="1"/>
  <c r="O636" i="1"/>
  <c r="O637" i="1"/>
  <c r="O638" i="1"/>
  <c r="O639" i="1"/>
  <c r="O640" i="1"/>
  <c r="O641" i="1"/>
  <c r="O643" i="1"/>
  <c r="O644" i="1"/>
  <c r="O645" i="1"/>
  <c r="O646" i="1"/>
  <c r="O647" i="1"/>
  <c r="O659" i="1"/>
  <c r="O660" i="1"/>
  <c r="O661" i="1"/>
  <c r="O662" i="1"/>
  <c r="O663" i="1"/>
  <c r="O664" i="1"/>
  <c r="O665" i="1"/>
  <c r="O666" i="1"/>
  <c r="O667" i="1"/>
  <c r="O668" i="1"/>
  <c r="O592" i="1"/>
  <c r="O590" i="1"/>
  <c r="L623" i="1"/>
  <c r="L622" i="1"/>
  <c r="G648" i="1"/>
  <c r="N650" i="1" s="1"/>
  <c r="O650" i="1" s="1"/>
  <c r="L620" i="1"/>
  <c r="M631" i="1"/>
  <c r="O631" i="1" s="1"/>
  <c r="K668" i="1"/>
  <c r="L668" i="1" s="1"/>
  <c r="L667" i="1"/>
  <c r="H667" i="1"/>
  <c r="P668" i="1" s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05" i="1"/>
  <c r="H659" i="1"/>
  <c r="P665" i="1" s="1"/>
  <c r="F659" i="1"/>
  <c r="H606" i="1"/>
  <c r="L644" i="1"/>
  <c r="L643" i="1"/>
  <c r="G643" i="1"/>
  <c r="G624" i="1"/>
  <c r="P620" i="1"/>
  <c r="H605" i="1"/>
  <c r="F620" i="1"/>
  <c r="G592" i="1"/>
  <c r="G590" i="1"/>
  <c r="N229" i="1"/>
  <c r="O229" i="1" s="1"/>
  <c r="N230" i="1"/>
  <c r="P230" i="1" s="1"/>
  <c r="N231" i="1"/>
  <c r="O231" i="1" s="1"/>
  <c r="N228" i="1"/>
  <c r="L229" i="1"/>
  <c r="L230" i="1"/>
  <c r="L231" i="1"/>
  <c r="L228" i="1"/>
  <c r="P579" i="1"/>
  <c r="P560" i="1"/>
  <c r="P559" i="1"/>
  <c r="P558" i="1"/>
  <c r="P557" i="1"/>
  <c r="P544" i="1"/>
  <c r="P556" i="1"/>
  <c r="P552" i="1"/>
  <c r="P548" i="1"/>
  <c r="P543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4" i="1"/>
  <c r="O560" i="1"/>
  <c r="O559" i="1"/>
  <c r="O558" i="1"/>
  <c r="O557" i="1"/>
  <c r="O556" i="1"/>
  <c r="O555" i="1"/>
  <c r="O554" i="1"/>
  <c r="O552" i="1"/>
  <c r="O551" i="1"/>
  <c r="O550" i="1"/>
  <c r="O549" i="1"/>
  <c r="O548" i="1"/>
  <c r="O547" i="1"/>
  <c r="O546" i="1"/>
  <c r="O545" i="1"/>
  <c r="O543" i="1"/>
  <c r="O541" i="1"/>
  <c r="L575" i="1"/>
  <c r="M576" i="1"/>
  <c r="K576" i="1"/>
  <c r="G575" i="1"/>
  <c r="N575" i="1" s="1"/>
  <c r="O575" i="1" s="1"/>
  <c r="N573" i="1"/>
  <c r="O573" i="1" s="1"/>
  <c r="L573" i="1"/>
  <c r="N562" i="1"/>
  <c r="O562" i="1" s="1"/>
  <c r="N563" i="1"/>
  <c r="O563" i="1" s="1"/>
  <c r="N564" i="1"/>
  <c r="O564" i="1" s="1"/>
  <c r="N565" i="1"/>
  <c r="O565" i="1" s="1"/>
  <c r="N566" i="1"/>
  <c r="O566" i="1" s="1"/>
  <c r="N567" i="1"/>
  <c r="O567" i="1" s="1"/>
  <c r="N568" i="1"/>
  <c r="O568" i="1" s="1"/>
  <c r="N569" i="1"/>
  <c r="O569" i="1" s="1"/>
  <c r="N570" i="1"/>
  <c r="O570" i="1" s="1"/>
  <c r="N571" i="1"/>
  <c r="O571" i="1" s="1"/>
  <c r="N572" i="1"/>
  <c r="O572" i="1" s="1"/>
  <c r="N561" i="1"/>
  <c r="L562" i="1"/>
  <c r="L563" i="1"/>
  <c r="L565" i="1"/>
  <c r="L566" i="1"/>
  <c r="L567" i="1"/>
  <c r="L568" i="1"/>
  <c r="L569" i="1"/>
  <c r="L570" i="1"/>
  <c r="L571" i="1"/>
  <c r="L572" i="1"/>
  <c r="O35" i="1"/>
  <c r="O34" i="1"/>
  <c r="O33" i="1"/>
  <c r="O32" i="1"/>
  <c r="O31" i="1"/>
  <c r="O30" i="1"/>
  <c r="O29" i="1"/>
  <c r="O28" i="1"/>
  <c r="O27" i="1"/>
  <c r="O26" i="1"/>
  <c r="O24" i="1"/>
  <c r="O23" i="1"/>
  <c r="O22" i="1"/>
  <c r="O21" i="1"/>
  <c r="O20" i="1"/>
  <c r="O19" i="1"/>
  <c r="O18" i="1"/>
  <c r="O17" i="1"/>
  <c r="O16" i="1"/>
  <c r="O15" i="1"/>
  <c r="O14" i="1"/>
  <c r="O13" i="1"/>
  <c r="O538" i="1"/>
  <c r="O537" i="1"/>
  <c r="P530" i="1"/>
  <c r="P523" i="1"/>
  <c r="P504" i="1"/>
  <c r="P499" i="1"/>
  <c r="P498" i="1"/>
  <c r="P490" i="1"/>
  <c r="P480" i="1"/>
  <c r="P477" i="1"/>
  <c r="P464" i="1"/>
  <c r="P451" i="1"/>
  <c r="P431" i="1"/>
  <c r="N535" i="1"/>
  <c r="O535" i="1" s="1"/>
  <c r="N532" i="1"/>
  <c r="O532" i="1" s="1"/>
  <c r="N533" i="1"/>
  <c r="O533" i="1" s="1"/>
  <c r="N534" i="1"/>
  <c r="O534" i="1" s="1"/>
  <c r="N531" i="1"/>
  <c r="O531" i="1" s="1"/>
  <c r="N521" i="1"/>
  <c r="O521" i="1" s="1"/>
  <c r="N520" i="1"/>
  <c r="O520" i="1" s="1"/>
  <c r="N509" i="1"/>
  <c r="O509" i="1" s="1"/>
  <c r="N510" i="1"/>
  <c r="O510" i="1" s="1"/>
  <c r="N511" i="1"/>
  <c r="O511" i="1" s="1"/>
  <c r="N512" i="1"/>
  <c r="O512" i="1" s="1"/>
  <c r="N513" i="1"/>
  <c r="O513" i="1" s="1"/>
  <c r="N514" i="1"/>
  <c r="O514" i="1" s="1"/>
  <c r="N515" i="1"/>
  <c r="O515" i="1" s="1"/>
  <c r="N516" i="1"/>
  <c r="O516" i="1" s="1"/>
  <c r="N517" i="1"/>
  <c r="O517" i="1" s="1"/>
  <c r="N508" i="1"/>
  <c r="O477" i="1"/>
  <c r="O439" i="1"/>
  <c r="O450" i="1"/>
  <c r="O530" i="1"/>
  <c r="O529" i="1"/>
  <c r="O528" i="1"/>
  <c r="O527" i="1"/>
  <c r="O526" i="1"/>
  <c r="O525" i="1"/>
  <c r="O524" i="1"/>
  <c r="O522" i="1"/>
  <c r="O519" i="1"/>
  <c r="O518" i="1"/>
  <c r="O504" i="1"/>
  <c r="O503" i="1"/>
  <c r="O498" i="1"/>
  <c r="O497" i="1"/>
  <c r="O496" i="1"/>
  <c r="O490" i="1"/>
  <c r="O489" i="1"/>
  <c r="O488" i="1"/>
  <c r="O487" i="1"/>
  <c r="O486" i="1"/>
  <c r="O485" i="1"/>
  <c r="O484" i="1"/>
  <c r="O483" i="1"/>
  <c r="O482" i="1"/>
  <c r="O480" i="1"/>
  <c r="O479" i="1"/>
  <c r="O478" i="1"/>
  <c r="O476" i="1"/>
  <c r="O475" i="1"/>
  <c r="O473" i="1"/>
  <c r="O472" i="1"/>
  <c r="O471" i="1"/>
  <c r="O469" i="1"/>
  <c r="O468" i="1"/>
  <c r="O467" i="1"/>
  <c r="O466" i="1"/>
  <c r="O465" i="1"/>
  <c r="O464" i="1"/>
  <c r="O455" i="1"/>
  <c r="O454" i="1"/>
  <c r="O453" i="1"/>
  <c r="O451" i="1"/>
  <c r="O449" i="1"/>
  <c r="O448" i="1"/>
  <c r="O447" i="1"/>
  <c r="O446" i="1"/>
  <c r="O445" i="1"/>
  <c r="O444" i="1"/>
  <c r="O443" i="1"/>
  <c r="O440" i="1"/>
  <c r="O438" i="1"/>
  <c r="O437" i="1"/>
  <c r="O436" i="1"/>
  <c r="O435" i="1"/>
  <c r="O433" i="1"/>
  <c r="O432" i="1"/>
  <c r="O431" i="1"/>
  <c r="O430" i="1"/>
  <c r="O429" i="1"/>
  <c r="O428" i="1"/>
  <c r="O427" i="1"/>
  <c r="O426" i="1"/>
  <c r="O425" i="1"/>
  <c r="O424" i="1"/>
  <c r="L433" i="1"/>
  <c r="L451" i="1"/>
  <c r="L440" i="1"/>
  <c r="L504" i="1"/>
  <c r="M470" i="1"/>
  <c r="O470" i="1" s="1"/>
  <c r="M539" i="1"/>
  <c r="N539" i="1" s="1"/>
  <c r="M452" i="1"/>
  <c r="O420" i="1"/>
  <c r="O270" i="1"/>
  <c r="O269" i="1"/>
  <c r="O268" i="1"/>
  <c r="O261" i="1"/>
  <c r="O260" i="1"/>
  <c r="O259" i="1"/>
  <c r="O253" i="1"/>
  <c r="O245" i="1"/>
  <c r="O243" i="1"/>
  <c r="O242" i="1"/>
  <c r="N247" i="1"/>
  <c r="O247" i="1" s="1"/>
  <c r="O206" i="1"/>
  <c r="L206" i="1"/>
  <c r="O172" i="1"/>
  <c r="P169" i="1"/>
  <c r="O169" i="1"/>
  <c r="O175" i="1"/>
  <c r="O166" i="1"/>
  <c r="P210" i="1"/>
  <c r="O210" i="1"/>
  <c r="O181" i="1"/>
  <c r="O178" i="1"/>
  <c r="P168" i="1"/>
  <c r="P164" i="1"/>
  <c r="O226" i="1"/>
  <c r="O163" i="1"/>
  <c r="O204" i="1"/>
  <c r="O203" i="1"/>
  <c r="O180" i="1"/>
  <c r="O179" i="1"/>
  <c r="O177" i="1"/>
  <c r="O176" i="1"/>
  <c r="O174" i="1"/>
  <c r="O173" i="1"/>
  <c r="O171" i="1"/>
  <c r="O170" i="1"/>
  <c r="O168" i="1"/>
  <c r="O167" i="1"/>
  <c r="O165" i="1"/>
  <c r="O164" i="1"/>
  <c r="O162" i="1"/>
  <c r="O223" i="1"/>
  <c r="O220" i="1"/>
  <c r="O218" i="1"/>
  <c r="O217" i="1"/>
  <c r="O216" i="1"/>
  <c r="O209" i="1"/>
  <c r="O208" i="1"/>
  <c r="O207" i="1"/>
  <c r="O161" i="1"/>
  <c r="O160" i="1"/>
  <c r="O154" i="1"/>
  <c r="P155" i="1"/>
  <c r="O158" i="1"/>
  <c r="O153" i="1"/>
  <c r="O155" i="1"/>
  <c r="O152" i="1"/>
  <c r="P378" i="1"/>
  <c r="O377" i="1"/>
  <c r="P371" i="1"/>
  <c r="P363" i="1"/>
  <c r="P360" i="1"/>
  <c r="P358" i="1"/>
  <c r="P336" i="1"/>
  <c r="O366" i="1"/>
  <c r="O367" i="1"/>
  <c r="O368" i="1"/>
  <c r="O369" i="1"/>
  <c r="O339" i="1"/>
  <c r="O371" i="1"/>
  <c r="O363" i="1"/>
  <c r="O331" i="1"/>
  <c r="O326" i="1"/>
  <c r="O334" i="1"/>
  <c r="L334" i="1"/>
  <c r="O338" i="1"/>
  <c r="O337" i="1"/>
  <c r="O378" i="1"/>
  <c r="O372" i="1"/>
  <c r="O370" i="1"/>
  <c r="O362" i="1"/>
  <c r="O361" i="1"/>
  <c r="O359" i="1"/>
  <c r="O360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3" i="1"/>
  <c r="O332" i="1"/>
  <c r="O330" i="1"/>
  <c r="O327" i="1"/>
  <c r="O328" i="1"/>
  <c r="O325" i="1"/>
  <c r="O312" i="1"/>
  <c r="O281" i="1"/>
  <c r="O275" i="1"/>
  <c r="O280" i="1"/>
  <c r="O279" i="1"/>
  <c r="O309" i="1"/>
  <c r="P97" i="1"/>
  <c r="P38" i="1"/>
  <c r="O38" i="1"/>
  <c r="L38" i="1"/>
  <c r="O48" i="1"/>
  <c r="P45" i="1"/>
  <c r="O42" i="1"/>
  <c r="O41" i="1"/>
  <c r="O40" i="1"/>
  <c r="O39" i="1"/>
  <c r="O37" i="1"/>
  <c r="O322" i="1"/>
  <c r="O284" i="1"/>
  <c r="P323" i="1"/>
  <c r="O323" i="1"/>
  <c r="M321" i="1"/>
  <c r="O321" i="1" s="1"/>
  <c r="O319" i="1"/>
  <c r="O318" i="1"/>
  <c r="O316" i="1"/>
  <c r="P315" i="1"/>
  <c r="P311" i="1"/>
  <c r="P310" i="1"/>
  <c r="O311" i="1"/>
  <c r="O308" i="1"/>
  <c r="O307" i="1"/>
  <c r="P288" i="1"/>
  <c r="O304" i="1"/>
  <c r="O303" i="1"/>
  <c r="O302" i="1"/>
  <c r="O301" i="1"/>
  <c r="O300" i="1"/>
  <c r="O298" i="1"/>
  <c r="O288" i="1"/>
  <c r="O287" i="1"/>
  <c r="P286" i="1"/>
  <c r="O282" i="1"/>
  <c r="O277" i="1"/>
  <c r="O276" i="1"/>
  <c r="O274" i="1"/>
  <c r="O128" i="1"/>
  <c r="P149" i="1"/>
  <c r="P150" i="1"/>
  <c r="P148" i="1"/>
  <c r="O150" i="1"/>
  <c r="O148" i="1"/>
  <c r="P147" i="1"/>
  <c r="O147" i="1"/>
  <c r="O146" i="1"/>
  <c r="O145" i="1"/>
  <c r="O144" i="1"/>
  <c r="P143" i="1"/>
  <c r="P142" i="1"/>
  <c r="O142" i="1"/>
  <c r="P141" i="1"/>
  <c r="P140" i="1"/>
  <c r="O140" i="1"/>
  <c r="O139" i="1"/>
  <c r="P138" i="1"/>
  <c r="O136" i="1"/>
  <c r="O137" i="1"/>
  <c r="O129" i="1"/>
  <c r="O127" i="1"/>
  <c r="O126" i="1"/>
  <c r="O124" i="1"/>
  <c r="O123" i="1"/>
  <c r="O121" i="1"/>
  <c r="O120" i="1"/>
  <c r="O119" i="1"/>
  <c r="O118" i="1"/>
  <c r="O117" i="1"/>
  <c r="O116" i="1"/>
  <c r="O112" i="1"/>
  <c r="O111" i="1"/>
  <c r="O110" i="1"/>
  <c r="O108" i="1"/>
  <c r="O115" i="1"/>
  <c r="O114" i="1"/>
  <c r="O113" i="1"/>
  <c r="O107" i="1"/>
  <c r="O103" i="1"/>
  <c r="O102" i="1"/>
  <c r="O69" i="1"/>
  <c r="O68" i="1"/>
  <c r="O67" i="1"/>
  <c r="O66" i="1"/>
  <c r="O65" i="1"/>
  <c r="O64" i="1"/>
  <c r="O63" i="1"/>
  <c r="O60" i="1"/>
  <c r="O59" i="1"/>
  <c r="O58" i="1"/>
  <c r="O56" i="1"/>
  <c r="O53" i="1"/>
  <c r="P403" i="1"/>
  <c r="P406" i="1"/>
  <c r="P396" i="1"/>
  <c r="O396" i="1"/>
  <c r="O394" i="1"/>
  <c r="O390" i="1"/>
  <c r="O385" i="1"/>
  <c r="O384" i="1"/>
  <c r="M544" i="1"/>
  <c r="F541" i="1"/>
  <c r="H537" i="1"/>
  <c r="H540" i="1" s="1"/>
  <c r="G531" i="1"/>
  <c r="T530" i="1"/>
  <c r="M523" i="1"/>
  <c r="O523" i="1" s="1"/>
  <c r="D519" i="1"/>
  <c r="D520" i="1" s="1"/>
  <c r="D521" i="1" s="1"/>
  <c r="M507" i="1"/>
  <c r="N507" i="1" s="1"/>
  <c r="M506" i="1"/>
  <c r="N506" i="1" s="1"/>
  <c r="H506" i="1"/>
  <c r="H505" i="1"/>
  <c r="P505" i="1" s="1"/>
  <c r="M502" i="1"/>
  <c r="O502" i="1" s="1"/>
  <c r="N500" i="1"/>
  <c r="O500" i="1" s="1"/>
  <c r="M499" i="1"/>
  <c r="L499" i="1" s="1"/>
  <c r="M481" i="1"/>
  <c r="O481" i="1" s="1"/>
  <c r="L480" i="1"/>
  <c r="D479" i="1"/>
  <c r="T475" i="1"/>
  <c r="T476" i="1" s="1"/>
  <c r="T477" i="1" s="1"/>
  <c r="I475" i="1"/>
  <c r="I476" i="1" s="1"/>
  <c r="H472" i="1"/>
  <c r="P472" i="1" s="1"/>
  <c r="T467" i="1"/>
  <c r="T468" i="1" s="1"/>
  <c r="T469" i="1" s="1"/>
  <c r="T470" i="1" s="1"/>
  <c r="T471" i="1" s="1"/>
  <c r="H465" i="1"/>
  <c r="P471" i="1" s="1"/>
  <c r="I453" i="1"/>
  <c r="D453" i="1"/>
  <c r="D454" i="1" s="1"/>
  <c r="N452" i="1"/>
  <c r="H452" i="1"/>
  <c r="G447" i="1"/>
  <c r="G446" i="1"/>
  <c r="G445" i="1"/>
  <c r="G444" i="1"/>
  <c r="G443" i="1"/>
  <c r="M442" i="1"/>
  <c r="O442" i="1" s="1"/>
  <c r="G442" i="1"/>
  <c r="M441" i="1"/>
  <c r="O441" i="1" s="1"/>
  <c r="H441" i="1"/>
  <c r="P447" i="1" s="1"/>
  <c r="M434" i="1"/>
  <c r="H434" i="1"/>
  <c r="P440" i="1" s="1"/>
  <c r="H432" i="1"/>
  <c r="K420" i="1"/>
  <c r="L418" i="1"/>
  <c r="L417" i="1"/>
  <c r="L416" i="1"/>
  <c r="N415" i="1"/>
  <c r="K415" i="1"/>
  <c r="L414" i="1"/>
  <c r="L413" i="1"/>
  <c r="L412" i="1"/>
  <c r="O411" i="1"/>
  <c r="K411" i="1"/>
  <c r="O410" i="1"/>
  <c r="K410" i="1"/>
  <c r="N409" i="1"/>
  <c r="K409" i="1"/>
  <c r="N408" i="1"/>
  <c r="K408" i="1"/>
  <c r="O407" i="1"/>
  <c r="H407" i="1"/>
  <c r="M406" i="1"/>
  <c r="O406" i="1" s="1"/>
  <c r="T405" i="1"/>
  <c r="T406" i="1" s="1"/>
  <c r="M405" i="1"/>
  <c r="O405" i="1" s="1"/>
  <c r="M404" i="1"/>
  <c r="O404" i="1" s="1"/>
  <c r="T403" i="1"/>
  <c r="M403" i="1"/>
  <c r="O403" i="1" s="1"/>
  <c r="M402" i="1"/>
  <c r="O402" i="1" s="1"/>
  <c r="T400" i="1"/>
  <c r="T401" i="1" s="1"/>
  <c r="N400" i="1"/>
  <c r="O400" i="1" s="1"/>
  <c r="N399" i="1"/>
  <c r="O398" i="1"/>
  <c r="H398" i="1"/>
  <c r="P398" i="1" s="1"/>
  <c r="H394" i="1"/>
  <c r="P394" i="1" s="1"/>
  <c r="H390" i="1"/>
  <c r="P390" i="1" s="1"/>
  <c r="O389" i="1"/>
  <c r="N388" i="1"/>
  <c r="O388" i="1" s="1"/>
  <c r="N387" i="1"/>
  <c r="O387" i="1" s="1"/>
  <c r="N386" i="1"/>
  <c r="M382" i="1"/>
  <c r="H382" i="1"/>
  <c r="M381" i="1"/>
  <c r="O381" i="1" s="1"/>
  <c r="H381" i="1"/>
  <c r="M380" i="1"/>
  <c r="O380" i="1" s="1"/>
  <c r="H380" i="1"/>
  <c r="H377" i="1"/>
  <c r="P377" i="1" s="1"/>
  <c r="M376" i="1"/>
  <c r="O376" i="1" s="1"/>
  <c r="H376" i="1"/>
  <c r="P376" i="1" s="1"/>
  <c r="M375" i="1"/>
  <c r="O375" i="1" s="1"/>
  <c r="M374" i="1"/>
  <c r="O374" i="1" s="1"/>
  <c r="M373" i="1"/>
  <c r="O373" i="1" s="1"/>
  <c r="H373" i="1"/>
  <c r="P375" i="1" s="1"/>
  <c r="H372" i="1"/>
  <c r="P372" i="1" s="1"/>
  <c r="N365" i="1"/>
  <c r="O365" i="1" s="1"/>
  <c r="M364" i="1"/>
  <c r="L364" i="1" s="1"/>
  <c r="H364" i="1"/>
  <c r="L359" i="1"/>
  <c r="M358" i="1"/>
  <c r="O358" i="1" s="1"/>
  <c r="F351" i="1"/>
  <c r="M336" i="1"/>
  <c r="O336" i="1" s="1"/>
  <c r="M335" i="1"/>
  <c r="H335" i="1"/>
  <c r="H332" i="1"/>
  <c r="P334" i="1" s="1"/>
  <c r="H331" i="1"/>
  <c r="H330" i="1"/>
  <c r="M329" i="1"/>
  <c r="O329" i="1" s="1"/>
  <c r="K329" i="1"/>
  <c r="H328" i="1"/>
  <c r="H327" i="1"/>
  <c r="H326" i="1"/>
  <c r="H325" i="1"/>
  <c r="H322" i="1"/>
  <c r="P322" i="1" s="1"/>
  <c r="H319" i="1"/>
  <c r="P321" i="1" s="1"/>
  <c r="H318" i="1"/>
  <c r="P318" i="1" s="1"/>
  <c r="M317" i="1"/>
  <c r="O317" i="1" s="1"/>
  <c r="H317" i="1"/>
  <c r="P317" i="1" s="1"/>
  <c r="H316" i="1"/>
  <c r="P316" i="1" s="1"/>
  <c r="M315" i="1"/>
  <c r="O315" i="1" s="1"/>
  <c r="M314" i="1"/>
  <c r="O314" i="1" s="1"/>
  <c r="M313" i="1"/>
  <c r="O313" i="1" s="1"/>
  <c r="M310" i="1"/>
  <c r="O310" i="1" s="1"/>
  <c r="H307" i="1"/>
  <c r="P309" i="1" s="1"/>
  <c r="O306" i="1"/>
  <c r="O297" i="1"/>
  <c r="O296" i="1"/>
  <c r="O295" i="1"/>
  <c r="O294" i="1"/>
  <c r="O293" i="1"/>
  <c r="O292" i="1"/>
  <c r="O291" i="1"/>
  <c r="P306" i="1"/>
  <c r="D288" i="1"/>
  <c r="M286" i="1"/>
  <c r="O286" i="1" s="1"/>
  <c r="M285" i="1"/>
  <c r="H285" i="1"/>
  <c r="O283" i="1"/>
  <c r="H282" i="1"/>
  <c r="P284" i="1" s="1"/>
  <c r="H281" i="1"/>
  <c r="H280" i="1"/>
  <c r="M278" i="1"/>
  <c r="O278" i="1" s="1"/>
  <c r="K278" i="1"/>
  <c r="H277" i="1"/>
  <c r="H276" i="1"/>
  <c r="H275" i="1"/>
  <c r="H274" i="1"/>
  <c r="M272" i="1"/>
  <c r="O272" i="1" s="1"/>
  <c r="M271" i="1"/>
  <c r="O271" i="1" s="1"/>
  <c r="H271" i="1"/>
  <c r="H269" i="1"/>
  <c r="H268" i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F260" i="1"/>
  <c r="O258" i="1"/>
  <c r="O257" i="1"/>
  <c r="O256" i="1"/>
  <c r="O255" i="1"/>
  <c r="H255" i="1"/>
  <c r="M254" i="1"/>
  <c r="O254" i="1" s="1"/>
  <c r="N252" i="1"/>
  <c r="O252" i="1" s="1"/>
  <c r="N251" i="1"/>
  <c r="O251" i="1" s="1"/>
  <c r="L250" i="1"/>
  <c r="H250" i="1"/>
  <c r="M249" i="1"/>
  <c r="O249" i="1" s="1"/>
  <c r="M248" i="1"/>
  <c r="O248" i="1" s="1"/>
  <c r="H247" i="1"/>
  <c r="M246" i="1"/>
  <c r="L246" i="1" s="1"/>
  <c r="H245" i="1"/>
  <c r="H242" i="1"/>
  <c r="M241" i="1"/>
  <c r="N241" i="1" s="1"/>
  <c r="M240" i="1"/>
  <c r="N240" i="1" s="1"/>
  <c r="M239" i="1"/>
  <c r="N239" i="1" s="1"/>
  <c r="M238" i="1"/>
  <c r="N238" i="1" s="1"/>
  <c r="I238" i="1"/>
  <c r="I240" i="1" s="1"/>
  <c r="M237" i="1"/>
  <c r="O237" i="1" s="1"/>
  <c r="M236" i="1"/>
  <c r="O236" i="1" s="1"/>
  <c r="H236" i="1"/>
  <c r="M235" i="1"/>
  <c r="O235" i="1" s="1"/>
  <c r="H235" i="1"/>
  <c r="M234" i="1"/>
  <c r="O234" i="1" s="1"/>
  <c r="M233" i="1"/>
  <c r="H233" i="1"/>
  <c r="H226" i="1"/>
  <c r="P226" i="1" s="1"/>
  <c r="M225" i="1"/>
  <c r="L225" i="1" s="1"/>
  <c r="H225" i="1"/>
  <c r="P225" i="1" s="1"/>
  <c r="M224" i="1"/>
  <c r="O224" i="1" s="1"/>
  <c r="H224" i="1"/>
  <c r="P224" i="1" s="1"/>
  <c r="N222" i="1"/>
  <c r="M222" i="1"/>
  <c r="H220" i="1"/>
  <c r="N215" i="1"/>
  <c r="O215" i="1" s="1"/>
  <c r="O211" i="1"/>
  <c r="T208" i="1"/>
  <c r="T209" i="1" s="1"/>
  <c r="T210" i="1" s="1"/>
  <c r="M205" i="1"/>
  <c r="O205" i="1" s="1"/>
  <c r="K205" i="1"/>
  <c r="H203" i="1"/>
  <c r="P206" i="1" s="1"/>
  <c r="M202" i="1"/>
  <c r="H202" i="1"/>
  <c r="N202" i="1" s="1"/>
  <c r="M201" i="1"/>
  <c r="H201" i="1"/>
  <c r="M200" i="1"/>
  <c r="H200" i="1"/>
  <c r="N200" i="1" s="1"/>
  <c r="M199" i="1"/>
  <c r="H199" i="1"/>
  <c r="N199" i="1" s="1"/>
  <c r="M198" i="1"/>
  <c r="H198" i="1"/>
  <c r="N198" i="1" s="1"/>
  <c r="M197" i="1"/>
  <c r="H197" i="1"/>
  <c r="N197" i="1" s="1"/>
  <c r="M196" i="1"/>
  <c r="H196" i="1"/>
  <c r="N196" i="1" s="1"/>
  <c r="M195" i="1"/>
  <c r="H195" i="1"/>
  <c r="N195" i="1" s="1"/>
  <c r="M194" i="1"/>
  <c r="H194" i="1"/>
  <c r="M193" i="1"/>
  <c r="H193" i="1"/>
  <c r="N193" i="1" s="1"/>
  <c r="M192" i="1"/>
  <c r="H192" i="1"/>
  <c r="N192" i="1" s="1"/>
  <c r="M191" i="1"/>
  <c r="H191" i="1"/>
  <c r="M190" i="1"/>
  <c r="H190" i="1"/>
  <c r="M189" i="1"/>
  <c r="O189" i="1" s="1"/>
  <c r="H189" i="1"/>
  <c r="M188" i="1"/>
  <c r="H188" i="1"/>
  <c r="M187" i="1"/>
  <c r="H187" i="1"/>
  <c r="N187" i="1" s="1"/>
  <c r="M186" i="1"/>
  <c r="H186" i="1"/>
  <c r="M185" i="1"/>
  <c r="H185" i="1"/>
  <c r="H184" i="1"/>
  <c r="N184" i="1" s="1"/>
  <c r="M183" i="1"/>
  <c r="N183" i="1" s="1"/>
  <c r="M182" i="1"/>
  <c r="H182" i="1"/>
  <c r="H179" i="1"/>
  <c r="P180" i="1" s="1"/>
  <c r="T177" i="1"/>
  <c r="T178" i="1" s="1"/>
  <c r="H176" i="1"/>
  <c r="P178" i="1" s="1"/>
  <c r="H173" i="1"/>
  <c r="P175" i="1" s="1"/>
  <c r="H170" i="1"/>
  <c r="P171" i="1" s="1"/>
  <c r="H165" i="1"/>
  <c r="P166" i="1" s="1"/>
  <c r="K163" i="1"/>
  <c r="L162" i="1"/>
  <c r="H160" i="1"/>
  <c r="H158" i="1"/>
  <c r="P158" i="1" s="1"/>
  <c r="M157" i="1"/>
  <c r="O157" i="1" s="1"/>
  <c r="H157" i="1"/>
  <c r="P157" i="1" s="1"/>
  <c r="M156" i="1"/>
  <c r="H156" i="1"/>
  <c r="P156" i="1" s="1"/>
  <c r="H153" i="1"/>
  <c r="P153" i="1" s="1"/>
  <c r="L152" i="1"/>
  <c r="H152" i="1"/>
  <c r="M149" i="1"/>
  <c r="O149" i="1" s="1"/>
  <c r="H144" i="1"/>
  <c r="P145" i="1" s="1"/>
  <c r="M143" i="1"/>
  <c r="O143" i="1" s="1"/>
  <c r="M141" i="1"/>
  <c r="O141" i="1" s="1"/>
  <c r="M138" i="1"/>
  <c r="O138" i="1" s="1"/>
  <c r="H136" i="1"/>
  <c r="P137" i="1" s="1"/>
  <c r="N135" i="1"/>
  <c r="M135" i="1"/>
  <c r="N134" i="1"/>
  <c r="O134" i="1" s="1"/>
  <c r="M133" i="1"/>
  <c r="O133" i="1" s="1"/>
  <c r="M132" i="1"/>
  <c r="O132" i="1" s="1"/>
  <c r="M131" i="1"/>
  <c r="O131" i="1" s="1"/>
  <c r="M130" i="1"/>
  <c r="O130" i="1" s="1"/>
  <c r="H130" i="1"/>
  <c r="P133" i="1" s="1"/>
  <c r="H128" i="1"/>
  <c r="P129" i="1" s="1"/>
  <c r="M125" i="1"/>
  <c r="N125" i="1" s="1"/>
  <c r="H125" i="1"/>
  <c r="H123" i="1"/>
  <c r="P124" i="1" s="1"/>
  <c r="H122" i="1"/>
  <c r="H121" i="1"/>
  <c r="H120" i="1"/>
  <c r="H118" i="1"/>
  <c r="P119" i="1" s="1"/>
  <c r="H117" i="1"/>
  <c r="H116" i="1"/>
  <c r="H114" i="1"/>
  <c r="P115" i="1" s="1"/>
  <c r="H112" i="1"/>
  <c r="H111" i="1"/>
  <c r="H110" i="1"/>
  <c r="M109" i="1"/>
  <c r="N109" i="1" s="1"/>
  <c r="H109" i="1"/>
  <c r="H107" i="1"/>
  <c r="P108" i="1" s="1"/>
  <c r="M106" i="1"/>
  <c r="M105" i="1"/>
  <c r="N105" i="1" s="1"/>
  <c r="H105" i="1"/>
  <c r="M104" i="1"/>
  <c r="H104" i="1"/>
  <c r="H103" i="1"/>
  <c r="H102" i="1"/>
  <c r="H100" i="1"/>
  <c r="P100" i="1" s="1"/>
  <c r="M99" i="1"/>
  <c r="O99" i="1" s="1"/>
  <c r="H99" i="1"/>
  <c r="P99" i="1" s="1"/>
  <c r="M98" i="1"/>
  <c r="O98" i="1" s="1"/>
  <c r="H98" i="1"/>
  <c r="P98" i="1" s="1"/>
  <c r="O97" i="1"/>
  <c r="M95" i="1"/>
  <c r="O95" i="1" s="1"/>
  <c r="H95" i="1"/>
  <c r="N94" i="1"/>
  <c r="O94" i="1" s="1"/>
  <c r="M92" i="1"/>
  <c r="O92" i="1" s="1"/>
  <c r="H88" i="1"/>
  <c r="H85" i="1"/>
  <c r="P87" i="1" s="1"/>
  <c r="H83" i="1"/>
  <c r="P84" i="1" s="1"/>
  <c r="H79" i="1"/>
  <c r="P82" i="1" s="1"/>
  <c r="O78" i="1"/>
  <c r="P78" i="1"/>
  <c r="N77" i="1"/>
  <c r="M77" i="1"/>
  <c r="H77" i="1"/>
  <c r="N76" i="1"/>
  <c r="M76" i="1"/>
  <c r="H76" i="1"/>
  <c r="M75" i="1"/>
  <c r="H74" i="1"/>
  <c r="P75" i="1" s="1"/>
  <c r="H72" i="1"/>
  <c r="H71" i="1"/>
  <c r="H69" i="1"/>
  <c r="P69" i="1" s="1"/>
  <c r="H67" i="1"/>
  <c r="P68" i="1" s="1"/>
  <c r="AA67" i="1" s="1"/>
  <c r="AB67" i="1" s="1"/>
  <c r="T66" i="1"/>
  <c r="H65" i="1"/>
  <c r="P66" i="1" s="1"/>
  <c r="H63" i="1"/>
  <c r="P64" i="1" s="1"/>
  <c r="M62" i="1"/>
  <c r="N62" i="1" s="1"/>
  <c r="M61" i="1"/>
  <c r="N61" i="1" s="1"/>
  <c r="H61" i="1"/>
  <c r="H59" i="1"/>
  <c r="H58" i="1"/>
  <c r="N57" i="1"/>
  <c r="M57" i="1"/>
  <c r="H57" i="1"/>
  <c r="H56" i="1"/>
  <c r="P56" i="1" s="1"/>
  <c r="M55" i="1"/>
  <c r="H55" i="1"/>
  <c r="M54" i="1"/>
  <c r="H54" i="1"/>
  <c r="H53" i="1"/>
  <c r="H52" i="1"/>
  <c r="N51" i="1"/>
  <c r="M51" i="1"/>
  <c r="H51" i="1"/>
  <c r="N50" i="1"/>
  <c r="M50" i="1"/>
  <c r="H50" i="1"/>
  <c r="H48" i="1"/>
  <c r="P48" i="1" s="1"/>
  <c r="M47" i="1"/>
  <c r="O47" i="1" s="1"/>
  <c r="H47" i="1"/>
  <c r="P47" i="1" s="1"/>
  <c r="M46" i="1"/>
  <c r="O46" i="1" s="1"/>
  <c r="H46" i="1"/>
  <c r="P46" i="1" s="1"/>
  <c r="M45" i="1"/>
  <c r="O45" i="1" s="1"/>
  <c r="M44" i="1"/>
  <c r="H44" i="1"/>
  <c r="H42" i="1"/>
  <c r="P42" i="1" s="1"/>
  <c r="H41" i="1"/>
  <c r="H40" i="1"/>
  <c r="N25" i="1"/>
  <c r="M25" i="1"/>
  <c r="H25" i="1"/>
  <c r="O12" i="1"/>
  <c r="O11" i="1"/>
  <c r="N10" i="1"/>
  <c r="M10" i="1"/>
  <c r="H10" i="1"/>
  <c r="N8" i="1"/>
  <c r="M8" i="1"/>
  <c r="H8" i="1"/>
  <c r="N7" i="1"/>
  <c r="M7" i="1"/>
  <c r="H7" i="1"/>
  <c r="P7" i="1" s="1"/>
  <c r="N6" i="1"/>
  <c r="M6" i="1"/>
  <c r="H6" i="1"/>
  <c r="N5" i="1"/>
  <c r="P5" i="1" s="1"/>
  <c r="M5" i="1"/>
  <c r="N4" i="1"/>
  <c r="H4" i="1"/>
  <c r="N87" i="3" l="1"/>
  <c r="P6" i="1"/>
  <c r="P57" i="1"/>
  <c r="P223" i="1"/>
  <c r="P8" i="1"/>
  <c r="P35" i="1"/>
  <c r="H324" i="1"/>
  <c r="M324" i="1"/>
  <c r="H101" i="1"/>
  <c r="N101" i="1"/>
  <c r="H273" i="1"/>
  <c r="M101" i="1"/>
  <c r="O931" i="1"/>
  <c r="H1345" i="1" s="1"/>
  <c r="P211" i="3"/>
  <c r="L539" i="1"/>
  <c r="M540" i="1"/>
  <c r="M9" i="1"/>
  <c r="M36" i="1"/>
  <c r="H70" i="1"/>
  <c r="N70" i="1"/>
  <c r="H151" i="1"/>
  <c r="M227" i="1"/>
  <c r="E22" i="7"/>
  <c r="G13" i="7"/>
  <c r="H13" i="7" s="1"/>
  <c r="E147" i="7"/>
  <c r="F147" i="7"/>
  <c r="I13" i="7" s="1"/>
  <c r="D150" i="7"/>
  <c r="G14" i="7"/>
  <c r="H14" i="7" s="1"/>
  <c r="O77" i="1"/>
  <c r="P4" i="1"/>
  <c r="H9" i="1"/>
  <c r="P24" i="1"/>
  <c r="H36" i="1"/>
  <c r="O75" i="1"/>
  <c r="O233" i="1"/>
  <c r="M273" i="1"/>
  <c r="N285" i="1"/>
  <c r="N324" i="1" s="1"/>
  <c r="P381" i="1"/>
  <c r="H419" i="1"/>
  <c r="O421" i="1"/>
  <c r="N536" i="1"/>
  <c r="O539" i="1"/>
  <c r="O540" i="1" s="1"/>
  <c r="N540" i="1"/>
  <c r="O544" i="1"/>
  <c r="M589" i="1"/>
  <c r="O561" i="1"/>
  <c r="O228" i="1"/>
  <c r="N232" i="1"/>
  <c r="M669" i="1"/>
  <c r="N9" i="1"/>
  <c r="N36" i="1"/>
  <c r="H49" i="1"/>
  <c r="M49" i="1"/>
  <c r="M70" i="1"/>
  <c r="O76" i="1"/>
  <c r="P931" i="1"/>
  <c r="O106" i="1"/>
  <c r="M151" i="1"/>
  <c r="P152" i="1"/>
  <c r="P159" i="1" s="1"/>
  <c r="H159" i="1"/>
  <c r="O156" i="1"/>
  <c r="O159" i="1" s="1"/>
  <c r="M159" i="1"/>
  <c r="P162" i="1"/>
  <c r="H227" i="1"/>
  <c r="N335" i="1"/>
  <c r="N379" i="1" s="1"/>
  <c r="M379" i="1"/>
  <c r="N382" i="1"/>
  <c r="P382" i="1" s="1"/>
  <c r="P433" i="1"/>
  <c r="H536" i="1"/>
  <c r="O434" i="1"/>
  <c r="M536" i="1"/>
  <c r="P619" i="1"/>
  <c r="H669" i="1"/>
  <c r="H379" i="1"/>
  <c r="O10" i="1"/>
  <c r="P539" i="1"/>
  <c r="P540" i="1" s="1"/>
  <c r="P517" i="1"/>
  <c r="N648" i="1"/>
  <c r="N655" i="1"/>
  <c r="O655" i="1" s="1"/>
  <c r="N653" i="1"/>
  <c r="O653" i="1" s="1"/>
  <c r="N651" i="1"/>
  <c r="O651" i="1" s="1"/>
  <c r="N649" i="1"/>
  <c r="O649" i="1" s="1"/>
  <c r="N656" i="1"/>
  <c r="O656" i="1" s="1"/>
  <c r="N654" i="1"/>
  <c r="O654" i="1" s="1"/>
  <c r="N652" i="1"/>
  <c r="O652" i="1" s="1"/>
  <c r="G659" i="1"/>
  <c r="P228" i="1"/>
  <c r="O230" i="1"/>
  <c r="P229" i="1"/>
  <c r="P231" i="1"/>
  <c r="P572" i="1"/>
  <c r="P574" i="1"/>
  <c r="N576" i="1"/>
  <c r="O576" i="1" s="1"/>
  <c r="O25" i="1"/>
  <c r="L576" i="1"/>
  <c r="P521" i="1"/>
  <c r="P535" i="1"/>
  <c r="P454" i="1"/>
  <c r="P507" i="1"/>
  <c r="O508" i="1"/>
  <c r="P421" i="1"/>
  <c r="P502" i="1"/>
  <c r="O452" i="1"/>
  <c r="O507" i="1"/>
  <c r="O499" i="1"/>
  <c r="O506" i="1"/>
  <c r="O222" i="1"/>
  <c r="O6" i="1"/>
  <c r="O8" i="1"/>
  <c r="P55" i="1"/>
  <c r="O51" i="1"/>
  <c r="O57" i="1"/>
  <c r="P60" i="1"/>
  <c r="P62" i="1"/>
  <c r="P73" i="1"/>
  <c r="P77" i="1"/>
  <c r="P95" i="1"/>
  <c r="P103" i="1"/>
  <c r="P109" i="1"/>
  <c r="P113" i="1"/>
  <c r="P117" i="1"/>
  <c r="O239" i="1"/>
  <c r="O241" i="1"/>
  <c r="O246" i="1"/>
  <c r="O238" i="1"/>
  <c r="O240" i="1"/>
  <c r="P181" i="1"/>
  <c r="P193" i="1"/>
  <c r="P217" i="1"/>
  <c r="P202" i="1"/>
  <c r="P187" i="1"/>
  <c r="O184" i="1"/>
  <c r="O187" i="1"/>
  <c r="O192" i="1"/>
  <c r="O193" i="1"/>
  <c r="O195" i="1"/>
  <c r="O196" i="1"/>
  <c r="O197" i="1"/>
  <c r="O198" i="1"/>
  <c r="O199" i="1"/>
  <c r="O200" i="1"/>
  <c r="O202" i="1"/>
  <c r="P200" i="1"/>
  <c r="P184" i="1"/>
  <c r="O183" i="1"/>
  <c r="P329" i="1"/>
  <c r="AA331" i="1" s="1"/>
  <c r="AB331" i="1" s="1"/>
  <c r="P331" i="1"/>
  <c r="O225" i="1"/>
  <c r="P369" i="1"/>
  <c r="O364" i="1"/>
  <c r="P326" i="1"/>
  <c r="P275" i="1"/>
  <c r="P279" i="1"/>
  <c r="P281" i="1"/>
  <c r="P127" i="1"/>
  <c r="P91" i="1"/>
  <c r="P41" i="1"/>
  <c r="O289" i="1"/>
  <c r="O135" i="1"/>
  <c r="P122" i="1"/>
  <c r="P135" i="1"/>
  <c r="P134" i="1"/>
  <c r="P389" i="1"/>
  <c r="O125" i="1"/>
  <c r="O105" i="1"/>
  <c r="P418" i="1"/>
  <c r="O109" i="1"/>
  <c r="O50" i="1"/>
  <c r="O61" i="1"/>
  <c r="O62" i="1"/>
  <c r="O52" i="1"/>
  <c r="O4" i="1"/>
  <c r="O386" i="1"/>
  <c r="O399" i="1"/>
  <c r="O412" i="1"/>
  <c r="O414" i="1"/>
  <c r="O416" i="1"/>
  <c r="O418" i="1"/>
  <c r="O383" i="1"/>
  <c r="O413" i="1"/>
  <c r="O417" i="1"/>
  <c r="O5" i="1"/>
  <c r="O7" i="1"/>
  <c r="L410" i="1"/>
  <c r="L329" i="1"/>
  <c r="N401" i="1"/>
  <c r="O401" i="1" s="1"/>
  <c r="L205" i="1"/>
  <c r="L411" i="1"/>
  <c r="N44" i="1"/>
  <c r="N104" i="1"/>
  <c r="N185" i="1"/>
  <c r="O185" i="1" s="1"/>
  <c r="N186" i="1"/>
  <c r="O186" i="1" s="1"/>
  <c r="N188" i="1"/>
  <c r="O188" i="1" s="1"/>
  <c r="N190" i="1"/>
  <c r="O190" i="1" s="1"/>
  <c r="N191" i="1"/>
  <c r="O191" i="1" s="1"/>
  <c r="N194" i="1"/>
  <c r="O194" i="1" s="1"/>
  <c r="N201" i="1"/>
  <c r="O201" i="1" s="1"/>
  <c r="N250" i="1"/>
  <c r="O250" i="1" s="1"/>
  <c r="N182" i="1"/>
  <c r="I239" i="1"/>
  <c r="I241" i="1" s="1"/>
  <c r="P36" i="1" l="1"/>
  <c r="P9" i="1"/>
  <c r="G155" i="11"/>
  <c r="H1104" i="1"/>
  <c r="O335" i="1"/>
  <c r="O379" i="1" s="1"/>
  <c r="P285" i="1"/>
  <c r="O589" i="1"/>
  <c r="O285" i="1"/>
  <c r="O324" i="1" s="1"/>
  <c r="O382" i="1"/>
  <c r="P335" i="1"/>
  <c r="P379" i="1" s="1"/>
  <c r="F151" i="7"/>
  <c r="I14" i="7" s="1"/>
  <c r="E151" i="7"/>
  <c r="O536" i="1"/>
  <c r="M419" i="1"/>
  <c r="P106" i="1"/>
  <c r="P151" i="1" s="1"/>
  <c r="N151" i="1"/>
  <c r="O182" i="1"/>
  <c r="O227" i="1" s="1"/>
  <c r="N227" i="1"/>
  <c r="P44" i="1"/>
  <c r="P49" i="1" s="1"/>
  <c r="N49" i="1"/>
  <c r="O70" i="1"/>
  <c r="P324" i="1"/>
  <c r="P101" i="1"/>
  <c r="P536" i="1"/>
  <c r="P232" i="1"/>
  <c r="O36" i="1"/>
  <c r="N419" i="1"/>
  <c r="N273" i="1"/>
  <c r="O232" i="1"/>
  <c r="O273" i="1"/>
  <c r="O101" i="1"/>
  <c r="O9" i="1"/>
  <c r="P70" i="1"/>
  <c r="N669" i="1"/>
  <c r="N589" i="1"/>
  <c r="O648" i="1"/>
  <c r="O669" i="1" s="1"/>
  <c r="P656" i="1"/>
  <c r="P669" i="1" s="1"/>
  <c r="P576" i="1"/>
  <c r="P589" i="1" s="1"/>
  <c r="P194" i="1"/>
  <c r="P189" i="1"/>
  <c r="P183" i="1"/>
  <c r="P201" i="1"/>
  <c r="P191" i="1"/>
  <c r="P186" i="1"/>
  <c r="O44" i="1"/>
  <c r="O49" i="1" s="1"/>
  <c r="O104" i="1"/>
  <c r="O151" i="1" s="1"/>
  <c r="L415" i="1"/>
  <c r="O415" i="1"/>
  <c r="P401" i="1"/>
  <c r="P419" i="1" s="1"/>
  <c r="L408" i="1"/>
  <c r="O408" i="1"/>
  <c r="L409" i="1"/>
  <c r="O409" i="1"/>
  <c r="O419" i="1" l="1"/>
  <c r="P227" i="1"/>
</calcChain>
</file>

<file path=xl/comments1.xml><?xml version="1.0" encoding="utf-8"?>
<comments xmlns="http://schemas.openxmlformats.org/spreadsheetml/2006/main">
  <authors>
    <author>이현정</author>
  </authors>
  <commentList>
    <comment ref="N346" authorId="0" shapeId="0">
      <text>
        <r>
          <rPr>
            <b/>
            <sz val="9"/>
            <color indexed="81"/>
            <rFont val="돋움"/>
            <family val="3"/>
            <charset val="129"/>
          </rPr>
          <t>이현정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 xml:space="preserve">평가차익
</t>
        </r>
      </text>
    </comment>
    <comment ref="F965" authorId="0" shapeId="0">
      <text>
        <r>
          <rPr>
            <b/>
            <sz val="9"/>
            <color indexed="81"/>
            <rFont val="돋움"/>
            <family val="3"/>
            <charset val="129"/>
          </rPr>
          <t>이현정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합병으로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인한
신주교부</t>
        </r>
      </text>
    </comment>
  </commentList>
</comments>
</file>

<file path=xl/comments2.xml><?xml version="1.0" encoding="utf-8"?>
<comments xmlns="http://schemas.openxmlformats.org/spreadsheetml/2006/main">
  <authors>
    <author>이현정</author>
    <author>Registered User</author>
  </authors>
  <commentList>
    <comment ref="H37" authorId="0" shapeId="0">
      <text>
        <r>
          <rPr>
            <b/>
            <sz val="9"/>
            <color indexed="81"/>
            <rFont val="돋움"/>
            <family val="3"/>
            <charset val="129"/>
          </rPr>
          <t>이현정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합병으로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인한
신주교부</t>
        </r>
      </text>
    </comment>
    <comment ref="Q355" authorId="1" shapeId="0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빅히트 감액 반영</t>
        </r>
      </text>
    </comment>
    <comment ref="K382" authorId="1" shapeId="0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보통주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전환</t>
        </r>
        <r>
          <rPr>
            <sz val="9"/>
            <color indexed="81"/>
            <rFont val="Tahoma"/>
            <family val="2"/>
          </rPr>
          <t>(7/7)</t>
        </r>
      </text>
    </comment>
    <comment ref="K384" authorId="1" shapeId="0">
      <text>
        <r>
          <rPr>
            <b/>
            <sz val="9"/>
            <color indexed="81"/>
            <rFont val="Tahoma"/>
            <family val="2"/>
          </rPr>
          <t>Registered 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보통주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전환</t>
        </r>
        <r>
          <rPr>
            <sz val="9"/>
            <color indexed="81"/>
            <rFont val="Tahoma"/>
            <family val="2"/>
          </rPr>
          <t>(7/7)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8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전환주식수</t>
        </r>
        <r>
          <rPr>
            <sz val="9"/>
            <color indexed="81"/>
            <rFont val="Tahoma"/>
            <family val="2"/>
          </rPr>
          <t xml:space="preserve"> : 2,384
</t>
        </r>
        <r>
          <rPr>
            <sz val="9"/>
            <color indexed="81"/>
            <rFont val="돋움"/>
            <family val="3"/>
            <charset val="129"/>
          </rPr>
          <t>전환가격</t>
        </r>
        <r>
          <rPr>
            <sz val="9"/>
            <color indexed="81"/>
            <rFont val="Tahoma"/>
            <family val="2"/>
          </rPr>
          <t xml:space="preserve"> : 2,307,500</t>
        </r>
      </text>
    </comment>
    <comment ref="H1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전환주식수</t>
        </r>
        <r>
          <rPr>
            <sz val="9"/>
            <color indexed="81"/>
            <rFont val="Tahoma"/>
            <family val="2"/>
          </rPr>
          <t xml:space="preserve"> : 36,837
</t>
        </r>
      </text>
    </comment>
  </commentList>
</comments>
</file>

<file path=xl/sharedStrings.xml><?xml version="1.0" encoding="utf-8"?>
<sst xmlns="http://schemas.openxmlformats.org/spreadsheetml/2006/main" count="13781" uniqueCount="1570">
  <si>
    <t>IMM4</t>
    <phoneticPr fontId="3" type="noConversion"/>
  </si>
  <si>
    <t>바이어블코리아</t>
    <phoneticPr fontId="3" type="noConversion"/>
  </si>
  <si>
    <t>구주</t>
    <phoneticPr fontId="3" type="noConversion"/>
  </si>
  <si>
    <t>회수</t>
    <phoneticPr fontId="3" type="noConversion"/>
  </si>
  <si>
    <t>에너지</t>
    <phoneticPr fontId="3" type="noConversion"/>
  </si>
  <si>
    <t>정기성</t>
    <phoneticPr fontId="3" type="noConversion"/>
  </si>
  <si>
    <t>엔터테인먼트</t>
    <phoneticPr fontId="3" type="noConversion"/>
  </si>
  <si>
    <t>제이원데이타시스템</t>
    <phoneticPr fontId="3" type="noConversion"/>
  </si>
  <si>
    <t>신주</t>
    <phoneticPr fontId="3" type="noConversion"/>
  </si>
  <si>
    <t>정보통신</t>
    <phoneticPr fontId="3" type="noConversion"/>
  </si>
  <si>
    <t>폴리미디어</t>
    <phoneticPr fontId="3" type="noConversion"/>
  </si>
  <si>
    <t>배움닷컴</t>
    <phoneticPr fontId="3" type="noConversion"/>
  </si>
  <si>
    <t>기타</t>
    <phoneticPr fontId="3" type="noConversion"/>
  </si>
  <si>
    <t>김지훈</t>
    <phoneticPr fontId="3" type="noConversion"/>
  </si>
  <si>
    <t>IMM6</t>
    <phoneticPr fontId="3" type="noConversion"/>
  </si>
  <si>
    <t>써니상사</t>
    <phoneticPr fontId="3" type="noConversion"/>
  </si>
  <si>
    <t>일반제조</t>
    <phoneticPr fontId="3" type="noConversion"/>
  </si>
  <si>
    <t>김지훈</t>
  </si>
  <si>
    <t>회수</t>
  </si>
  <si>
    <t>장동우</t>
  </si>
  <si>
    <t>IMM 3</t>
  </si>
  <si>
    <t>백상석</t>
  </si>
  <si>
    <t>고성규</t>
  </si>
  <si>
    <t>감액</t>
  </si>
  <si>
    <t>이상우</t>
  </si>
  <si>
    <t>회수</t>
    <phoneticPr fontId="3" type="noConversion"/>
  </si>
  <si>
    <t>주식</t>
    <phoneticPr fontId="3" type="noConversion"/>
  </si>
  <si>
    <t>정일부</t>
    <phoneticPr fontId="3" type="noConversion"/>
  </si>
  <si>
    <t>하이쎌(엔투에이)</t>
    <phoneticPr fontId="3" type="noConversion"/>
  </si>
  <si>
    <t>감액</t>
    <phoneticPr fontId="3" type="noConversion"/>
  </si>
  <si>
    <t>백상석</t>
    <phoneticPr fontId="3" type="noConversion"/>
  </si>
  <si>
    <t>이상우</t>
    <phoneticPr fontId="3" type="noConversion"/>
  </si>
  <si>
    <t>프로젝트</t>
    <phoneticPr fontId="3" type="noConversion"/>
  </si>
  <si>
    <t>정재운</t>
    <phoneticPr fontId="3" type="noConversion"/>
  </si>
  <si>
    <t>약정투자</t>
  </si>
  <si>
    <t>수출대행</t>
  </si>
  <si>
    <t>스마트솔루션스</t>
    <phoneticPr fontId="3" type="noConversion"/>
  </si>
  <si>
    <t>이노칩테크놀러지</t>
    <phoneticPr fontId="3" type="noConversion"/>
  </si>
  <si>
    <t>써니상사</t>
    <phoneticPr fontId="3" type="noConversion"/>
  </si>
  <si>
    <t>회수</t>
    <phoneticPr fontId="3" type="noConversion"/>
  </si>
  <si>
    <t>일반제조</t>
    <phoneticPr fontId="3" type="noConversion"/>
  </si>
  <si>
    <t>YNK</t>
    <phoneticPr fontId="3" type="noConversion"/>
  </si>
  <si>
    <t>엔터테인먼트</t>
    <phoneticPr fontId="3" type="noConversion"/>
  </si>
  <si>
    <t>GEO-4</t>
    <phoneticPr fontId="3" type="noConversion"/>
  </si>
  <si>
    <t>아이마스</t>
    <phoneticPr fontId="3" type="noConversion"/>
  </si>
  <si>
    <t>감액</t>
    <phoneticPr fontId="3" type="noConversion"/>
  </si>
  <si>
    <t>정보통신</t>
    <phoneticPr fontId="3" type="noConversion"/>
  </si>
  <si>
    <t>정기성</t>
    <phoneticPr fontId="3" type="noConversion"/>
  </si>
  <si>
    <t>아이패스</t>
    <phoneticPr fontId="3" type="noConversion"/>
  </si>
  <si>
    <t>싸이럭스테크놀러지</t>
    <phoneticPr fontId="3" type="noConversion"/>
  </si>
  <si>
    <t>장동우</t>
    <phoneticPr fontId="3" type="noConversion"/>
  </si>
  <si>
    <t>815.com</t>
    <phoneticPr fontId="3" type="noConversion"/>
  </si>
  <si>
    <t>시큐어소프트</t>
    <phoneticPr fontId="3" type="noConversion"/>
  </si>
  <si>
    <t>김지훈</t>
    <phoneticPr fontId="3" type="noConversion"/>
  </si>
  <si>
    <t>한우티엔씨</t>
    <phoneticPr fontId="3" type="noConversion"/>
  </si>
  <si>
    <t>지식발전소</t>
    <phoneticPr fontId="3" type="noConversion"/>
  </si>
  <si>
    <t>한국소프트중심</t>
    <phoneticPr fontId="3" type="noConversion"/>
  </si>
  <si>
    <t>주식</t>
    <phoneticPr fontId="3" type="noConversion"/>
  </si>
  <si>
    <t>한국소프트중심</t>
    <phoneticPr fontId="3" type="noConversion"/>
  </si>
  <si>
    <t>주식</t>
    <phoneticPr fontId="3" type="noConversion"/>
  </si>
  <si>
    <t>감액</t>
    <phoneticPr fontId="3" type="noConversion"/>
  </si>
  <si>
    <t>정보통신</t>
    <phoneticPr fontId="3" type="noConversion"/>
  </si>
  <si>
    <t>장동우</t>
    <phoneticPr fontId="3" type="noConversion"/>
  </si>
  <si>
    <t>트러스트</t>
    <phoneticPr fontId="3" type="noConversion"/>
  </si>
  <si>
    <t>회수</t>
    <phoneticPr fontId="3" type="noConversion"/>
  </si>
  <si>
    <t>디지탈이메이션</t>
    <phoneticPr fontId="3" type="noConversion"/>
  </si>
  <si>
    <t>엔터테인먼트</t>
    <phoneticPr fontId="3" type="noConversion"/>
  </si>
  <si>
    <t>백상석</t>
    <phoneticPr fontId="3" type="noConversion"/>
  </si>
  <si>
    <t>동우애니메이션</t>
    <phoneticPr fontId="3" type="noConversion"/>
  </si>
  <si>
    <t>정재운</t>
    <phoneticPr fontId="3" type="noConversion"/>
  </si>
  <si>
    <t>판타그램</t>
    <phoneticPr fontId="3" type="noConversion"/>
  </si>
  <si>
    <t>이상우</t>
    <phoneticPr fontId="3" type="noConversion"/>
  </si>
  <si>
    <t>사이버패트롤</t>
    <phoneticPr fontId="3" type="noConversion"/>
  </si>
  <si>
    <t>GEO-5</t>
    <phoneticPr fontId="3" type="noConversion"/>
  </si>
  <si>
    <t xml:space="preserve"> FINE DNC</t>
    <phoneticPr fontId="3" type="noConversion"/>
  </si>
  <si>
    <t>일반제조</t>
    <phoneticPr fontId="3" type="noConversion"/>
  </si>
  <si>
    <t>오픈솔루션</t>
    <phoneticPr fontId="3" type="noConversion"/>
  </si>
  <si>
    <t>정일부</t>
    <phoneticPr fontId="3" type="noConversion"/>
  </si>
  <si>
    <t>레드테크놀러지</t>
    <phoneticPr fontId="3" type="noConversion"/>
  </si>
  <si>
    <t>스타커뮤니케이션즈</t>
    <phoneticPr fontId="3" type="noConversion"/>
  </si>
  <si>
    <t>마스타테크론</t>
    <phoneticPr fontId="3" type="noConversion"/>
  </si>
  <si>
    <t>시큐어소프트</t>
    <phoneticPr fontId="3" type="noConversion"/>
  </si>
  <si>
    <t>CB</t>
    <phoneticPr fontId="3" type="noConversion"/>
  </si>
  <si>
    <t>김지훈</t>
    <phoneticPr fontId="3" type="noConversion"/>
  </si>
  <si>
    <t>비에프에이</t>
    <phoneticPr fontId="3" type="noConversion"/>
  </si>
  <si>
    <t>프로젝트</t>
    <phoneticPr fontId="3" type="noConversion"/>
  </si>
  <si>
    <t>기타</t>
    <phoneticPr fontId="3" type="noConversion"/>
  </si>
  <si>
    <t>태양3C</t>
    <phoneticPr fontId="3" type="noConversion"/>
  </si>
  <si>
    <t>GEO-2</t>
    <phoneticPr fontId="3" type="noConversion"/>
  </si>
  <si>
    <t>디자인중심</t>
    <phoneticPr fontId="3" type="noConversion"/>
  </si>
  <si>
    <t>구주</t>
    <phoneticPr fontId="3" type="noConversion"/>
  </si>
  <si>
    <t>하우리</t>
    <phoneticPr fontId="3" type="noConversion"/>
  </si>
  <si>
    <t>네트워크앤크리에이티브</t>
    <phoneticPr fontId="3" type="noConversion"/>
  </si>
  <si>
    <t>위캔미디어</t>
    <phoneticPr fontId="3" type="noConversion"/>
  </si>
  <si>
    <t>스포츠서울21</t>
    <phoneticPr fontId="3" type="noConversion"/>
  </si>
  <si>
    <t>스콥정보통신</t>
    <phoneticPr fontId="3" type="noConversion"/>
  </si>
  <si>
    <t>고성규</t>
    <phoneticPr fontId="3" type="noConversion"/>
  </si>
  <si>
    <t>알짜마트</t>
    <phoneticPr fontId="3" type="noConversion"/>
  </si>
  <si>
    <t>유통</t>
    <phoneticPr fontId="3" type="noConversion"/>
  </si>
  <si>
    <t>이야기</t>
    <phoneticPr fontId="3" type="noConversion"/>
  </si>
  <si>
    <t xml:space="preserve">  레이젠</t>
    <phoneticPr fontId="3" type="noConversion"/>
  </si>
  <si>
    <t xml:space="preserve">  SOK</t>
    <phoneticPr fontId="3" type="noConversion"/>
  </si>
  <si>
    <t>해외 CB</t>
    <phoneticPr fontId="3" type="noConversion"/>
  </si>
  <si>
    <t>파이온</t>
    <phoneticPr fontId="3" type="noConversion"/>
  </si>
  <si>
    <t>이피지</t>
    <phoneticPr fontId="3" type="noConversion"/>
  </si>
  <si>
    <t>아이피스</t>
    <phoneticPr fontId="3" type="noConversion"/>
  </si>
  <si>
    <t>바이오탈</t>
    <phoneticPr fontId="3" type="noConversion"/>
  </si>
  <si>
    <t>디지털앤디지털</t>
    <phoneticPr fontId="3" type="noConversion"/>
  </si>
  <si>
    <t>디지틀앰에프에스</t>
    <phoneticPr fontId="3" type="noConversion"/>
  </si>
  <si>
    <t>폴리코</t>
    <phoneticPr fontId="3" type="noConversion"/>
  </si>
  <si>
    <t>바이오메카</t>
    <phoneticPr fontId="3" type="noConversion"/>
  </si>
  <si>
    <t>성진씨앤씨</t>
    <phoneticPr fontId="3" type="noConversion"/>
  </si>
  <si>
    <t>해림정보기술(에스이커뮤니케이션)</t>
    <phoneticPr fontId="3" type="noConversion"/>
  </si>
  <si>
    <t>IMM 1</t>
    <phoneticPr fontId="3" type="noConversion"/>
  </si>
  <si>
    <t>녹십자생명공학</t>
    <phoneticPr fontId="3" type="noConversion"/>
  </si>
  <si>
    <t>생명공학</t>
    <phoneticPr fontId="3" type="noConversion"/>
  </si>
  <si>
    <t>스트릿진닷컴코리아</t>
    <phoneticPr fontId="3" type="noConversion"/>
  </si>
  <si>
    <t>하나개발</t>
    <phoneticPr fontId="3" type="noConversion"/>
  </si>
  <si>
    <t>IMM 2</t>
    <phoneticPr fontId="3" type="noConversion"/>
  </si>
  <si>
    <t>메디오피아테크놀러지</t>
    <phoneticPr fontId="3" type="noConversion"/>
  </si>
  <si>
    <t>PKO</t>
    <phoneticPr fontId="3" type="noConversion"/>
  </si>
  <si>
    <t>㈜212</t>
    <phoneticPr fontId="3" type="noConversion"/>
  </si>
  <si>
    <t>팜팜테크</t>
    <phoneticPr fontId="3" type="noConversion"/>
  </si>
  <si>
    <t>이지오스</t>
    <phoneticPr fontId="3" type="noConversion"/>
  </si>
  <si>
    <t>코어세스</t>
    <phoneticPr fontId="3" type="noConversion"/>
  </si>
  <si>
    <t>바이어블코리아</t>
    <phoneticPr fontId="3" type="noConversion"/>
  </si>
  <si>
    <t>감액환입</t>
    <phoneticPr fontId="3" type="noConversion"/>
  </si>
  <si>
    <t>게임파크</t>
    <phoneticPr fontId="3" type="noConversion"/>
  </si>
  <si>
    <t>미산일렉트로닉스</t>
    <phoneticPr fontId="3" type="noConversion"/>
  </si>
  <si>
    <t xml:space="preserve"> 비에프에이</t>
    <phoneticPr fontId="3" type="noConversion"/>
  </si>
  <si>
    <t>코라이젠코리아</t>
    <phoneticPr fontId="3" type="noConversion"/>
  </si>
  <si>
    <t>그래텍</t>
    <phoneticPr fontId="3" type="noConversion"/>
  </si>
  <si>
    <t>IMM14</t>
    <phoneticPr fontId="3" type="noConversion"/>
  </si>
  <si>
    <t>노아테크놀로지</t>
    <phoneticPr fontId="3" type="noConversion"/>
  </si>
  <si>
    <t>KJ프레텍</t>
    <phoneticPr fontId="3" type="noConversion"/>
  </si>
  <si>
    <t>미토스</t>
    <phoneticPr fontId="3" type="noConversion"/>
  </si>
  <si>
    <t>케이세라</t>
    <phoneticPr fontId="3" type="noConversion"/>
  </si>
  <si>
    <t>아이콘트롤스</t>
    <phoneticPr fontId="3" type="noConversion"/>
  </si>
  <si>
    <t>CJ엔터테인먼트</t>
    <phoneticPr fontId="3" type="noConversion"/>
  </si>
  <si>
    <t>BW</t>
    <phoneticPr fontId="3" type="noConversion"/>
  </si>
  <si>
    <t>KRG 소프트</t>
    <phoneticPr fontId="3" type="noConversion"/>
  </si>
  <si>
    <t>배움닷컴</t>
    <phoneticPr fontId="3" type="noConversion"/>
  </si>
  <si>
    <t>디지틀온미디어</t>
    <phoneticPr fontId="3" type="noConversion"/>
  </si>
  <si>
    <t>인트레피드</t>
    <phoneticPr fontId="3" type="noConversion"/>
  </si>
  <si>
    <t>마들렌</t>
    <phoneticPr fontId="3" type="noConversion"/>
  </si>
  <si>
    <t>살인의추억</t>
    <phoneticPr fontId="3" type="noConversion"/>
  </si>
  <si>
    <t>아모텍</t>
    <phoneticPr fontId="3" type="noConversion"/>
  </si>
  <si>
    <t>싸이더스HQ</t>
    <phoneticPr fontId="3" type="noConversion"/>
  </si>
  <si>
    <t>대경기계기술</t>
    <phoneticPr fontId="3" type="noConversion"/>
  </si>
  <si>
    <t>대여</t>
    <phoneticPr fontId="3" type="noConversion"/>
  </si>
  <si>
    <t>EMLSI</t>
    <phoneticPr fontId="3" type="noConversion"/>
  </si>
  <si>
    <t>파수닷컴</t>
    <phoneticPr fontId="3" type="noConversion"/>
  </si>
  <si>
    <t>멀티미디어라인</t>
    <phoneticPr fontId="3" type="noConversion"/>
  </si>
  <si>
    <t>세진T&amp;M</t>
    <phoneticPr fontId="3" type="noConversion"/>
  </si>
  <si>
    <t>ABC NET</t>
    <phoneticPr fontId="3" type="noConversion"/>
  </si>
  <si>
    <t>RF T&amp;C</t>
    <phoneticPr fontId="3" type="noConversion"/>
  </si>
  <si>
    <t>CAP</t>
    <phoneticPr fontId="3" type="noConversion"/>
  </si>
  <si>
    <t>셀빅</t>
    <phoneticPr fontId="3" type="noConversion"/>
  </si>
  <si>
    <t>SKCOM</t>
    <phoneticPr fontId="3" type="noConversion"/>
  </si>
  <si>
    <t>현대네트웍스</t>
    <phoneticPr fontId="3" type="noConversion"/>
  </si>
  <si>
    <t>벨웨이브</t>
    <phoneticPr fontId="3" type="noConversion"/>
  </si>
  <si>
    <t>산양전기</t>
    <phoneticPr fontId="3" type="noConversion"/>
  </si>
  <si>
    <t>크라이젠코리아</t>
    <phoneticPr fontId="3" type="noConversion"/>
  </si>
  <si>
    <t>백상석</t>
    <phoneticPr fontId="3" type="noConversion"/>
  </si>
  <si>
    <t>감액</t>
    <phoneticPr fontId="3" type="noConversion"/>
  </si>
  <si>
    <t>정보통신</t>
    <phoneticPr fontId="3" type="noConversion"/>
  </si>
  <si>
    <t>고성규</t>
    <phoneticPr fontId="3" type="noConversion"/>
  </si>
  <si>
    <t>회수</t>
    <phoneticPr fontId="3" type="noConversion"/>
  </si>
  <si>
    <t>기타</t>
    <phoneticPr fontId="3" type="noConversion"/>
  </si>
  <si>
    <t>현대네트웍스</t>
    <phoneticPr fontId="3" type="noConversion"/>
  </si>
  <si>
    <t>벨웨이브</t>
    <phoneticPr fontId="3" type="noConversion"/>
  </si>
  <si>
    <t>정일부</t>
    <phoneticPr fontId="3" type="noConversion"/>
  </si>
  <si>
    <t>EMLSI</t>
    <phoneticPr fontId="3" type="noConversion"/>
  </si>
  <si>
    <t>장동우</t>
    <phoneticPr fontId="3" type="noConversion"/>
  </si>
  <si>
    <t>한우티엔씨</t>
    <phoneticPr fontId="3" type="noConversion"/>
  </si>
  <si>
    <t>지식발전소</t>
    <phoneticPr fontId="3" type="noConversion"/>
  </si>
  <si>
    <t>산양전기</t>
    <phoneticPr fontId="3" type="noConversion"/>
  </si>
  <si>
    <t>세원큐더스</t>
    <phoneticPr fontId="3" type="noConversion"/>
  </si>
  <si>
    <t>하이쎌(엔투에이)</t>
    <phoneticPr fontId="3" type="noConversion"/>
  </si>
  <si>
    <t>하이쎌(엔투에이)</t>
    <phoneticPr fontId="3" type="noConversion"/>
  </si>
  <si>
    <t>정보통신</t>
    <phoneticPr fontId="3" type="noConversion"/>
  </si>
  <si>
    <t>엔터테인먼트</t>
    <phoneticPr fontId="3" type="noConversion"/>
  </si>
  <si>
    <t>백상석</t>
    <phoneticPr fontId="3" type="noConversion"/>
  </si>
  <si>
    <t>IBR</t>
    <phoneticPr fontId="3" type="noConversion"/>
  </si>
  <si>
    <t>CB</t>
    <phoneticPr fontId="3" type="noConversion"/>
  </si>
  <si>
    <t>기가링크</t>
    <phoneticPr fontId="3" type="noConversion"/>
  </si>
  <si>
    <t>파이팍스환경공학</t>
    <phoneticPr fontId="3" type="noConversion"/>
  </si>
  <si>
    <t>환경</t>
    <phoneticPr fontId="3" type="noConversion"/>
  </si>
  <si>
    <t>실리온</t>
    <phoneticPr fontId="3" type="noConversion"/>
  </si>
  <si>
    <t>일반제조</t>
    <phoneticPr fontId="3" type="noConversion"/>
  </si>
  <si>
    <t>클릭커뮤니케이션</t>
    <phoneticPr fontId="3" type="noConversion"/>
  </si>
  <si>
    <t>휴먼정보기술</t>
    <phoneticPr fontId="3" type="noConversion"/>
  </si>
  <si>
    <t>에이디테크날리지</t>
    <phoneticPr fontId="3" type="noConversion"/>
  </si>
  <si>
    <t>디오스텍</t>
    <phoneticPr fontId="3" type="noConversion"/>
  </si>
  <si>
    <t>한넷웨어</t>
    <phoneticPr fontId="3" type="noConversion"/>
  </si>
  <si>
    <t>나모텍</t>
    <phoneticPr fontId="3" type="noConversion"/>
  </si>
  <si>
    <t>IMM 5</t>
    <phoneticPr fontId="3" type="noConversion"/>
  </si>
  <si>
    <t>메디오피아테크놀러지</t>
    <phoneticPr fontId="3" type="noConversion"/>
  </si>
  <si>
    <t>넷인비즈</t>
    <phoneticPr fontId="3" type="noConversion"/>
  </si>
  <si>
    <t>감액</t>
    <phoneticPr fontId="3" type="noConversion"/>
  </si>
  <si>
    <t>고성규</t>
    <phoneticPr fontId="3" type="noConversion"/>
  </si>
  <si>
    <t>싸이럭스테크놀러지</t>
    <phoneticPr fontId="3" type="noConversion"/>
  </si>
  <si>
    <t>장동우</t>
    <phoneticPr fontId="3" type="noConversion"/>
  </si>
  <si>
    <t>지우텍(실리콘앤시스템즈)</t>
    <phoneticPr fontId="3" type="noConversion"/>
  </si>
  <si>
    <t>펩트론</t>
    <phoneticPr fontId="3" type="noConversion"/>
  </si>
  <si>
    <t>생명공학</t>
    <phoneticPr fontId="3" type="noConversion"/>
  </si>
  <si>
    <t>정일부</t>
    <phoneticPr fontId="3" type="noConversion"/>
  </si>
  <si>
    <t>위트넷</t>
    <phoneticPr fontId="3" type="noConversion"/>
  </si>
  <si>
    <t>김지훈</t>
    <phoneticPr fontId="3" type="noConversion"/>
  </si>
  <si>
    <t>네스디스플레이</t>
    <phoneticPr fontId="3" type="noConversion"/>
  </si>
  <si>
    <t>이노비스</t>
    <phoneticPr fontId="3" type="noConversion"/>
  </si>
  <si>
    <t>아트랩</t>
    <phoneticPr fontId="3" type="noConversion"/>
  </si>
  <si>
    <t>디스크뱅크</t>
    <phoneticPr fontId="3" type="noConversion"/>
  </si>
  <si>
    <t>이상우</t>
    <phoneticPr fontId="3" type="noConversion"/>
  </si>
  <si>
    <t>디스크뱅크</t>
    <phoneticPr fontId="3" type="noConversion"/>
  </si>
  <si>
    <t>한컴리눅스</t>
    <phoneticPr fontId="3" type="noConversion"/>
  </si>
  <si>
    <t>정기성</t>
    <phoneticPr fontId="3" type="noConversion"/>
  </si>
  <si>
    <t>오버래브</t>
    <phoneticPr fontId="3" type="noConversion"/>
  </si>
  <si>
    <t>프랭크린와이어리스(악세시오)</t>
    <phoneticPr fontId="3" type="noConversion"/>
  </si>
  <si>
    <t>SKCOM</t>
    <phoneticPr fontId="3" type="noConversion"/>
  </si>
  <si>
    <t>아시아비젼</t>
    <phoneticPr fontId="3" type="noConversion"/>
  </si>
  <si>
    <t>CB</t>
    <phoneticPr fontId="3" type="noConversion"/>
  </si>
  <si>
    <t>기타</t>
    <phoneticPr fontId="3" type="noConversion"/>
  </si>
  <si>
    <t>고성규</t>
    <phoneticPr fontId="3" type="noConversion"/>
  </si>
  <si>
    <t>민ITS</t>
    <phoneticPr fontId="3" type="noConversion"/>
  </si>
  <si>
    <t>프로젝트</t>
    <phoneticPr fontId="3" type="noConversion"/>
  </si>
  <si>
    <t>백상석</t>
    <phoneticPr fontId="3" type="noConversion"/>
  </si>
  <si>
    <t>스마트솔루션스</t>
    <phoneticPr fontId="3" type="noConversion"/>
  </si>
  <si>
    <t>넥스트인스트루먼트</t>
    <phoneticPr fontId="3" type="noConversion"/>
  </si>
  <si>
    <t>정일부</t>
    <phoneticPr fontId="3" type="noConversion"/>
  </si>
  <si>
    <t>인사이드TNC</t>
    <phoneticPr fontId="3" type="noConversion"/>
  </si>
  <si>
    <t>이상우</t>
    <phoneticPr fontId="3" type="noConversion"/>
  </si>
  <si>
    <t>이노칩테크놀러지</t>
    <phoneticPr fontId="3" type="noConversion"/>
  </si>
  <si>
    <t>산양전기</t>
    <phoneticPr fontId="3" type="noConversion"/>
  </si>
  <si>
    <t>태양3C</t>
    <phoneticPr fontId="3" type="noConversion"/>
  </si>
  <si>
    <t>씨디네트웍스</t>
    <phoneticPr fontId="3" type="noConversion"/>
  </si>
  <si>
    <t>하이쎌(엔투에이)</t>
    <phoneticPr fontId="3" type="noConversion"/>
  </si>
  <si>
    <t>IMM 8</t>
    <phoneticPr fontId="3" type="noConversion"/>
  </si>
  <si>
    <t>테라디안</t>
    <phoneticPr fontId="3" type="noConversion"/>
  </si>
  <si>
    <t>현물분배</t>
    <phoneticPr fontId="3" type="noConversion"/>
  </si>
  <si>
    <t>IMM 12</t>
    <phoneticPr fontId="3" type="noConversion"/>
  </si>
  <si>
    <t>이니엄</t>
    <phoneticPr fontId="3" type="noConversion"/>
  </si>
  <si>
    <t>단기대여</t>
    <phoneticPr fontId="3" type="noConversion"/>
  </si>
  <si>
    <t>재미인터렉티브</t>
    <phoneticPr fontId="3" type="noConversion"/>
  </si>
  <si>
    <t>나비야인터테인먼트</t>
    <phoneticPr fontId="3" type="noConversion"/>
  </si>
  <si>
    <t>웍스뮤직</t>
    <phoneticPr fontId="3" type="noConversion"/>
  </si>
  <si>
    <t>모두모어</t>
    <phoneticPr fontId="3" type="noConversion"/>
  </si>
  <si>
    <t>미용컨설팅</t>
    <phoneticPr fontId="3" type="noConversion"/>
  </si>
  <si>
    <t>이투엠솔루션</t>
    <phoneticPr fontId="3" type="noConversion"/>
  </si>
  <si>
    <t>알바21회원권거래소</t>
    <phoneticPr fontId="3" type="noConversion"/>
  </si>
  <si>
    <t>신보정보통신</t>
    <phoneticPr fontId="3" type="noConversion"/>
  </si>
  <si>
    <t>이투스그룹</t>
    <phoneticPr fontId="3" type="noConversion"/>
  </si>
  <si>
    <t>온라인교육</t>
    <phoneticPr fontId="3" type="noConversion"/>
  </si>
  <si>
    <t>팅크웨어</t>
    <phoneticPr fontId="3" type="noConversion"/>
  </si>
  <si>
    <t>영화사청어람</t>
    <phoneticPr fontId="3" type="noConversion"/>
  </si>
  <si>
    <t>정재운</t>
    <phoneticPr fontId="3" type="noConversion"/>
  </si>
  <si>
    <t>한국OTC</t>
    <phoneticPr fontId="3" type="noConversion"/>
  </si>
  <si>
    <t>컨설팅</t>
    <phoneticPr fontId="3" type="noConversion"/>
  </si>
  <si>
    <t>수출대행</t>
    <phoneticPr fontId="3" type="noConversion"/>
  </si>
  <si>
    <t>수출대행</t>
    <phoneticPr fontId="3" type="noConversion"/>
  </si>
  <si>
    <t>IMM6</t>
  </si>
  <si>
    <t>IMM4</t>
  </si>
  <si>
    <t>GEO-4</t>
  </si>
  <si>
    <t>GEO-1</t>
  </si>
  <si>
    <t>GEO-5</t>
  </si>
  <si>
    <t>GEO-2</t>
  </si>
  <si>
    <t>IMM 1</t>
  </si>
  <si>
    <t>IMM 2</t>
  </si>
  <si>
    <t>IMM14</t>
  </si>
  <si>
    <t>GEO-3</t>
  </si>
  <si>
    <t>GEO-7</t>
  </si>
  <si>
    <t>세원큐더스</t>
  </si>
  <si>
    <t>IMM 5</t>
  </si>
  <si>
    <t>IMM 8</t>
  </si>
  <si>
    <t>IMM 12</t>
  </si>
  <si>
    <t>CJ엔터테인먼트</t>
    <phoneticPr fontId="3" type="noConversion"/>
  </si>
  <si>
    <t>엔터테인먼트</t>
    <phoneticPr fontId="3" type="noConversion"/>
  </si>
  <si>
    <t>백상석</t>
    <phoneticPr fontId="3" type="noConversion"/>
  </si>
  <si>
    <t>투자유가증권</t>
    <phoneticPr fontId="2" type="noConversion"/>
  </si>
  <si>
    <t>투자사채</t>
    <phoneticPr fontId="2" type="noConversion"/>
  </si>
  <si>
    <t>투자주식</t>
    <phoneticPr fontId="2" type="noConversion"/>
  </si>
  <si>
    <t>투자금액</t>
  </si>
  <si>
    <t>스콥정보통신</t>
  </si>
  <si>
    <t>재미인터렉티브</t>
  </si>
  <si>
    <t>팅크웨어</t>
  </si>
  <si>
    <t>모나리자</t>
  </si>
  <si>
    <t>스포츠토토</t>
  </si>
  <si>
    <t>드림익스큐션</t>
  </si>
  <si>
    <t>에피밸리</t>
  </si>
  <si>
    <t>오렘</t>
  </si>
  <si>
    <t>FCI</t>
  </si>
  <si>
    <t>바텍</t>
  </si>
  <si>
    <t>이소프팅</t>
  </si>
  <si>
    <t>JYP ENT</t>
  </si>
  <si>
    <t>RMS KOREA</t>
  </si>
  <si>
    <t>한국하이네트</t>
  </si>
  <si>
    <t>엔타즈</t>
  </si>
  <si>
    <t>이우테크놀로지</t>
  </si>
  <si>
    <t>인트로메딕</t>
  </si>
  <si>
    <t>하이젠모터</t>
  </si>
  <si>
    <t>JRSC</t>
  </si>
  <si>
    <t>웅진패스원</t>
  </si>
  <si>
    <t>투자주식</t>
    <phoneticPr fontId="2" type="noConversion"/>
  </si>
  <si>
    <t>회수</t>
    <phoneticPr fontId="2" type="noConversion"/>
  </si>
  <si>
    <t>투자유가증권</t>
  </si>
  <si>
    <t>투자유가증권</t>
    <phoneticPr fontId="2" type="noConversion"/>
  </si>
  <si>
    <t>회수</t>
    <phoneticPr fontId="2" type="noConversion"/>
  </si>
  <si>
    <t>정일부</t>
    <phoneticPr fontId="2" type="noConversion"/>
  </si>
  <si>
    <t>투자주식</t>
    <phoneticPr fontId="2" type="noConversion"/>
  </si>
  <si>
    <t>투자사채</t>
    <phoneticPr fontId="2" type="noConversion"/>
  </si>
  <si>
    <t>약정투자</t>
    <phoneticPr fontId="2" type="noConversion"/>
  </si>
  <si>
    <t>정기성</t>
    <phoneticPr fontId="2" type="noConversion"/>
  </si>
  <si>
    <t>아이마스</t>
    <phoneticPr fontId="2" type="noConversion"/>
  </si>
  <si>
    <t>투자주식</t>
    <phoneticPr fontId="2" type="noConversion"/>
  </si>
  <si>
    <t>프로젝트투자</t>
    <phoneticPr fontId="2" type="noConversion"/>
  </si>
  <si>
    <t>주식</t>
    <phoneticPr fontId="3" type="noConversion"/>
  </si>
  <si>
    <t>회수</t>
    <phoneticPr fontId="2" type="noConversion"/>
  </si>
  <si>
    <t>투자주식</t>
    <phoneticPr fontId="2" type="noConversion"/>
  </si>
  <si>
    <t>투자사채</t>
    <phoneticPr fontId="2" type="noConversion"/>
  </si>
  <si>
    <t>투자유가증권</t>
    <phoneticPr fontId="2" type="noConversion"/>
  </si>
  <si>
    <t>투자주식</t>
    <phoneticPr fontId="2" type="noConversion"/>
  </si>
  <si>
    <t>투자유가증권</t>
    <phoneticPr fontId="2" type="noConversion"/>
  </si>
  <si>
    <t>프로젝트투자</t>
    <phoneticPr fontId="2" type="noConversion"/>
  </si>
  <si>
    <t>투자주식</t>
    <phoneticPr fontId="2" type="noConversion"/>
  </si>
  <si>
    <t>투자사채</t>
    <phoneticPr fontId="2" type="noConversion"/>
  </si>
  <si>
    <t>유가증권</t>
    <phoneticPr fontId="2" type="noConversion"/>
  </si>
  <si>
    <t>새롬기술</t>
    <phoneticPr fontId="3" type="noConversion"/>
  </si>
  <si>
    <t>휴먼컴</t>
    <phoneticPr fontId="3" type="noConversion"/>
  </si>
  <si>
    <t>동아제약</t>
    <phoneticPr fontId="3" type="noConversion"/>
  </si>
  <si>
    <t>삼성전자</t>
    <phoneticPr fontId="3" type="noConversion"/>
  </si>
  <si>
    <t>다음커뮤티케이션</t>
    <phoneticPr fontId="3" type="noConversion"/>
  </si>
  <si>
    <t>엔씨소프트</t>
    <phoneticPr fontId="3" type="noConversion"/>
  </si>
  <si>
    <t>현대약품</t>
    <phoneticPr fontId="3" type="noConversion"/>
  </si>
  <si>
    <t>주택은행</t>
    <phoneticPr fontId="3" type="noConversion"/>
  </si>
  <si>
    <t>창홍정보통신</t>
    <phoneticPr fontId="3" type="noConversion"/>
  </si>
  <si>
    <t>감액</t>
    <phoneticPr fontId="2" type="noConversion"/>
  </si>
  <si>
    <t>투자사채</t>
    <phoneticPr fontId="2" type="noConversion"/>
  </si>
  <si>
    <t>투자유가증권</t>
    <phoneticPr fontId="2" type="noConversion"/>
  </si>
  <si>
    <t>CB이자</t>
    <phoneticPr fontId="2" type="noConversion"/>
  </si>
  <si>
    <t>CB회수</t>
    <phoneticPr fontId="2" type="noConversion"/>
  </si>
  <si>
    <t>IHQ</t>
    <phoneticPr fontId="2" type="noConversion"/>
  </si>
  <si>
    <t>구주</t>
    <phoneticPr fontId="2" type="noConversion"/>
  </si>
  <si>
    <t>단기대여</t>
    <phoneticPr fontId="2" type="noConversion"/>
  </si>
  <si>
    <t>주식</t>
    <phoneticPr fontId="2" type="noConversion"/>
  </si>
  <si>
    <t>국민연금02-7</t>
  </si>
  <si>
    <t>투자주식</t>
    <phoneticPr fontId="2" type="noConversion"/>
  </si>
  <si>
    <t>CB이자</t>
  </si>
  <si>
    <t>CB이자</t>
    <phoneticPr fontId="2" type="noConversion"/>
  </si>
  <si>
    <t>투자유가증권</t>
    <phoneticPr fontId="2" type="noConversion"/>
  </si>
  <si>
    <t>감액</t>
    <phoneticPr fontId="2" type="noConversion"/>
  </si>
  <si>
    <t>신주</t>
    <phoneticPr fontId="2" type="noConversion"/>
  </si>
  <si>
    <t>CB</t>
    <phoneticPr fontId="2" type="noConversion"/>
  </si>
  <si>
    <t>장내매각</t>
    <phoneticPr fontId="2" type="noConversion"/>
  </si>
  <si>
    <t>장외매각</t>
    <phoneticPr fontId="2" type="noConversion"/>
  </si>
  <si>
    <t>CB이자</t>
    <phoneticPr fontId="2" type="noConversion"/>
  </si>
  <si>
    <t>IMM13호</t>
    <phoneticPr fontId="2" type="noConversion"/>
  </si>
  <si>
    <t>디엔에프솔루션</t>
    <phoneticPr fontId="2" type="noConversion"/>
  </si>
  <si>
    <t>IMM9호</t>
    <phoneticPr fontId="2" type="noConversion"/>
  </si>
  <si>
    <t>IMM10호</t>
  </si>
  <si>
    <t>IMM10호</t>
    <phoneticPr fontId="2" type="noConversion"/>
  </si>
  <si>
    <t>태양기연</t>
    <phoneticPr fontId="2" type="noConversion"/>
  </si>
  <si>
    <t>SOK</t>
    <phoneticPr fontId="2" type="noConversion"/>
  </si>
  <si>
    <t>주식</t>
    <phoneticPr fontId="2" type="noConversion"/>
  </si>
  <si>
    <t>아이비아이닷넷</t>
    <phoneticPr fontId="2" type="noConversion"/>
  </si>
  <si>
    <t>회수</t>
    <phoneticPr fontId="2" type="noConversion"/>
  </si>
  <si>
    <t>애트리움씨앤아이</t>
    <phoneticPr fontId="2" type="noConversion"/>
  </si>
  <si>
    <t xml:space="preserve">기준일 : </t>
    <phoneticPr fontId="3" type="noConversion"/>
  </si>
  <si>
    <t>IMM문화콘텐츠</t>
    <phoneticPr fontId="2" type="noConversion"/>
  </si>
  <si>
    <t>인디펜던스</t>
    <phoneticPr fontId="2" type="noConversion"/>
  </si>
  <si>
    <t>쇼박스</t>
    <phoneticPr fontId="2" type="noConversion"/>
  </si>
  <si>
    <t>합병신주</t>
    <phoneticPr fontId="2" type="noConversion"/>
  </si>
  <si>
    <t>니즈엔터테인먼트</t>
    <phoneticPr fontId="2" type="noConversion"/>
  </si>
  <si>
    <t>CB</t>
    <phoneticPr fontId="2" type="noConversion"/>
  </si>
  <si>
    <t>동우분배금상계</t>
    <phoneticPr fontId="2" type="noConversion"/>
  </si>
  <si>
    <t>버스정류장,후아유</t>
    <phoneticPr fontId="2" type="noConversion"/>
  </si>
  <si>
    <t>프로젝트</t>
    <phoneticPr fontId="2" type="noConversion"/>
  </si>
  <si>
    <t>대손</t>
    <phoneticPr fontId="2" type="noConversion"/>
  </si>
  <si>
    <t>넷티비</t>
    <phoneticPr fontId="2" type="noConversion"/>
  </si>
  <si>
    <t>연대보증인 상환</t>
    <phoneticPr fontId="2" type="noConversion"/>
  </si>
  <si>
    <t>장외매각(고유)</t>
    <phoneticPr fontId="2" type="noConversion"/>
  </si>
  <si>
    <t>집으로</t>
    <phoneticPr fontId="2" type="noConversion"/>
  </si>
  <si>
    <t>성냥팔이소녀의재림</t>
    <phoneticPr fontId="2" type="noConversion"/>
  </si>
  <si>
    <t>Yesterday</t>
    <phoneticPr fontId="2" type="noConversion"/>
  </si>
  <si>
    <t>하얀방</t>
    <phoneticPr fontId="2" type="noConversion"/>
  </si>
  <si>
    <t>그리스로마신화</t>
    <phoneticPr fontId="2" type="noConversion"/>
  </si>
  <si>
    <t>YMCA야구단</t>
    <phoneticPr fontId="2" type="noConversion"/>
  </si>
  <si>
    <t>질투는나의힘</t>
    <phoneticPr fontId="2" type="noConversion"/>
  </si>
  <si>
    <t>장난감전사 지누</t>
    <phoneticPr fontId="2" type="noConversion"/>
  </si>
  <si>
    <t>중독</t>
    <phoneticPr fontId="2" type="noConversion"/>
  </si>
  <si>
    <t>이중간첩</t>
    <phoneticPr fontId="2" type="noConversion"/>
  </si>
  <si>
    <t>빙우</t>
    <phoneticPr fontId="2" type="noConversion"/>
  </si>
  <si>
    <t>04년평가(투유)</t>
    <phoneticPr fontId="2" type="noConversion"/>
  </si>
  <si>
    <t>04년평가(투주)</t>
    <phoneticPr fontId="2" type="noConversion"/>
  </si>
  <si>
    <t>유증</t>
    <phoneticPr fontId="2" type="noConversion"/>
  </si>
  <si>
    <t>05년평가(투주)</t>
    <phoneticPr fontId="2" type="noConversion"/>
  </si>
  <si>
    <t>06년평가(투주)</t>
    <phoneticPr fontId="2" type="noConversion"/>
  </si>
  <si>
    <t>07년평가(투주)</t>
    <phoneticPr fontId="2" type="noConversion"/>
  </si>
  <si>
    <t>에그콜라</t>
    <phoneticPr fontId="2" type="noConversion"/>
  </si>
  <si>
    <t>동갑내기과외하기</t>
    <phoneticPr fontId="2" type="noConversion"/>
  </si>
  <si>
    <t>데빌헌터게임PJ</t>
    <phoneticPr fontId="2" type="noConversion"/>
  </si>
  <si>
    <t>펑키펑키</t>
    <phoneticPr fontId="2" type="noConversion"/>
  </si>
  <si>
    <t>닌자터틀</t>
    <phoneticPr fontId="2" type="noConversion"/>
  </si>
  <si>
    <t>스캔들</t>
    <phoneticPr fontId="2" type="noConversion"/>
  </si>
  <si>
    <t>4인용식탁</t>
    <phoneticPr fontId="2" type="noConversion"/>
  </si>
  <si>
    <t>킹앤아이</t>
    <phoneticPr fontId="2" type="noConversion"/>
  </si>
  <si>
    <t>로한프로젝트</t>
    <phoneticPr fontId="2" type="noConversion"/>
  </si>
  <si>
    <t>메모리즈 90</t>
    <phoneticPr fontId="2" type="noConversion"/>
  </si>
  <si>
    <t>외출</t>
    <phoneticPr fontId="2" type="noConversion"/>
  </si>
  <si>
    <t>소년, 천국에 가다</t>
    <phoneticPr fontId="2" type="noConversion"/>
  </si>
  <si>
    <t>작업의 정석</t>
    <phoneticPr fontId="2" type="noConversion"/>
  </si>
  <si>
    <t>괴물</t>
    <phoneticPr fontId="2" type="noConversion"/>
  </si>
  <si>
    <t>Big 3 in L.A</t>
    <phoneticPr fontId="2" type="noConversion"/>
  </si>
  <si>
    <t>아트인모션</t>
    <phoneticPr fontId="2" type="noConversion"/>
  </si>
  <si>
    <t>벽을 뚫는 남자</t>
    <phoneticPr fontId="2" type="noConversion"/>
  </si>
  <si>
    <t>Big 3 in 밴쿠버</t>
    <phoneticPr fontId="2" type="noConversion"/>
  </si>
  <si>
    <t>드라큐라</t>
    <phoneticPr fontId="2" type="noConversion"/>
  </si>
  <si>
    <t>2009. 08. 10</t>
    <phoneticPr fontId="3" type="noConversion"/>
  </si>
  <si>
    <t>(단위:원)</t>
    <phoneticPr fontId="3" type="noConversion"/>
  </si>
  <si>
    <t>조합명</t>
    <phoneticPr fontId="3" type="noConversion"/>
  </si>
  <si>
    <t>계정과목</t>
    <phoneticPr fontId="2" type="noConversion"/>
  </si>
  <si>
    <t>종목명</t>
    <phoneticPr fontId="3" type="noConversion"/>
  </si>
  <si>
    <t>투자일</t>
    <phoneticPr fontId="3" type="noConversion"/>
  </si>
  <si>
    <t>투자수량</t>
    <phoneticPr fontId="3" type="noConversion"/>
  </si>
  <si>
    <t>투자단가</t>
    <phoneticPr fontId="3" type="noConversion"/>
  </si>
  <si>
    <t>투자금액</t>
    <phoneticPr fontId="3" type="noConversion"/>
  </si>
  <si>
    <t>투자형태</t>
    <phoneticPr fontId="3" type="noConversion"/>
  </si>
  <si>
    <t>회수일</t>
    <phoneticPr fontId="3" type="noConversion"/>
  </si>
  <si>
    <t>회수수량</t>
    <phoneticPr fontId="3" type="noConversion"/>
  </si>
  <si>
    <t>회수단가</t>
    <phoneticPr fontId="3" type="noConversion"/>
  </si>
  <si>
    <t>총회수금액(A)</t>
    <phoneticPr fontId="3" type="noConversion"/>
  </si>
  <si>
    <t>회수원금(B)</t>
    <phoneticPr fontId="3" type="noConversion"/>
  </si>
  <si>
    <t>매매차익</t>
    <phoneticPr fontId="3" type="noConversion"/>
  </si>
  <si>
    <t>잔액</t>
    <phoneticPr fontId="3" type="noConversion"/>
  </si>
  <si>
    <t>XIRR</t>
    <phoneticPr fontId="2" type="noConversion"/>
  </si>
  <si>
    <t>비고</t>
    <phoneticPr fontId="3" type="noConversion"/>
  </si>
  <si>
    <t>업종분류</t>
    <phoneticPr fontId="3" type="noConversion"/>
  </si>
  <si>
    <t>담당자</t>
    <phoneticPr fontId="3" type="noConversion"/>
  </si>
  <si>
    <t>국민연금02-7</t>
    <phoneticPr fontId="2" type="noConversion"/>
  </si>
  <si>
    <t>투자주식</t>
    <phoneticPr fontId="2" type="noConversion"/>
  </si>
  <si>
    <t>트래블엑스퍼트</t>
    <phoneticPr fontId="2" type="noConversion"/>
  </si>
  <si>
    <t>감액</t>
    <phoneticPr fontId="2" type="noConversion"/>
  </si>
  <si>
    <t>스마트솔루션스</t>
    <phoneticPr fontId="3" type="noConversion"/>
  </si>
  <si>
    <t>투자사채</t>
    <phoneticPr fontId="2" type="noConversion"/>
  </si>
  <si>
    <t>포스미디어</t>
    <phoneticPr fontId="2" type="noConversion"/>
  </si>
  <si>
    <t>CB</t>
    <phoneticPr fontId="2" type="noConversion"/>
  </si>
  <si>
    <t>CB이자</t>
    <phoneticPr fontId="2" type="noConversion"/>
  </si>
  <si>
    <t xml:space="preserve"> </t>
    <phoneticPr fontId="2" type="noConversion"/>
  </si>
  <si>
    <t>주식전환</t>
    <phoneticPr fontId="2" type="noConversion"/>
  </si>
  <si>
    <t>CB이자+사채이익</t>
    <phoneticPr fontId="2" type="noConversion"/>
  </si>
  <si>
    <t>팅크웨어</t>
    <phoneticPr fontId="2" type="noConversion"/>
  </si>
  <si>
    <t>투자유가증권</t>
    <phoneticPr fontId="2" type="noConversion"/>
  </si>
  <si>
    <t>아이디에스</t>
    <phoneticPr fontId="2" type="noConversion"/>
  </si>
  <si>
    <t>장내매각</t>
    <phoneticPr fontId="2" type="noConversion"/>
  </si>
  <si>
    <t>시아이센서</t>
    <phoneticPr fontId="2" type="noConversion"/>
  </si>
  <si>
    <t>투자사채</t>
    <phoneticPr fontId="2" type="noConversion"/>
  </si>
  <si>
    <t>매직아이</t>
    <phoneticPr fontId="2" type="noConversion"/>
  </si>
  <si>
    <t>CB</t>
    <phoneticPr fontId="2" type="noConversion"/>
  </si>
  <si>
    <t>CB이자</t>
    <phoneticPr fontId="2" type="noConversion"/>
  </si>
  <si>
    <t>사채이익</t>
    <phoneticPr fontId="2" type="noConversion"/>
  </si>
  <si>
    <t>엠엘티</t>
    <phoneticPr fontId="2" type="noConversion"/>
  </si>
  <si>
    <t>CB</t>
    <phoneticPr fontId="3" type="noConversion"/>
  </si>
  <si>
    <t>감액</t>
    <phoneticPr fontId="2" type="noConversion"/>
  </si>
  <si>
    <t>투자유가증권</t>
    <phoneticPr fontId="2" type="noConversion"/>
  </si>
  <si>
    <t>이노칩테크놀러지</t>
    <phoneticPr fontId="3" type="noConversion"/>
  </si>
  <si>
    <t>장외매각</t>
    <phoneticPr fontId="2" type="noConversion"/>
  </si>
  <si>
    <t>아트랩</t>
    <phoneticPr fontId="2" type="noConversion"/>
  </si>
  <si>
    <t>투자주식</t>
    <phoneticPr fontId="2" type="noConversion"/>
  </si>
  <si>
    <t>에코프로</t>
    <phoneticPr fontId="2" type="noConversion"/>
  </si>
  <si>
    <t>이투스</t>
    <phoneticPr fontId="2" type="noConversion"/>
  </si>
  <si>
    <t>하이쎌(엔투에이)</t>
    <phoneticPr fontId="3" type="noConversion"/>
  </si>
  <si>
    <t>K2네트웍스</t>
    <phoneticPr fontId="2" type="noConversion"/>
  </si>
  <si>
    <t>서울전자통신</t>
    <phoneticPr fontId="2" type="noConversion"/>
  </si>
  <si>
    <t>장내매각</t>
    <phoneticPr fontId="2" type="noConversion"/>
  </si>
  <si>
    <t>조합명</t>
    <phoneticPr fontId="2" type="noConversion"/>
  </si>
  <si>
    <t>종목명</t>
    <phoneticPr fontId="2" type="noConversion"/>
  </si>
  <si>
    <t>원금정산</t>
  </si>
  <si>
    <t>KIF조합</t>
  </si>
  <si>
    <t>원금+수익</t>
  </si>
  <si>
    <t>대여이자</t>
  </si>
  <si>
    <t>수익정산</t>
  </si>
  <si>
    <t>이운규</t>
  </si>
  <si>
    <t>개인5명</t>
  </si>
  <si>
    <t>솔본벤처</t>
  </si>
  <si>
    <t>M&amp;A</t>
  </si>
  <si>
    <t>나스닥매도</t>
  </si>
  <si>
    <t>실리콘모션</t>
  </si>
  <si>
    <t>옵션금액</t>
  </si>
  <si>
    <t>투자주식</t>
  </si>
  <si>
    <t>장내매도</t>
  </si>
  <si>
    <t>상장사</t>
  </si>
  <si>
    <t>전환사채</t>
    <phoneticPr fontId="2" type="noConversion"/>
  </si>
  <si>
    <t>사채이자</t>
    <phoneticPr fontId="2" type="noConversion"/>
  </si>
  <si>
    <t>전환사채</t>
  </si>
  <si>
    <t>사채이자</t>
  </si>
  <si>
    <t>일부상환</t>
  </si>
  <si>
    <t>전액상환</t>
  </si>
  <si>
    <t>씨유메디칼</t>
  </si>
  <si>
    <t>엑시즈</t>
  </si>
  <si>
    <t>가수금</t>
  </si>
  <si>
    <t>우선주</t>
  </si>
  <si>
    <t>김상숙</t>
  </si>
  <si>
    <t>배당금</t>
  </si>
  <si>
    <t>합계</t>
    <phoneticPr fontId="2" type="noConversion"/>
  </si>
  <si>
    <t>원금+이자</t>
    <phoneticPr fontId="2" type="noConversion"/>
  </si>
  <si>
    <t>회수금액</t>
    <phoneticPr fontId="2" type="noConversion"/>
  </si>
  <si>
    <t>CRC15호</t>
  </si>
  <si>
    <t>셀트리온(구오알켐)</t>
  </si>
  <si>
    <t>코리아퍼브릭</t>
    <phoneticPr fontId="2" type="noConversion"/>
  </si>
  <si>
    <t>CRC14호</t>
  </si>
  <si>
    <t>CRC16호</t>
    <phoneticPr fontId="2" type="noConversion"/>
  </si>
  <si>
    <t>CRC17호</t>
  </si>
  <si>
    <t>CRC13호</t>
    <phoneticPr fontId="2" type="noConversion"/>
  </si>
  <si>
    <t>영화엔지니어링</t>
    <phoneticPr fontId="2" type="noConversion"/>
  </si>
  <si>
    <t>CRC13호</t>
  </si>
  <si>
    <t>하이젠모터</t>
    <phoneticPr fontId="2" type="noConversion"/>
  </si>
  <si>
    <t>CRC12호</t>
  </si>
  <si>
    <t>1. VC해산조합</t>
    <phoneticPr fontId="3" type="noConversion"/>
  </si>
  <si>
    <t>셀트리온헬스케어</t>
    <phoneticPr fontId="2" type="noConversion"/>
  </si>
  <si>
    <t>구분</t>
    <phoneticPr fontId="2" type="noConversion"/>
  </si>
  <si>
    <t>청산</t>
  </si>
  <si>
    <t>청산</t>
    <phoneticPr fontId="2" type="noConversion"/>
  </si>
  <si>
    <t>청산</t>
    <phoneticPr fontId="2" type="noConversion"/>
  </si>
  <si>
    <t>해산</t>
    <phoneticPr fontId="2" type="noConversion"/>
  </si>
  <si>
    <t>합계</t>
    <phoneticPr fontId="2" type="noConversion"/>
  </si>
  <si>
    <t>IMM6</t>
    <phoneticPr fontId="2" type="noConversion"/>
  </si>
  <si>
    <t>GEO-4</t>
    <phoneticPr fontId="2" type="noConversion"/>
  </si>
  <si>
    <t>GEO-1</t>
    <phoneticPr fontId="2" type="noConversion"/>
  </si>
  <si>
    <t>GEO-5</t>
    <phoneticPr fontId="2" type="noConversion"/>
  </si>
  <si>
    <t>GEO-2</t>
    <phoneticPr fontId="2" type="noConversion"/>
  </si>
  <si>
    <t>IMM 1</t>
    <phoneticPr fontId="2" type="noConversion"/>
  </si>
  <si>
    <t>IMM 2</t>
    <phoneticPr fontId="2" type="noConversion"/>
  </si>
  <si>
    <t>IMM14</t>
    <phoneticPr fontId="2" type="noConversion"/>
  </si>
  <si>
    <t>IMM 3</t>
    <phoneticPr fontId="2" type="noConversion"/>
  </si>
  <si>
    <t>GEO-3</t>
    <phoneticPr fontId="2" type="noConversion"/>
  </si>
  <si>
    <t>GEO-7</t>
    <phoneticPr fontId="2" type="noConversion"/>
  </si>
  <si>
    <t>IMM 5</t>
    <phoneticPr fontId="2" type="noConversion"/>
  </si>
  <si>
    <t>IMM 8</t>
    <phoneticPr fontId="2" type="noConversion"/>
  </si>
  <si>
    <t>IMM 12</t>
    <phoneticPr fontId="2" type="noConversion"/>
  </si>
  <si>
    <t>국민연금02-7</t>
    <phoneticPr fontId="2" type="noConversion"/>
  </si>
  <si>
    <t>IMM13호</t>
    <phoneticPr fontId="2" type="noConversion"/>
  </si>
  <si>
    <t>IMM10호</t>
    <phoneticPr fontId="2" type="noConversion"/>
  </si>
  <si>
    <t>IMM9호</t>
    <phoneticPr fontId="2" type="noConversion"/>
  </si>
  <si>
    <t>CRC2</t>
  </si>
  <si>
    <t>CRC1</t>
  </si>
  <si>
    <t>CRC4</t>
  </si>
  <si>
    <t>CRC6</t>
  </si>
  <si>
    <t>CRC7</t>
  </si>
  <si>
    <t>CRC8</t>
  </si>
  <si>
    <t>CRC9</t>
  </si>
  <si>
    <t>CRC10</t>
  </si>
  <si>
    <t>2. CRC해산조합</t>
    <phoneticPr fontId="3" type="noConversion"/>
  </si>
  <si>
    <t xml:space="preserve">기준일 : </t>
    <phoneticPr fontId="3" type="noConversion"/>
  </si>
  <si>
    <t>2009. 08. 10</t>
    <phoneticPr fontId="3" type="noConversion"/>
  </si>
  <si>
    <t>(단위:원)</t>
    <phoneticPr fontId="3" type="noConversion"/>
  </si>
  <si>
    <t>구분</t>
    <phoneticPr fontId="3" type="noConversion"/>
  </si>
  <si>
    <t>조합명</t>
    <phoneticPr fontId="3" type="noConversion"/>
  </si>
  <si>
    <t>계정과목</t>
    <phoneticPr fontId="2" type="noConversion"/>
  </si>
  <si>
    <t>종목명</t>
    <phoneticPr fontId="3" type="noConversion"/>
  </si>
  <si>
    <t>투자일</t>
    <phoneticPr fontId="3" type="noConversion"/>
  </si>
  <si>
    <t>투자수량</t>
    <phoneticPr fontId="3" type="noConversion"/>
  </si>
  <si>
    <t>투자단가</t>
    <phoneticPr fontId="3" type="noConversion"/>
  </si>
  <si>
    <t>투자금액</t>
    <phoneticPr fontId="3" type="noConversion"/>
  </si>
  <si>
    <t>투자형태</t>
    <phoneticPr fontId="3" type="noConversion"/>
  </si>
  <si>
    <t>회수일</t>
    <phoneticPr fontId="3" type="noConversion"/>
  </si>
  <si>
    <t>회수수량</t>
    <phoneticPr fontId="3" type="noConversion"/>
  </si>
  <si>
    <t>회수단가</t>
    <phoneticPr fontId="3" type="noConversion"/>
  </si>
  <si>
    <t>총회수금액(A)</t>
    <phoneticPr fontId="3" type="noConversion"/>
  </si>
  <si>
    <t>회수원금(B)</t>
    <phoneticPr fontId="3" type="noConversion"/>
  </si>
  <si>
    <t>매매차익</t>
    <phoneticPr fontId="3" type="noConversion"/>
  </si>
  <si>
    <t>수익처리</t>
    <phoneticPr fontId="2" type="noConversion"/>
  </si>
  <si>
    <t>잔액</t>
    <phoneticPr fontId="3" type="noConversion"/>
  </si>
  <si>
    <t>청산</t>
    <phoneticPr fontId="2" type="noConversion"/>
  </si>
  <si>
    <t>CRC1</t>
    <phoneticPr fontId="3" type="noConversion"/>
  </si>
  <si>
    <t>투자사채</t>
    <phoneticPr fontId="2" type="noConversion"/>
  </si>
  <si>
    <t>프리즘</t>
    <phoneticPr fontId="3" type="noConversion"/>
  </si>
  <si>
    <t>CB</t>
    <phoneticPr fontId="3" type="noConversion"/>
  </si>
  <si>
    <t>회수</t>
    <phoneticPr fontId="3" type="noConversion"/>
  </si>
  <si>
    <t>합계</t>
    <phoneticPr fontId="2" type="noConversion"/>
  </si>
  <si>
    <t>CRC2</t>
    <phoneticPr fontId="2" type="noConversion"/>
  </si>
  <si>
    <t>아이에이치큐</t>
    <phoneticPr fontId="2" type="noConversion"/>
  </si>
  <si>
    <t>정리채권</t>
    <phoneticPr fontId="2" type="noConversion"/>
  </si>
  <si>
    <t>투자주식</t>
    <phoneticPr fontId="2" type="noConversion"/>
  </si>
  <si>
    <t>구주</t>
    <phoneticPr fontId="2" type="noConversion"/>
  </si>
  <si>
    <t>장외매각</t>
    <phoneticPr fontId="2" type="noConversion"/>
  </si>
  <si>
    <t>신주</t>
    <phoneticPr fontId="2" type="noConversion"/>
  </si>
  <si>
    <t>5:1감자</t>
    <phoneticPr fontId="2" type="noConversion"/>
  </si>
  <si>
    <t>장내매각</t>
    <phoneticPr fontId="2" type="noConversion"/>
  </si>
  <si>
    <t>싸이더스HQ합병</t>
    <phoneticPr fontId="2" type="noConversion"/>
  </si>
  <si>
    <t>유상증자</t>
    <phoneticPr fontId="2" type="noConversion"/>
  </si>
  <si>
    <t>투자유가증권</t>
    <phoneticPr fontId="2" type="noConversion"/>
  </si>
  <si>
    <t>에이알디홀딩스</t>
    <phoneticPr fontId="2" type="noConversion"/>
  </si>
  <si>
    <t>CRC3</t>
    <phoneticPr fontId="2" type="noConversion"/>
  </si>
  <si>
    <t>한국시멘트</t>
    <phoneticPr fontId="2" type="noConversion"/>
  </si>
  <si>
    <t>현물분배</t>
    <phoneticPr fontId="2" type="noConversion"/>
  </si>
  <si>
    <t>CRC4</t>
    <phoneticPr fontId="2" type="noConversion"/>
  </si>
  <si>
    <t>하이트주조</t>
    <phoneticPr fontId="2" type="noConversion"/>
  </si>
  <si>
    <t>부실채권</t>
    <phoneticPr fontId="2" type="noConversion"/>
  </si>
  <si>
    <t>하이트주정</t>
    <phoneticPr fontId="2" type="noConversion"/>
  </si>
  <si>
    <t>CRC5</t>
    <phoneticPr fontId="2" type="noConversion"/>
  </si>
  <si>
    <t>CB</t>
    <phoneticPr fontId="2" type="noConversion"/>
  </si>
  <si>
    <t>회수</t>
    <phoneticPr fontId="2" type="noConversion"/>
  </si>
  <si>
    <t>CRC6</t>
    <phoneticPr fontId="2" type="noConversion"/>
  </si>
  <si>
    <t>서륭</t>
    <phoneticPr fontId="2" type="noConversion"/>
  </si>
  <si>
    <t>해산</t>
    <phoneticPr fontId="2" type="noConversion"/>
  </si>
  <si>
    <t>CRC7</t>
    <phoneticPr fontId="2" type="noConversion"/>
  </si>
  <si>
    <t>모나리자</t>
    <phoneticPr fontId="2" type="noConversion"/>
  </si>
  <si>
    <t>이투엠솔루션</t>
    <phoneticPr fontId="2" type="noConversion"/>
  </si>
  <si>
    <t>CB이자</t>
    <phoneticPr fontId="2" type="noConversion"/>
  </si>
  <si>
    <t>남한제지</t>
    <phoneticPr fontId="2" type="noConversion"/>
  </si>
  <si>
    <t>단주대금</t>
    <phoneticPr fontId="2" type="noConversion"/>
  </si>
  <si>
    <t>합병신주</t>
    <phoneticPr fontId="2" type="noConversion"/>
  </si>
  <si>
    <t>회수_선수금</t>
    <phoneticPr fontId="2" type="noConversion"/>
  </si>
  <si>
    <t>스포츠토토</t>
    <phoneticPr fontId="2" type="noConversion"/>
  </si>
  <si>
    <t>CRC8</t>
    <phoneticPr fontId="2" type="noConversion"/>
  </si>
  <si>
    <t>CRC9</t>
    <phoneticPr fontId="2" type="noConversion"/>
  </si>
  <si>
    <t>JH개발</t>
    <phoneticPr fontId="2" type="noConversion"/>
  </si>
  <si>
    <t>CRC10</t>
    <phoneticPr fontId="2" type="noConversion"/>
  </si>
  <si>
    <t>한국하이네트</t>
    <phoneticPr fontId="2" type="noConversion"/>
  </si>
  <si>
    <t>주식전환</t>
    <phoneticPr fontId="2" type="noConversion"/>
  </si>
  <si>
    <t>CRC11</t>
    <phoneticPr fontId="2" type="noConversion"/>
  </si>
  <si>
    <t>마스트엔터테인먼트</t>
    <phoneticPr fontId="2" type="noConversion"/>
  </si>
  <si>
    <t>프로젝트</t>
    <phoneticPr fontId="2" type="noConversion"/>
  </si>
  <si>
    <t>프리즘</t>
    <phoneticPr fontId="2" type="noConversion"/>
  </si>
  <si>
    <t>투자/회수일</t>
    <phoneticPr fontId="2" type="noConversion"/>
  </si>
  <si>
    <t>투자/회수금액</t>
    <phoneticPr fontId="2" type="noConversion"/>
  </si>
  <si>
    <t>xirr</t>
    <phoneticPr fontId="2" type="noConversion"/>
  </si>
  <si>
    <t>IHQ 정리채권</t>
    <phoneticPr fontId="2" type="noConversion"/>
  </si>
  <si>
    <t>IHQ주식</t>
    <phoneticPr fontId="2" type="noConversion"/>
  </si>
  <si>
    <t>서륭 CB</t>
    <phoneticPr fontId="2" type="noConversion"/>
  </si>
  <si>
    <t>서륭 주식</t>
    <phoneticPr fontId="2" type="noConversion"/>
  </si>
  <si>
    <t>이투엠솔루션 신주</t>
    <phoneticPr fontId="2" type="noConversion"/>
  </si>
  <si>
    <t>이투엠솔루션 CB</t>
    <phoneticPr fontId="2" type="noConversion"/>
  </si>
  <si>
    <t>남한제지 주식</t>
    <phoneticPr fontId="2" type="noConversion"/>
  </si>
  <si>
    <t>남한제지 CB</t>
    <phoneticPr fontId="2" type="noConversion"/>
  </si>
  <si>
    <t>JH개발 주식</t>
    <phoneticPr fontId="2" type="noConversion"/>
  </si>
  <si>
    <t>JH개발 CB</t>
    <phoneticPr fontId="2" type="noConversion"/>
  </si>
  <si>
    <t>마스트엔터 주식</t>
    <phoneticPr fontId="2" type="noConversion"/>
  </si>
  <si>
    <t>마스트엔터 프로젝트</t>
    <phoneticPr fontId="2" type="noConversion"/>
  </si>
  <si>
    <t>계</t>
    <phoneticPr fontId="2" type="noConversion"/>
  </si>
  <si>
    <t>조합명</t>
    <phoneticPr fontId="2" type="noConversion"/>
  </si>
  <si>
    <t>투자회사명</t>
    <phoneticPr fontId="2" type="noConversion"/>
  </si>
  <si>
    <t>최초투자일</t>
    <phoneticPr fontId="2" type="noConversion"/>
  </si>
  <si>
    <t>최종회수일</t>
    <phoneticPr fontId="2" type="noConversion"/>
  </si>
  <si>
    <t>투자금액</t>
    <phoneticPr fontId="2" type="noConversion"/>
  </si>
  <si>
    <t>회수금액</t>
    <phoneticPr fontId="2" type="noConversion"/>
  </si>
  <si>
    <t>수익</t>
    <phoneticPr fontId="2" type="noConversion"/>
  </si>
  <si>
    <t>ROI</t>
    <phoneticPr fontId="2" type="noConversion"/>
  </si>
  <si>
    <t>IRR</t>
    <phoneticPr fontId="2" type="noConversion"/>
  </si>
  <si>
    <t>하이트주조</t>
  </si>
  <si>
    <t>하이트주정</t>
  </si>
  <si>
    <t>CRC2호</t>
    <phoneticPr fontId="2" type="noConversion"/>
  </si>
  <si>
    <t>셀트리온</t>
    <phoneticPr fontId="2" type="noConversion"/>
  </si>
  <si>
    <t>CRC13</t>
    <phoneticPr fontId="2" type="noConversion"/>
  </si>
  <si>
    <t>CRC4/5</t>
    <phoneticPr fontId="2" type="noConversion"/>
  </si>
  <si>
    <t>CRC7/8</t>
    <phoneticPr fontId="2" type="noConversion"/>
  </si>
  <si>
    <t>CRC14/15</t>
    <phoneticPr fontId="2" type="noConversion"/>
  </si>
  <si>
    <t>CRC5</t>
  </si>
  <si>
    <t>남한제지 주식</t>
  </si>
  <si>
    <t>남한제지 CB</t>
  </si>
  <si>
    <t>해원MSC</t>
    <phoneticPr fontId="2" type="noConversion"/>
  </si>
  <si>
    <t>해원엠에스씨</t>
  </si>
  <si>
    <t>CRC12</t>
    <phoneticPr fontId="2" type="noConversion"/>
  </si>
  <si>
    <t>-</t>
  </si>
  <si>
    <t>-</t>
    <phoneticPr fontId="2" type="noConversion"/>
  </si>
  <si>
    <t>두산DST</t>
    <phoneticPr fontId="2" type="noConversion"/>
  </si>
  <si>
    <t>KAI</t>
    <phoneticPr fontId="2" type="noConversion"/>
  </si>
  <si>
    <t>삼화왕관</t>
    <phoneticPr fontId="2" type="noConversion"/>
  </si>
  <si>
    <t>SRS코리아</t>
    <phoneticPr fontId="2" type="noConversion"/>
  </si>
  <si>
    <t>2160억</t>
    <phoneticPr fontId="2" type="noConversion"/>
  </si>
  <si>
    <t>948억</t>
    <phoneticPr fontId="2" type="noConversion"/>
  </si>
  <si>
    <t>210억</t>
    <phoneticPr fontId="2" type="noConversion"/>
  </si>
  <si>
    <t>로즈골드PEF</t>
    <phoneticPr fontId="2" type="noConversion"/>
  </si>
  <si>
    <t>540억</t>
    <phoneticPr fontId="2" type="noConversion"/>
  </si>
  <si>
    <t>합  계</t>
    <phoneticPr fontId="2" type="noConversion"/>
  </si>
  <si>
    <t>포트폴리오 투자.회수현황</t>
    <phoneticPr fontId="2" type="noConversion"/>
  </si>
  <si>
    <t>JH개발 주식</t>
  </si>
  <si>
    <t>JH개발 CB</t>
  </si>
  <si>
    <t>CRC11</t>
  </si>
  <si>
    <t>마스트엔터 주식</t>
  </si>
  <si>
    <t>마스트엔터 프로젝트</t>
  </si>
  <si>
    <t>IMM1호PEF</t>
    <phoneticPr fontId="2" type="noConversion"/>
  </si>
  <si>
    <t>1. 벤처조합 _ 해산</t>
    <phoneticPr fontId="2" type="noConversion"/>
  </si>
  <si>
    <t>조합명</t>
    <phoneticPr fontId="3" type="noConversion"/>
  </si>
  <si>
    <t>투자업체명</t>
    <phoneticPr fontId="3" type="noConversion"/>
  </si>
  <si>
    <t>Multiple</t>
    <phoneticPr fontId="2" type="noConversion"/>
  </si>
  <si>
    <t>회수방법</t>
    <phoneticPr fontId="2" type="noConversion"/>
  </si>
  <si>
    <t>IMM4호벤처투자조합</t>
    <phoneticPr fontId="3" type="noConversion"/>
  </si>
  <si>
    <t>제이원데이타시스템</t>
    <phoneticPr fontId="3" type="noConversion"/>
  </si>
  <si>
    <t>폴리미디어</t>
    <phoneticPr fontId="3" type="noConversion"/>
  </si>
  <si>
    <t>합   계</t>
    <phoneticPr fontId="2" type="noConversion"/>
  </si>
  <si>
    <t>IMM6호벤처투자조합</t>
    <phoneticPr fontId="3" type="noConversion"/>
  </si>
  <si>
    <t>써니상사</t>
    <phoneticPr fontId="3" type="noConversion"/>
  </si>
  <si>
    <t>YNK</t>
    <phoneticPr fontId="3" type="noConversion"/>
  </si>
  <si>
    <t>GEO-4호벤처투자조합</t>
    <phoneticPr fontId="3" type="noConversion"/>
  </si>
  <si>
    <t>시큐어소프트</t>
    <phoneticPr fontId="3" type="noConversion"/>
  </si>
  <si>
    <t>에스텍</t>
    <phoneticPr fontId="3" type="noConversion"/>
  </si>
  <si>
    <t>GEO-1호벤처투자조합</t>
    <phoneticPr fontId="3" type="noConversion"/>
  </si>
  <si>
    <t>네오C&amp;C</t>
    <phoneticPr fontId="3" type="noConversion"/>
  </si>
  <si>
    <t>디지탈이메이션</t>
    <phoneticPr fontId="3" type="noConversion"/>
  </si>
  <si>
    <t>판타그램</t>
    <phoneticPr fontId="3" type="noConversion"/>
  </si>
  <si>
    <t>사이버이메지네이션</t>
    <phoneticPr fontId="3" type="noConversion"/>
  </si>
  <si>
    <t>GEO-5호벤처투자조합</t>
    <phoneticPr fontId="3" type="noConversion"/>
  </si>
  <si>
    <t>오픈솔루션</t>
    <phoneticPr fontId="3" type="noConversion"/>
  </si>
  <si>
    <t>레드테크놀러지</t>
    <phoneticPr fontId="3" type="noConversion"/>
  </si>
  <si>
    <t>스타커뮤니케이션즈</t>
    <phoneticPr fontId="3" type="noConversion"/>
  </si>
  <si>
    <t>GEO-2호벤처투자조합</t>
    <phoneticPr fontId="3" type="noConversion"/>
  </si>
  <si>
    <t>IMM 1호벤처투자조합</t>
    <phoneticPr fontId="3" type="noConversion"/>
  </si>
  <si>
    <t>IMM 2호벤처투자조합</t>
    <phoneticPr fontId="3" type="noConversion"/>
  </si>
  <si>
    <t>IMM14호벤처투자조합</t>
    <phoneticPr fontId="3" type="noConversion"/>
  </si>
  <si>
    <t>주식</t>
    <phoneticPr fontId="2" type="noConversion"/>
  </si>
  <si>
    <t>IMM 3호벤처투자조합</t>
    <phoneticPr fontId="2" type="noConversion"/>
  </si>
  <si>
    <t>GEO-3호벤처투잦홥</t>
    <phoneticPr fontId="3" type="noConversion"/>
  </si>
  <si>
    <t>GEO-7호벤처투자조합</t>
    <phoneticPr fontId="3" type="noConversion"/>
  </si>
  <si>
    <t>세운-큐더스 벤처투자조합</t>
    <phoneticPr fontId="3" type="noConversion"/>
  </si>
  <si>
    <t>IMM 5호벤처투자조합</t>
    <phoneticPr fontId="3" type="noConversion"/>
  </si>
  <si>
    <t>IMM 8호벤처투자조합</t>
    <phoneticPr fontId="3" type="noConversion"/>
  </si>
  <si>
    <t>합   계</t>
  </si>
  <si>
    <t>IMM 12호벤처투자조합</t>
    <phoneticPr fontId="3" type="noConversion"/>
  </si>
  <si>
    <t>국민연금02-7IMM번처조합</t>
    <phoneticPr fontId="2" type="noConversion"/>
  </si>
  <si>
    <t>IMM13호벤처투자조합</t>
    <phoneticPr fontId="2" type="noConversion"/>
  </si>
  <si>
    <t>IMM10호벤처투자조합</t>
    <phoneticPr fontId="2" type="noConversion"/>
  </si>
  <si>
    <t>IMM9호벤처투자조합</t>
    <phoneticPr fontId="2" type="noConversion"/>
  </si>
  <si>
    <t>IMM-문화콘텐츠전문투자조합</t>
    <phoneticPr fontId="2" type="noConversion"/>
  </si>
  <si>
    <t>프로젝트</t>
    <phoneticPr fontId="2" type="noConversion"/>
  </si>
  <si>
    <t>2. 기업구조조정조합 _ 해산</t>
    <phoneticPr fontId="2" type="noConversion"/>
  </si>
  <si>
    <t>기업구조조정조합아이엠엠1</t>
    <phoneticPr fontId="3" type="noConversion"/>
  </si>
  <si>
    <t>프리즘커뮤니케이션스</t>
    <phoneticPr fontId="3" type="noConversion"/>
  </si>
  <si>
    <t>합     계</t>
    <phoneticPr fontId="2" type="noConversion"/>
  </si>
  <si>
    <t>기업구조조정조합아이엠엠2</t>
    <phoneticPr fontId="3" type="noConversion"/>
  </si>
  <si>
    <t>아이에이치큐</t>
    <phoneticPr fontId="2" type="noConversion"/>
  </si>
  <si>
    <t>정리채권</t>
    <phoneticPr fontId="2" type="noConversion"/>
  </si>
  <si>
    <t>매각</t>
    <phoneticPr fontId="2" type="noConversion"/>
  </si>
  <si>
    <t>에이알디홀딩스</t>
    <phoneticPr fontId="2" type="noConversion"/>
  </si>
  <si>
    <t>기업구조조정조합아이엠엠3</t>
    <phoneticPr fontId="2" type="noConversion"/>
  </si>
  <si>
    <t>한국시멘트</t>
    <phoneticPr fontId="2" type="noConversion"/>
  </si>
  <si>
    <t>현물분배</t>
    <phoneticPr fontId="2" type="noConversion"/>
  </si>
  <si>
    <t>기업구조조정조합아이엠엠4</t>
  </si>
  <si>
    <t>하이트주조</t>
    <phoneticPr fontId="2" type="noConversion"/>
  </si>
  <si>
    <t>하이트주정</t>
    <phoneticPr fontId="2" type="noConversion"/>
  </si>
  <si>
    <t>기업굴조조정조합아이엠엠5</t>
    <phoneticPr fontId="2" type="noConversion"/>
  </si>
  <si>
    <t>기업굴조조정조합아이엠엠6</t>
    <phoneticPr fontId="2" type="noConversion"/>
  </si>
  <si>
    <t>서륭</t>
    <phoneticPr fontId="2" type="noConversion"/>
  </si>
  <si>
    <t>기업구조조정조합03-3IMM7호</t>
    <phoneticPr fontId="2" type="noConversion"/>
  </si>
  <si>
    <t>모나리자</t>
    <phoneticPr fontId="2" type="noConversion"/>
  </si>
  <si>
    <t>이투엠솔루션</t>
    <phoneticPr fontId="2" type="noConversion"/>
  </si>
  <si>
    <t>남한제지</t>
    <phoneticPr fontId="2" type="noConversion"/>
  </si>
  <si>
    <t>스포츠토토</t>
    <phoneticPr fontId="2" type="noConversion"/>
  </si>
  <si>
    <t>기업구조조정조합IMM8호</t>
    <phoneticPr fontId="2" type="noConversion"/>
  </si>
  <si>
    <t>기업구조조정조합IMM9호</t>
    <phoneticPr fontId="2" type="noConversion"/>
  </si>
  <si>
    <t>JH개발</t>
    <phoneticPr fontId="2" type="noConversion"/>
  </si>
  <si>
    <t>기업구조조정조합IMM10호</t>
    <phoneticPr fontId="2" type="noConversion"/>
  </si>
  <si>
    <t>한국하이네트</t>
    <phoneticPr fontId="2" type="noConversion"/>
  </si>
  <si>
    <t>기업구조조정조합IMM11호</t>
    <phoneticPr fontId="2" type="noConversion"/>
  </si>
  <si>
    <t>마스트엔터테인먼트</t>
    <phoneticPr fontId="2" type="noConversion"/>
  </si>
  <si>
    <t>회수원가</t>
    <phoneticPr fontId="2" type="noConversion"/>
  </si>
  <si>
    <t>수익금액</t>
    <phoneticPr fontId="2" type="noConversion"/>
  </si>
  <si>
    <t>ROI</t>
    <phoneticPr fontId="2" type="noConversion"/>
  </si>
  <si>
    <t>회수원가</t>
    <phoneticPr fontId="2" type="noConversion"/>
  </si>
  <si>
    <t>수익금액</t>
    <phoneticPr fontId="2" type="noConversion"/>
  </si>
  <si>
    <t>CRC13</t>
    <phoneticPr fontId="2" type="noConversion"/>
  </si>
  <si>
    <t>영화엔지니어링</t>
    <phoneticPr fontId="2" type="noConversion"/>
  </si>
  <si>
    <t>CRC17호</t>
    <phoneticPr fontId="2" type="noConversion"/>
  </si>
  <si>
    <t>아모텍</t>
    <phoneticPr fontId="3" type="noConversion"/>
  </si>
  <si>
    <t>주식</t>
    <phoneticPr fontId="3" type="noConversion"/>
  </si>
  <si>
    <t>나모텍</t>
    <phoneticPr fontId="3" type="noConversion"/>
  </si>
  <si>
    <t>주식</t>
    <phoneticPr fontId="3" type="noConversion"/>
  </si>
  <si>
    <t>회수</t>
    <phoneticPr fontId="2" type="noConversion"/>
  </si>
  <si>
    <t>에코프로</t>
    <phoneticPr fontId="2" type="noConversion"/>
  </si>
  <si>
    <t>신주</t>
    <phoneticPr fontId="2" type="noConversion"/>
  </si>
  <si>
    <t>펩트론</t>
    <phoneticPr fontId="3" type="noConversion"/>
  </si>
  <si>
    <t>이노칩테크놀러지</t>
    <phoneticPr fontId="3" type="noConversion"/>
  </si>
  <si>
    <t>구주</t>
    <phoneticPr fontId="3" type="noConversion"/>
  </si>
  <si>
    <t>씨디네트웍스</t>
    <phoneticPr fontId="3" type="noConversion"/>
  </si>
  <si>
    <t>재미인터렉티브</t>
    <phoneticPr fontId="3" type="noConversion"/>
  </si>
  <si>
    <t>팅크웨어</t>
    <phoneticPr fontId="3" type="noConversion"/>
  </si>
  <si>
    <t>신주</t>
    <phoneticPr fontId="3" type="noConversion"/>
  </si>
  <si>
    <t>청산</t>
    <phoneticPr fontId="2" type="noConversion"/>
  </si>
  <si>
    <t>고유인수</t>
    <phoneticPr fontId="2" type="noConversion"/>
  </si>
  <si>
    <t>백상석</t>
    <phoneticPr fontId="2" type="noConversion"/>
  </si>
  <si>
    <t>고유인수</t>
    <phoneticPr fontId="2" type="noConversion"/>
  </si>
  <si>
    <t>단기대여</t>
    <phoneticPr fontId="2" type="noConversion"/>
  </si>
  <si>
    <t>나비야인터테인먼트</t>
    <phoneticPr fontId="3" type="noConversion"/>
  </si>
  <si>
    <t>대여</t>
    <phoneticPr fontId="3" type="noConversion"/>
  </si>
  <si>
    <t>.</t>
    <phoneticPr fontId="2" type="noConversion"/>
  </si>
  <si>
    <t>IHQ</t>
    <phoneticPr fontId="2" type="noConversion"/>
  </si>
  <si>
    <t>영화사청어람</t>
    <phoneticPr fontId="3" type="noConversion"/>
  </si>
  <si>
    <t>CB</t>
    <phoneticPr fontId="3" type="noConversion"/>
  </si>
  <si>
    <t>한국OTC</t>
    <phoneticPr fontId="3" type="noConversion"/>
  </si>
  <si>
    <t>크라이젠코리아</t>
    <phoneticPr fontId="3" type="noConversion"/>
  </si>
  <si>
    <t>크라이젠코리아</t>
    <phoneticPr fontId="3" type="noConversion"/>
  </si>
  <si>
    <t>약정투자</t>
    <phoneticPr fontId="2" type="noConversion"/>
  </si>
  <si>
    <t>CRC17호</t>
    <phoneticPr fontId="2" type="noConversion"/>
  </si>
  <si>
    <t>이자</t>
    <phoneticPr fontId="2" type="noConversion"/>
  </si>
  <si>
    <t>정일부</t>
  </si>
  <si>
    <t>김형준</t>
  </si>
  <si>
    <t>장동우</t>
    <phoneticPr fontId="2" type="noConversion"/>
  </si>
  <si>
    <t>이관훈</t>
  </si>
  <si>
    <t>원금</t>
    <phoneticPr fontId="2" type="noConversion"/>
  </si>
  <si>
    <t>장내매각</t>
  </si>
  <si>
    <t>엔터테인먼트</t>
    <phoneticPr fontId="3" type="noConversion"/>
  </si>
  <si>
    <t>기타</t>
    <phoneticPr fontId="2" type="noConversion"/>
  </si>
  <si>
    <t>IT</t>
    <phoneticPr fontId="2" type="noConversion"/>
  </si>
  <si>
    <t>XIRR</t>
    <phoneticPr fontId="3" type="noConversion"/>
  </si>
  <si>
    <t>채권이자</t>
  </si>
  <si>
    <t>데빌헌터게임PJ_트라비아</t>
    <phoneticPr fontId="2" type="noConversion"/>
  </si>
  <si>
    <t>환경(2인)</t>
  </si>
  <si>
    <t>환경(3인)</t>
  </si>
  <si>
    <t>대여</t>
    <phoneticPr fontId="2" type="noConversion"/>
  </si>
  <si>
    <t>셀트리온GSC</t>
    <phoneticPr fontId="2" type="noConversion"/>
  </si>
  <si>
    <t>대여</t>
    <phoneticPr fontId="2" type="noConversion"/>
  </si>
  <si>
    <t>셀트리온GSC</t>
    <phoneticPr fontId="2" type="noConversion"/>
  </si>
  <si>
    <t>셀트리온GSC</t>
    <phoneticPr fontId="2" type="noConversion"/>
  </si>
  <si>
    <t>단기대여</t>
    <phoneticPr fontId="2" type="noConversion"/>
  </si>
  <si>
    <t>원금</t>
    <phoneticPr fontId="2" type="noConversion"/>
  </si>
  <si>
    <t>이자</t>
    <phoneticPr fontId="2" type="noConversion"/>
  </si>
  <si>
    <t>CRC14호</t>
    <phoneticPr fontId="2" type="noConversion"/>
  </si>
  <si>
    <t>원리금</t>
    <phoneticPr fontId="2" type="noConversion"/>
  </si>
  <si>
    <t>IMM16</t>
    <phoneticPr fontId="2" type="noConversion"/>
  </si>
  <si>
    <t>조합명</t>
    <phoneticPr fontId="2" type="noConversion"/>
  </si>
  <si>
    <t>담보제공자</t>
    <phoneticPr fontId="2" type="noConversion"/>
  </si>
  <si>
    <t>주식수</t>
    <phoneticPr fontId="2" type="noConversion"/>
  </si>
  <si>
    <t>IMM15</t>
    <phoneticPr fontId="2" type="noConversion"/>
  </si>
  <si>
    <t>IMM14</t>
    <phoneticPr fontId="2" type="noConversion"/>
  </si>
  <si>
    <t>담보수령</t>
    <phoneticPr fontId="2" type="noConversion"/>
  </si>
  <si>
    <t>주권</t>
    <phoneticPr fontId="2" type="noConversion"/>
  </si>
  <si>
    <t>비고</t>
    <phoneticPr fontId="2" type="noConversion"/>
  </si>
  <si>
    <t>아제002013~아제 002079호</t>
    <phoneticPr fontId="2" type="noConversion"/>
  </si>
  <si>
    <t>미래원</t>
    <phoneticPr fontId="2" type="noConversion"/>
  </si>
  <si>
    <t>종목</t>
  </si>
  <si>
    <t>투자/회수일</t>
  </si>
  <si>
    <t>투자회수금</t>
  </si>
  <si>
    <t>조합명</t>
  </si>
  <si>
    <t>셀트리온BW</t>
  </si>
  <si>
    <t>사채권</t>
  </si>
  <si>
    <t>CRC14</t>
  </si>
  <si>
    <t>워런트행사</t>
  </si>
  <si>
    <t>CRC15</t>
  </si>
  <si>
    <t>셀트리온 주식매수옵션</t>
  </si>
  <si>
    <t>셀트리온</t>
  </si>
  <si>
    <t>CRC16</t>
  </si>
  <si>
    <t>IMM1호PEF</t>
  </si>
  <si>
    <t>투자주식</t>
    <phoneticPr fontId="2" type="noConversion"/>
  </si>
  <si>
    <t>투자사채</t>
    <phoneticPr fontId="2" type="noConversion"/>
  </si>
  <si>
    <t>해산</t>
    <phoneticPr fontId="2" type="noConversion"/>
  </si>
  <si>
    <t>주식</t>
    <phoneticPr fontId="3" type="noConversion"/>
  </si>
  <si>
    <t>회수</t>
    <phoneticPr fontId="3" type="noConversion"/>
  </si>
  <si>
    <t>정보통신</t>
    <phoneticPr fontId="3" type="noConversion"/>
  </si>
  <si>
    <t>장동우</t>
    <phoneticPr fontId="3" type="noConversion"/>
  </si>
  <si>
    <t>감액</t>
    <phoneticPr fontId="3" type="noConversion"/>
  </si>
  <si>
    <t>기타</t>
    <phoneticPr fontId="3" type="noConversion"/>
  </si>
  <si>
    <t>투자유가증권</t>
    <phoneticPr fontId="2" type="noConversion"/>
  </si>
  <si>
    <t>스콥정보통신</t>
    <phoneticPr fontId="3" type="noConversion"/>
  </si>
  <si>
    <t>구주</t>
    <phoneticPr fontId="3" type="noConversion"/>
  </si>
  <si>
    <t>고성규</t>
    <phoneticPr fontId="3" type="noConversion"/>
  </si>
  <si>
    <t>백상석</t>
    <phoneticPr fontId="3" type="noConversion"/>
  </si>
  <si>
    <t>유통</t>
    <phoneticPr fontId="3" type="noConversion"/>
  </si>
  <si>
    <t>엔터테인먼트</t>
    <phoneticPr fontId="3" type="noConversion"/>
  </si>
  <si>
    <t>투자사채</t>
    <phoneticPr fontId="2" type="noConversion"/>
  </si>
  <si>
    <t>회수(GP)</t>
    <phoneticPr fontId="3" type="noConversion"/>
  </si>
  <si>
    <t>해산</t>
    <phoneticPr fontId="2" type="noConversion"/>
  </si>
  <si>
    <t xml:space="preserve"> </t>
    <phoneticPr fontId="3" type="noConversion"/>
  </si>
  <si>
    <t>유통</t>
    <phoneticPr fontId="2" type="noConversion"/>
  </si>
  <si>
    <t>제조</t>
    <phoneticPr fontId="3" type="noConversion"/>
  </si>
  <si>
    <t>해외 CB</t>
    <phoneticPr fontId="3" type="noConversion"/>
  </si>
  <si>
    <t>파이온</t>
    <phoneticPr fontId="3" type="noConversion"/>
  </si>
  <si>
    <t>이피지</t>
    <phoneticPr fontId="3" type="noConversion"/>
  </si>
  <si>
    <t>바이오탈</t>
    <phoneticPr fontId="3" type="noConversion"/>
  </si>
  <si>
    <t>폴리코</t>
    <phoneticPr fontId="3" type="noConversion"/>
  </si>
  <si>
    <t>바이오메카</t>
    <phoneticPr fontId="3" type="noConversion"/>
  </si>
  <si>
    <t>환경</t>
    <phoneticPr fontId="3" type="noConversion"/>
  </si>
  <si>
    <t>회수(GP)</t>
    <phoneticPr fontId="3" type="noConversion"/>
  </si>
  <si>
    <t>해산</t>
    <phoneticPr fontId="2" type="noConversion"/>
  </si>
  <si>
    <t>GEO-7</t>
    <phoneticPr fontId="3" type="noConversion"/>
  </si>
  <si>
    <t>투자유가증권</t>
    <phoneticPr fontId="2" type="noConversion"/>
  </si>
  <si>
    <t>멀티미디어라인</t>
    <phoneticPr fontId="3" type="noConversion"/>
  </si>
  <si>
    <t>주식</t>
    <phoneticPr fontId="3" type="noConversion"/>
  </si>
  <si>
    <t>감액</t>
    <phoneticPr fontId="3" type="noConversion"/>
  </si>
  <si>
    <t>엔터테인먼트</t>
    <phoneticPr fontId="3" type="noConversion"/>
  </si>
  <si>
    <t>장동우</t>
    <phoneticPr fontId="3" type="noConversion"/>
  </si>
  <si>
    <t>투자주식</t>
    <phoneticPr fontId="2" type="noConversion"/>
  </si>
  <si>
    <t>스콥정보통신</t>
    <phoneticPr fontId="3" type="noConversion"/>
  </si>
  <si>
    <t>정보통신</t>
    <phoneticPr fontId="3" type="noConversion"/>
  </si>
  <si>
    <t>고성규</t>
    <phoneticPr fontId="3" type="noConversion"/>
  </si>
  <si>
    <t>감액환입</t>
    <phoneticPr fontId="3" type="noConversion"/>
  </si>
  <si>
    <t>회수</t>
    <phoneticPr fontId="3" type="noConversion"/>
  </si>
  <si>
    <t>세진T&amp;M</t>
    <phoneticPr fontId="3" type="noConversion"/>
  </si>
  <si>
    <t>백상석</t>
    <phoneticPr fontId="3" type="noConversion"/>
  </si>
  <si>
    <t>해산</t>
    <phoneticPr fontId="2" type="noConversion"/>
  </si>
  <si>
    <t>투자유가증권</t>
    <phoneticPr fontId="2" type="noConversion"/>
  </si>
  <si>
    <t>CJ엔터테인먼트</t>
    <phoneticPr fontId="3" type="noConversion"/>
  </si>
  <si>
    <t>엔터테인먼트</t>
    <phoneticPr fontId="3" type="noConversion"/>
  </si>
  <si>
    <t>회수(GP)</t>
    <phoneticPr fontId="2" type="noConversion"/>
  </si>
  <si>
    <t>보통주</t>
    <phoneticPr fontId="3" type="noConversion"/>
  </si>
  <si>
    <t>청산</t>
    <phoneticPr fontId="2" type="noConversion"/>
  </si>
  <si>
    <t>프로젝트투자</t>
    <phoneticPr fontId="2" type="noConversion"/>
  </si>
  <si>
    <t>비에프에이</t>
    <phoneticPr fontId="3" type="noConversion"/>
  </si>
  <si>
    <t>프로젝트</t>
    <phoneticPr fontId="3" type="noConversion"/>
  </si>
  <si>
    <t>EMLSI</t>
    <phoneticPr fontId="3" type="noConversion"/>
  </si>
  <si>
    <t>지식발전소</t>
    <phoneticPr fontId="3" type="noConversion"/>
  </si>
  <si>
    <t xml:space="preserve"> 비에프에이</t>
    <phoneticPr fontId="3" type="noConversion"/>
  </si>
  <si>
    <t>청산</t>
    <phoneticPr fontId="2" type="noConversion"/>
  </si>
  <si>
    <t>에스텍</t>
    <phoneticPr fontId="3" type="noConversion"/>
  </si>
  <si>
    <t>한우티엔씨</t>
    <phoneticPr fontId="3" type="noConversion"/>
  </si>
  <si>
    <t>청산</t>
    <phoneticPr fontId="2" type="noConversion"/>
  </si>
  <si>
    <t>에스텍</t>
    <phoneticPr fontId="3" type="noConversion"/>
  </si>
  <si>
    <t>보통주</t>
    <phoneticPr fontId="3" type="noConversion"/>
  </si>
  <si>
    <t>GEO-1</t>
    <phoneticPr fontId="3" type="noConversion"/>
  </si>
  <si>
    <t>한국소프트중심</t>
    <phoneticPr fontId="3" type="noConversion"/>
  </si>
  <si>
    <t>보통주</t>
    <phoneticPr fontId="3" type="noConversion"/>
  </si>
  <si>
    <t>네오C&amp;C</t>
    <phoneticPr fontId="3" type="noConversion"/>
  </si>
  <si>
    <t>트러스트</t>
    <phoneticPr fontId="3" type="noConversion"/>
  </si>
  <si>
    <t>디지탈이메이션</t>
    <phoneticPr fontId="3" type="noConversion"/>
  </si>
  <si>
    <t>회수(정윤지)</t>
    <phoneticPr fontId="3" type="noConversion"/>
  </si>
  <si>
    <t>동우애니메이션</t>
    <phoneticPr fontId="3" type="noConversion"/>
  </si>
  <si>
    <t>정재운</t>
    <phoneticPr fontId="3" type="noConversion"/>
  </si>
  <si>
    <t>싸이럭스테크놀러지</t>
    <phoneticPr fontId="3" type="noConversion"/>
  </si>
  <si>
    <t>판타그램</t>
    <phoneticPr fontId="3" type="noConversion"/>
  </si>
  <si>
    <t>이상우</t>
    <phoneticPr fontId="3" type="noConversion"/>
  </si>
  <si>
    <t xml:space="preserve"> </t>
    <phoneticPr fontId="3" type="noConversion"/>
  </si>
  <si>
    <t>사이버이메지네이션</t>
    <phoneticPr fontId="3" type="noConversion"/>
  </si>
  <si>
    <t>사이버패트롤</t>
    <phoneticPr fontId="3" type="noConversion"/>
  </si>
  <si>
    <t>GEO-3</t>
    <phoneticPr fontId="3" type="noConversion"/>
  </si>
  <si>
    <t>멀티미디어라인</t>
    <phoneticPr fontId="3" type="noConversion"/>
  </si>
  <si>
    <t>회수(GP)</t>
    <phoneticPr fontId="2" type="noConversion"/>
  </si>
  <si>
    <t>감액환입</t>
    <phoneticPr fontId="3" type="noConversion"/>
  </si>
  <si>
    <t>세진T&amp;M</t>
    <phoneticPr fontId="3" type="noConversion"/>
  </si>
  <si>
    <t>BW</t>
    <phoneticPr fontId="3" type="noConversion"/>
  </si>
  <si>
    <t>보통주</t>
    <phoneticPr fontId="3" type="noConversion"/>
  </si>
  <si>
    <t>회수(GP)</t>
    <phoneticPr fontId="3" type="noConversion"/>
  </si>
  <si>
    <t>ABC NET</t>
    <phoneticPr fontId="3" type="noConversion"/>
  </si>
  <si>
    <t>회수(GP)</t>
    <phoneticPr fontId="2" type="noConversion"/>
  </si>
  <si>
    <t>RF T&amp;C</t>
    <phoneticPr fontId="3" type="noConversion"/>
  </si>
  <si>
    <t>시큐어소프트</t>
    <phoneticPr fontId="3" type="noConversion"/>
  </si>
  <si>
    <t>CB</t>
    <phoneticPr fontId="3" type="noConversion"/>
  </si>
  <si>
    <t>김지훈</t>
    <phoneticPr fontId="3" type="noConversion"/>
  </si>
  <si>
    <t>CJ엔터테인먼트</t>
    <phoneticPr fontId="3" type="noConversion"/>
  </si>
  <si>
    <t>BW</t>
    <phoneticPr fontId="3" type="noConversion"/>
  </si>
  <si>
    <t>평가손실</t>
    <phoneticPr fontId="3" type="noConversion"/>
  </si>
  <si>
    <t>BW행사</t>
    <phoneticPr fontId="3" type="noConversion"/>
  </si>
  <si>
    <t>평가손실</t>
    <phoneticPr fontId="2" type="noConversion"/>
  </si>
  <si>
    <t>창업자대여</t>
    <phoneticPr fontId="2" type="noConversion"/>
  </si>
  <si>
    <t>코러스인베스트먼트</t>
    <phoneticPr fontId="2" type="noConversion"/>
  </si>
  <si>
    <t>창업자</t>
    <phoneticPr fontId="2" type="noConversion"/>
  </si>
  <si>
    <t>기타</t>
    <phoneticPr fontId="2" type="noConversion"/>
  </si>
  <si>
    <t>단기대여</t>
    <phoneticPr fontId="2" type="noConversion"/>
  </si>
  <si>
    <t>파트너스</t>
    <phoneticPr fontId="2" type="noConversion"/>
  </si>
  <si>
    <t>대여</t>
    <phoneticPr fontId="3" type="noConversion"/>
  </si>
  <si>
    <t>기타</t>
    <phoneticPr fontId="2" type="noConversion"/>
  </si>
  <si>
    <t>스타일줌</t>
    <phoneticPr fontId="2" type="noConversion"/>
  </si>
  <si>
    <t>장외매각</t>
    <phoneticPr fontId="2" type="noConversion"/>
  </si>
  <si>
    <t>이투스</t>
    <phoneticPr fontId="2" type="noConversion"/>
  </si>
  <si>
    <t>CB</t>
    <phoneticPr fontId="2" type="noConversion"/>
  </si>
  <si>
    <t>보통주전환단주대</t>
    <phoneticPr fontId="2" type="noConversion"/>
  </si>
  <si>
    <t>청산</t>
    <phoneticPr fontId="2" type="noConversion"/>
  </si>
  <si>
    <t>투자사채</t>
    <phoneticPr fontId="2" type="noConversion"/>
  </si>
  <si>
    <t>이투스</t>
    <phoneticPr fontId="2" type="noConversion"/>
  </si>
  <si>
    <t>보통주전환</t>
    <phoneticPr fontId="2" type="noConversion"/>
  </si>
  <si>
    <t>장외매각</t>
    <phoneticPr fontId="2" type="noConversion"/>
  </si>
  <si>
    <t>구주_보통주</t>
  </si>
  <si>
    <t>구주_보통주</t>
    <phoneticPr fontId="2" type="noConversion"/>
  </si>
  <si>
    <t>신주_상환우선주</t>
    <phoneticPr fontId="2" type="noConversion"/>
  </si>
  <si>
    <t>신주_보통주</t>
  </si>
  <si>
    <t>신주_보통주</t>
    <phoneticPr fontId="2" type="noConversion"/>
  </si>
  <si>
    <t>구주_보통주</t>
    <phoneticPr fontId="3" type="noConversion"/>
  </si>
  <si>
    <t>장외매각(이헌주)</t>
    <phoneticPr fontId="3" type="noConversion"/>
  </si>
  <si>
    <t>배당</t>
    <phoneticPr fontId="3" type="noConversion"/>
  </si>
  <si>
    <t>장외매각(박기석)</t>
    <phoneticPr fontId="3" type="noConversion"/>
  </si>
  <si>
    <t>장오매각(시공테크)</t>
    <phoneticPr fontId="3" type="noConversion"/>
  </si>
  <si>
    <t>장외매각(정윤지)</t>
    <phoneticPr fontId="3" type="noConversion"/>
  </si>
  <si>
    <t>신주_보통주</t>
    <phoneticPr fontId="3" type="noConversion"/>
  </si>
  <si>
    <t>주식_보통주</t>
    <phoneticPr fontId="3" type="noConversion"/>
  </si>
  <si>
    <t>장외매각(이태성)</t>
    <phoneticPr fontId="3" type="noConversion"/>
  </si>
  <si>
    <t>장외매각</t>
    <phoneticPr fontId="3" type="noConversion"/>
  </si>
  <si>
    <t>주재훈,이태성,이기상</t>
    <phoneticPr fontId="2" type="noConversion"/>
  </si>
  <si>
    <t>IPO</t>
    <phoneticPr fontId="3" type="noConversion"/>
  </si>
  <si>
    <t>감액</t>
    <phoneticPr fontId="2" type="noConversion"/>
  </si>
  <si>
    <t>CB이자</t>
    <phoneticPr fontId="3" type="noConversion"/>
  </si>
  <si>
    <t>CB이자</t>
    <phoneticPr fontId="2" type="noConversion"/>
  </si>
  <si>
    <t>상환</t>
    <phoneticPr fontId="3" type="noConversion"/>
  </si>
  <si>
    <t>배당금</t>
    <phoneticPr fontId="3" type="noConversion"/>
  </si>
  <si>
    <t>최건</t>
    <phoneticPr fontId="2" type="noConversion"/>
  </si>
  <si>
    <t>김효정,최지영</t>
    <phoneticPr fontId="2" type="noConversion"/>
  </si>
  <si>
    <t>이종찬</t>
    <phoneticPr fontId="2" type="noConversion"/>
  </si>
  <si>
    <t>상환</t>
    <phoneticPr fontId="2" type="noConversion"/>
  </si>
  <si>
    <t>미산일렉트로닉스</t>
    <phoneticPr fontId="3" type="noConversion"/>
  </si>
  <si>
    <t>CB이자</t>
    <phoneticPr fontId="2" type="noConversion"/>
  </si>
  <si>
    <t>구주_보통주</t>
    <phoneticPr fontId="3" type="noConversion"/>
  </si>
  <si>
    <t>장외매각</t>
    <phoneticPr fontId="3" type="noConversion"/>
  </si>
  <si>
    <t>비티에프아시아</t>
    <phoneticPr fontId="2" type="noConversion"/>
  </si>
  <si>
    <t>코라이젠코리아</t>
    <phoneticPr fontId="3" type="noConversion"/>
  </si>
  <si>
    <t>상환</t>
    <phoneticPr fontId="3" type="noConversion"/>
  </si>
  <si>
    <t>상환</t>
    <phoneticPr fontId="2" type="noConversion"/>
  </si>
  <si>
    <t>이유찬</t>
    <phoneticPr fontId="2" type="noConversion"/>
  </si>
  <si>
    <t>나우타홀딩스</t>
    <phoneticPr fontId="2" type="noConversion"/>
  </si>
  <si>
    <t>상환</t>
    <phoneticPr fontId="2" type="noConversion"/>
  </si>
  <si>
    <t>최은석</t>
    <phoneticPr fontId="2" type="noConversion"/>
  </si>
  <si>
    <t>장내매각</t>
    <phoneticPr fontId="2" type="noConversion"/>
  </si>
  <si>
    <t>신주_RCPS</t>
    <phoneticPr fontId="3" type="noConversion"/>
  </si>
  <si>
    <t>온게임네트워크</t>
    <phoneticPr fontId="2" type="noConversion"/>
  </si>
  <si>
    <t>강용규</t>
    <phoneticPr fontId="2" type="noConversion"/>
  </si>
  <si>
    <t>신주_보통주</t>
    <phoneticPr fontId="3" type="noConversion"/>
  </si>
  <si>
    <t>현물배분</t>
    <phoneticPr fontId="3" type="noConversion"/>
  </si>
  <si>
    <t>사채권이자</t>
    <phoneticPr fontId="2" type="noConversion"/>
  </si>
  <si>
    <t>배당금</t>
    <phoneticPr fontId="2" type="noConversion"/>
  </si>
  <si>
    <t>액면분할</t>
    <phoneticPr fontId="3" type="noConversion"/>
  </si>
  <si>
    <t>㈜옥시</t>
    <phoneticPr fontId="2" type="noConversion"/>
  </si>
  <si>
    <t>㈜코리프</t>
    <phoneticPr fontId="2" type="noConversion"/>
  </si>
  <si>
    <t>박성철</t>
    <phoneticPr fontId="2" type="noConversion"/>
  </si>
  <si>
    <t>이상희</t>
    <phoneticPr fontId="2" type="noConversion"/>
  </si>
  <si>
    <t>네오플럭스캐피탈</t>
    <phoneticPr fontId="2" type="noConversion"/>
  </si>
  <si>
    <t>워런트행사</t>
    <phoneticPr fontId="3" type="noConversion"/>
  </si>
  <si>
    <t>SK텔링크</t>
    <phoneticPr fontId="2" type="noConversion"/>
  </si>
  <si>
    <t>장내매각</t>
    <phoneticPr fontId="3" type="noConversion"/>
  </si>
  <si>
    <t>최지영,김효정</t>
    <phoneticPr fontId="2" type="noConversion"/>
  </si>
  <si>
    <t>주재훈</t>
    <phoneticPr fontId="2" type="noConversion"/>
  </si>
  <si>
    <t>김정수</t>
    <phoneticPr fontId="2" type="noConversion"/>
  </si>
  <si>
    <t>제일상호신용금고</t>
    <phoneticPr fontId="2" type="noConversion"/>
  </si>
  <si>
    <t>장외매각</t>
    <phoneticPr fontId="3" type="noConversion"/>
  </si>
  <si>
    <t>제이원데이타시스템</t>
    <phoneticPr fontId="2" type="noConversion"/>
  </si>
  <si>
    <t>IMM</t>
    <phoneticPr fontId="2" type="noConversion"/>
  </si>
  <si>
    <t>워런트</t>
    <phoneticPr fontId="3" type="noConversion"/>
  </si>
  <si>
    <t>심준규</t>
    <phoneticPr fontId="2" type="noConversion"/>
  </si>
  <si>
    <t>우리기술투자</t>
    <phoneticPr fontId="2" type="noConversion"/>
  </si>
  <si>
    <t>이지연</t>
    <phoneticPr fontId="2" type="noConversion"/>
  </si>
  <si>
    <t>하태준</t>
    <phoneticPr fontId="2" type="noConversion"/>
  </si>
  <si>
    <t>황윤상</t>
    <phoneticPr fontId="2" type="noConversion"/>
  </si>
  <si>
    <t>국민연금02-5일신</t>
    <phoneticPr fontId="2" type="noConversion"/>
  </si>
  <si>
    <t>호서벤처투자</t>
    <phoneticPr fontId="2" type="noConversion"/>
  </si>
  <si>
    <t>IPO</t>
    <phoneticPr fontId="2" type="noConversion"/>
  </si>
  <si>
    <t>구주_CB</t>
    <phoneticPr fontId="3" type="noConversion"/>
  </si>
  <si>
    <t>송근호</t>
    <phoneticPr fontId="2" type="noConversion"/>
  </si>
  <si>
    <t>닉스</t>
    <phoneticPr fontId="2" type="noConversion"/>
  </si>
  <si>
    <t>최진현외</t>
    <phoneticPr fontId="2" type="noConversion"/>
  </si>
  <si>
    <t>박상현</t>
    <phoneticPr fontId="2" type="noConversion"/>
  </si>
  <si>
    <t>윤필환외4</t>
    <phoneticPr fontId="2" type="noConversion"/>
  </si>
  <si>
    <t>정재섭</t>
    <phoneticPr fontId="2" type="noConversion"/>
  </si>
  <si>
    <t>변광수</t>
    <phoneticPr fontId="2" type="noConversion"/>
  </si>
  <si>
    <t>정주영</t>
    <phoneticPr fontId="2" type="noConversion"/>
  </si>
  <si>
    <t>정주영</t>
    <phoneticPr fontId="2" type="noConversion"/>
  </si>
  <si>
    <t>황창순</t>
    <phoneticPr fontId="2" type="noConversion"/>
  </si>
  <si>
    <t>장외매각</t>
    <phoneticPr fontId="2" type="noConversion"/>
  </si>
  <si>
    <t>이대봉</t>
    <phoneticPr fontId="2" type="noConversion"/>
  </si>
  <si>
    <t>네오플럭스</t>
    <phoneticPr fontId="2" type="noConversion"/>
  </si>
  <si>
    <t>씨앤에프법률사무소</t>
    <phoneticPr fontId="2" type="noConversion"/>
  </si>
  <si>
    <t>넥스트벤처투자</t>
    <phoneticPr fontId="2" type="noConversion"/>
  </si>
  <si>
    <t>박선영</t>
    <phoneticPr fontId="2" type="noConversion"/>
  </si>
  <si>
    <t>정태진</t>
    <phoneticPr fontId="2" type="noConversion"/>
  </si>
  <si>
    <t>전홍철외2</t>
    <phoneticPr fontId="2" type="noConversion"/>
  </si>
  <si>
    <t>우경석</t>
    <phoneticPr fontId="2" type="noConversion"/>
  </si>
  <si>
    <t>정자춘</t>
    <phoneticPr fontId="2" type="noConversion"/>
  </si>
  <si>
    <t>보경알앤디</t>
    <phoneticPr fontId="2" type="noConversion"/>
  </si>
  <si>
    <t>민성원</t>
    <phoneticPr fontId="2" type="noConversion"/>
  </si>
  <si>
    <t>넷인비즈</t>
    <phoneticPr fontId="3" type="noConversion"/>
  </si>
  <si>
    <t>신주</t>
    <phoneticPr fontId="3" type="noConversion"/>
  </si>
  <si>
    <t>신주_우선주</t>
    <phoneticPr fontId="3" type="noConversion"/>
  </si>
  <si>
    <t>구주_보통주</t>
    <phoneticPr fontId="3" type="noConversion"/>
  </si>
  <si>
    <t>윤용철</t>
    <phoneticPr fontId="2" type="noConversion"/>
  </si>
  <si>
    <t>안계환</t>
    <phoneticPr fontId="2" type="noConversion"/>
  </si>
  <si>
    <t>네오츨럭스</t>
    <phoneticPr fontId="2" type="noConversion"/>
  </si>
  <si>
    <t>이지영</t>
    <phoneticPr fontId="2" type="noConversion"/>
  </si>
  <si>
    <t>엠벤처투자</t>
    <phoneticPr fontId="2" type="noConversion"/>
  </si>
  <si>
    <t>엠벤처3호</t>
    <phoneticPr fontId="2" type="noConversion"/>
  </si>
  <si>
    <t>서울전자통신</t>
    <phoneticPr fontId="2" type="noConversion"/>
  </si>
  <si>
    <t>이투스</t>
    <phoneticPr fontId="2" type="noConversion"/>
  </si>
  <si>
    <t>신주_RCPS</t>
    <phoneticPr fontId="2" type="noConversion"/>
  </si>
  <si>
    <t>CAP</t>
    <phoneticPr fontId="3" type="noConversion"/>
  </si>
  <si>
    <t>셀빅</t>
    <phoneticPr fontId="3" type="noConversion"/>
  </si>
  <si>
    <t>일반제조</t>
  </si>
  <si>
    <t>정보통신</t>
    <phoneticPr fontId="3" type="noConversion"/>
  </si>
  <si>
    <t>장동우</t>
    <phoneticPr fontId="3" type="noConversion"/>
  </si>
  <si>
    <t>이상우</t>
    <phoneticPr fontId="3" type="noConversion"/>
  </si>
  <si>
    <t>백상석</t>
    <phoneticPr fontId="3" type="noConversion"/>
  </si>
  <si>
    <t>엔터테인먼트</t>
    <phoneticPr fontId="3" type="noConversion"/>
  </si>
  <si>
    <t>정일부</t>
    <phoneticPr fontId="3" type="noConversion"/>
  </si>
  <si>
    <t>고성규</t>
    <phoneticPr fontId="2" type="noConversion"/>
  </si>
  <si>
    <t>SHC-IMM</t>
  </si>
  <si>
    <t>정일부(대펀)</t>
  </si>
  <si>
    <t>캐프</t>
  </si>
  <si>
    <t>CPS(신주)</t>
  </si>
  <si>
    <t>보통주 전환</t>
  </si>
  <si>
    <t>최성욱(일반)</t>
  </si>
  <si>
    <t>지성배</t>
  </si>
  <si>
    <t>보통주-구</t>
  </si>
  <si>
    <t>이종석(일반)</t>
  </si>
  <si>
    <t>BW</t>
  </si>
  <si>
    <t>이관훈(일반)</t>
  </si>
  <si>
    <t>김주열</t>
  </si>
  <si>
    <t>최영규</t>
  </si>
  <si>
    <t>모태(참관)</t>
  </si>
  <si>
    <t>L&amp;F신소재</t>
  </si>
  <si>
    <t>우선주(신주)_특수</t>
  </si>
  <si>
    <t>루미리치(창업자)</t>
  </si>
  <si>
    <t>RCPS(신주)_특수</t>
  </si>
  <si>
    <t>JJ프로테크(창업자)</t>
  </si>
  <si>
    <t>투자사채</t>
  </si>
  <si>
    <t>CB(신주)-특수</t>
  </si>
  <si>
    <t>BW이자</t>
  </si>
  <si>
    <t>티이에스</t>
  </si>
  <si>
    <t>RCPS(구)</t>
  </si>
  <si>
    <t>안드로메다게임즈</t>
  </si>
  <si>
    <t>RCPS(신주)_주목적</t>
  </si>
  <si>
    <t>합계</t>
  </si>
  <si>
    <t>KT-IMM</t>
  </si>
  <si>
    <t>장동우(대펀)</t>
  </si>
  <si>
    <t>김윤구(대펀)</t>
  </si>
  <si>
    <t>IMM가이저</t>
  </si>
  <si>
    <t>IMM그린테크</t>
  </si>
  <si>
    <t>다은테크(창업자)</t>
  </si>
  <si>
    <t>정일부(일반)</t>
  </si>
  <si>
    <t>다은테크</t>
  </si>
  <si>
    <t>CB(신주)_특수</t>
  </si>
  <si>
    <t>연체이자</t>
  </si>
  <si>
    <t>환경(1인)</t>
  </si>
  <si>
    <t>엘타임게임즈(창업자)</t>
  </si>
  <si>
    <t>코캄</t>
  </si>
  <si>
    <t>보통주(구주)</t>
  </si>
  <si>
    <t>배당</t>
  </si>
  <si>
    <t>루미리치</t>
  </si>
  <si>
    <t>덴티움</t>
  </si>
  <si>
    <t>구주(신주인수권)</t>
  </si>
  <si>
    <t>구주(워런트행사)</t>
  </si>
  <si>
    <t>우아한형제들(창업자)</t>
  </si>
  <si>
    <t>JJ프로테크</t>
  </si>
  <si>
    <t>KoFC-IMM</t>
  </si>
  <si>
    <t>지성배(대펀)</t>
  </si>
  <si>
    <t>제이미크론</t>
  </si>
  <si>
    <t>RCPS-구</t>
  </si>
  <si>
    <t>장동우(핵심)</t>
  </si>
  <si>
    <t>신흥기계</t>
  </si>
  <si>
    <t>블럭딜</t>
  </si>
  <si>
    <t>마이다스</t>
  </si>
  <si>
    <t>정금(참관)</t>
  </si>
  <si>
    <t>RCPS-신</t>
  </si>
  <si>
    <t>원방테크</t>
  </si>
  <si>
    <t>보통주</t>
  </si>
  <si>
    <t>씨아이에스</t>
  </si>
  <si>
    <t>보통주_구</t>
  </si>
  <si>
    <t>장외매각</t>
  </si>
  <si>
    <t>무상증자</t>
  </si>
  <si>
    <t>액면분할</t>
  </si>
  <si>
    <t>보통주_신</t>
  </si>
  <si>
    <t>2010KIF</t>
  </si>
  <si>
    <t>송인준</t>
  </si>
  <si>
    <t>엠텔로</t>
  </si>
  <si>
    <t>김윤구</t>
  </si>
  <si>
    <t>보통주_구주</t>
  </si>
  <si>
    <t>CPS-신주</t>
  </si>
  <si>
    <t>엠콤(창업자)</t>
  </si>
  <si>
    <t>엠콤</t>
  </si>
  <si>
    <t>워런트매각</t>
  </si>
  <si>
    <t>사채매각</t>
  </si>
  <si>
    <t>아이센스</t>
  </si>
  <si>
    <t>예스티</t>
  </si>
  <si>
    <t>RCPS_신</t>
  </si>
  <si>
    <t>빅히트</t>
  </si>
  <si>
    <t>RCPS_신주_주목적</t>
  </si>
  <si>
    <t>CB_신주_주목적</t>
  </si>
  <si>
    <t>맥스필름</t>
  </si>
  <si>
    <t>BW_신주_주목적</t>
  </si>
  <si>
    <t>기가레인</t>
  </si>
  <si>
    <t>call option행사</t>
  </si>
  <si>
    <t>코반케미칼</t>
  </si>
  <si>
    <t>KIF(참관)</t>
  </si>
  <si>
    <t>KoFC-IMM2011</t>
  </si>
  <si>
    <t>화인</t>
  </si>
  <si>
    <t>RCPS_구주_목적투자</t>
  </si>
  <si>
    <t>영우DSP</t>
  </si>
  <si>
    <t>램테크놀러지</t>
  </si>
  <si>
    <t>서진캠</t>
  </si>
  <si>
    <t>DMB테크놀로지</t>
  </si>
  <si>
    <t>BW_신주_목적투자</t>
  </si>
  <si>
    <t>RCPS(구)_목적투자</t>
  </si>
  <si>
    <t>보통주_구주_목적투자</t>
  </si>
  <si>
    <t>우선주_신주_목적투자</t>
  </si>
  <si>
    <t>유비스</t>
  </si>
  <si>
    <t>킨스계기</t>
  </si>
  <si>
    <t>우선주_신주</t>
  </si>
  <si>
    <t>영화테크</t>
  </si>
  <si>
    <t>헬스웰메디칼</t>
  </si>
  <si>
    <t>CB_신주</t>
  </si>
  <si>
    <t>BW_신주</t>
  </si>
  <si>
    <t>ㅇ</t>
    <phoneticPr fontId="3" type="noConversion"/>
  </si>
  <si>
    <t>3. VC운용조합</t>
  </si>
  <si>
    <t>운용인력</t>
  </si>
  <si>
    <t>투심위위원</t>
  </si>
  <si>
    <t>계정과목</t>
  </si>
  <si>
    <t>종목명</t>
  </si>
  <si>
    <t>투자일</t>
  </si>
  <si>
    <t>투자수량</t>
  </si>
  <si>
    <t>투자단가</t>
  </si>
  <si>
    <t>투자형태</t>
  </si>
  <si>
    <t>회수일</t>
  </si>
  <si>
    <t>회수수량</t>
  </si>
  <si>
    <t>회수단가</t>
  </si>
  <si>
    <t>총회수금액</t>
  </si>
  <si>
    <t>회수액합계</t>
  </si>
  <si>
    <t>회수원금</t>
  </si>
  <si>
    <t>매매차익</t>
  </si>
  <si>
    <t>수익처리</t>
  </si>
  <si>
    <t>잔액</t>
  </si>
  <si>
    <t>XIRR</t>
  </si>
  <si>
    <t>비고</t>
  </si>
  <si>
    <t>업종분류</t>
  </si>
  <si>
    <t>담당자</t>
  </si>
  <si>
    <t>프로젝투투자</t>
  </si>
  <si>
    <t>프로젝트</t>
  </si>
  <si>
    <t>비상장</t>
  </si>
  <si>
    <t>계약금-성일텔레콤</t>
  </si>
  <si>
    <t>IT</t>
  </si>
  <si>
    <t>중도금-성일텔레콤</t>
  </si>
  <si>
    <t>잔금-성일텔레콤</t>
  </si>
  <si>
    <t>보상</t>
  </si>
  <si>
    <t>평가손</t>
  </si>
  <si>
    <t>평가익</t>
  </si>
  <si>
    <t>CB</t>
  </si>
  <si>
    <t>CB주식전환</t>
  </si>
  <si>
    <t>장외매도</t>
  </si>
  <si>
    <t>원금회수</t>
  </si>
  <si>
    <t>만기상환</t>
  </si>
  <si>
    <t>상환</t>
  </si>
  <si>
    <t>매각</t>
  </si>
  <si>
    <t>황우빈</t>
  </si>
  <si>
    <t>원금+이자</t>
  </si>
  <si>
    <t>상환+CB이자</t>
  </si>
  <si>
    <t xml:space="preserve"> </t>
  </si>
  <si>
    <t>원리금</t>
  </si>
  <si>
    <t>IMM16호</t>
  </si>
  <si>
    <t>단기대여</t>
  </si>
  <si>
    <t>마스트미디어</t>
  </si>
  <si>
    <t>대여</t>
  </si>
  <si>
    <t>전진중공업</t>
  </si>
  <si>
    <t>선수금</t>
  </si>
  <si>
    <t>원금정산+이자</t>
  </si>
  <si>
    <t>KoFC-R&amp;D2013</t>
  </si>
  <si>
    <t>제노포커스</t>
  </si>
  <si>
    <t>CB_신주_주목적_특수1</t>
  </si>
  <si>
    <t>ROI</t>
  </si>
  <si>
    <r>
      <rPr>
        <sz val="10"/>
        <rFont val="바탕체"/>
        <family val="1"/>
        <charset val="129"/>
      </rPr>
      <t>투자일</t>
    </r>
  </si>
  <si>
    <r>
      <rPr>
        <sz val="10"/>
        <rFont val="바탕체"/>
        <family val="1"/>
        <charset val="129"/>
      </rPr>
      <t>투자금액</t>
    </r>
  </si>
  <si>
    <r>
      <rPr>
        <sz val="10"/>
        <rFont val="바탕체"/>
        <family val="1"/>
        <charset val="129"/>
      </rPr>
      <t>회수일</t>
    </r>
  </si>
  <si>
    <r>
      <rPr>
        <sz val="10"/>
        <rFont val="바탕체"/>
        <family val="1"/>
        <charset val="129"/>
      </rPr>
      <t>회수금액</t>
    </r>
  </si>
  <si>
    <r>
      <rPr>
        <sz val="10"/>
        <rFont val="바탕체"/>
        <family val="1"/>
        <charset val="129"/>
      </rPr>
      <t>투자수익</t>
    </r>
  </si>
  <si>
    <t>IRR</t>
  </si>
  <si>
    <r>
      <rPr>
        <sz val="10"/>
        <rFont val="바탕체"/>
        <family val="1"/>
        <charset val="129"/>
      </rPr>
      <t>투자</t>
    </r>
    <r>
      <rPr>
        <sz val="10"/>
        <rFont val="Times New Roman"/>
        <family val="1"/>
      </rPr>
      <t xml:space="preserve"> </t>
    </r>
    <r>
      <rPr>
        <sz val="10"/>
        <rFont val="바탕체"/>
        <family val="1"/>
        <charset val="129"/>
      </rPr>
      <t>합계</t>
    </r>
  </si>
  <si>
    <r>
      <rPr>
        <sz val="10"/>
        <rFont val="바탕체"/>
        <family val="1"/>
        <charset val="129"/>
      </rPr>
      <t>회수합계</t>
    </r>
  </si>
  <si>
    <t>전체수익금</t>
  </si>
  <si>
    <t>매각액</t>
  </si>
  <si>
    <t>주식수</t>
  </si>
  <si>
    <t>매각평균단가</t>
  </si>
  <si>
    <t>우선주전환 보통주</t>
  </si>
  <si>
    <t>BW이자</t>
    <phoneticPr fontId="2" type="noConversion"/>
  </si>
  <si>
    <t>마이다스</t>
    <phoneticPr fontId="2" type="noConversion"/>
  </si>
  <si>
    <t>워런트매각</t>
    <phoneticPr fontId="2" type="noConversion"/>
  </si>
  <si>
    <t>BW이자</t>
    <phoneticPr fontId="2" type="noConversion"/>
  </si>
  <si>
    <t>보통주-구</t>
    <phoneticPr fontId="2" type="noConversion"/>
  </si>
  <si>
    <t>아이엠엠2호</t>
    <phoneticPr fontId="2" type="noConversion"/>
  </si>
  <si>
    <t>최성욱.운영준</t>
    <phoneticPr fontId="2" type="noConversion"/>
  </si>
  <si>
    <t>4. PEF 운용펀드</t>
    <phoneticPr fontId="2" type="noConversion"/>
  </si>
  <si>
    <t>수수료제외</t>
    <phoneticPr fontId="2" type="noConversion"/>
  </si>
  <si>
    <t>투자일</t>
    <phoneticPr fontId="2" type="noConversion"/>
  </si>
  <si>
    <t>투자수량</t>
    <phoneticPr fontId="2" type="noConversion"/>
  </si>
  <si>
    <t>투자단가</t>
    <phoneticPr fontId="2" type="noConversion"/>
  </si>
  <si>
    <t>투자형태</t>
    <phoneticPr fontId="2" type="noConversion"/>
  </si>
  <si>
    <t>회수일</t>
    <phoneticPr fontId="2" type="noConversion"/>
  </si>
  <si>
    <t>회수수량</t>
    <phoneticPr fontId="2" type="noConversion"/>
  </si>
  <si>
    <t>회수단가</t>
    <phoneticPr fontId="2" type="noConversion"/>
  </si>
  <si>
    <t>총회수금액</t>
    <phoneticPr fontId="2" type="noConversion"/>
  </si>
  <si>
    <t>회수원금</t>
    <phoneticPr fontId="2" type="noConversion"/>
  </si>
  <si>
    <t>매매차익</t>
    <phoneticPr fontId="2" type="noConversion"/>
  </si>
  <si>
    <t>잔액</t>
    <phoneticPr fontId="2" type="noConversion"/>
  </si>
  <si>
    <t>운용인력</t>
    <phoneticPr fontId="2" type="noConversion"/>
  </si>
  <si>
    <t>투심위위원</t>
    <phoneticPr fontId="2" type="noConversion"/>
  </si>
  <si>
    <t>발굴자</t>
    <phoneticPr fontId="2" type="noConversion"/>
  </si>
  <si>
    <t>심사역</t>
    <phoneticPr fontId="2" type="noConversion"/>
  </si>
  <si>
    <t>사후관리자</t>
    <phoneticPr fontId="2" type="noConversion"/>
  </si>
  <si>
    <t>IMMPEF</t>
    <phoneticPr fontId="2" type="noConversion"/>
  </si>
  <si>
    <t>RCPS</t>
    <phoneticPr fontId="2" type="noConversion"/>
  </si>
  <si>
    <t>지성배</t>
    <phoneticPr fontId="2" type="noConversion"/>
  </si>
  <si>
    <t>이종석</t>
    <phoneticPr fontId="2" type="noConversion"/>
  </si>
  <si>
    <t>보통주</t>
    <phoneticPr fontId="2" type="noConversion"/>
  </si>
  <si>
    <t>페트라</t>
    <phoneticPr fontId="2" type="noConversion"/>
  </si>
  <si>
    <t>케이론(유)</t>
    <phoneticPr fontId="2" type="noConversion"/>
  </si>
  <si>
    <t>배당</t>
    <phoneticPr fontId="2" type="noConversion"/>
  </si>
  <si>
    <t>김주열(신캐)</t>
    <phoneticPr fontId="2" type="noConversion"/>
  </si>
  <si>
    <t>김형준</t>
    <phoneticPr fontId="2" type="noConversion"/>
  </si>
  <si>
    <t>이원컴포텍</t>
    <phoneticPr fontId="2" type="noConversion"/>
  </si>
  <si>
    <t>보통주/워런트행사</t>
    <phoneticPr fontId="2" type="noConversion"/>
  </si>
  <si>
    <t>BW</t>
    <phoneticPr fontId="2" type="noConversion"/>
  </si>
  <si>
    <t>보통주_구</t>
    <phoneticPr fontId="2" type="noConversion"/>
  </si>
  <si>
    <t>셀트리온홀딩스</t>
    <phoneticPr fontId="2" type="noConversion"/>
  </si>
  <si>
    <t>펠리샤</t>
    <phoneticPr fontId="2" type="noConversion"/>
  </si>
  <si>
    <t>PEF운용조합 투자액</t>
    <phoneticPr fontId="2" type="noConversion"/>
  </si>
  <si>
    <t>운용조합 합계</t>
    <phoneticPr fontId="2" type="noConversion"/>
  </si>
  <si>
    <t>4. CRC운용조합</t>
    <phoneticPr fontId="2" type="noConversion"/>
  </si>
  <si>
    <t>단가</t>
    <phoneticPr fontId="2" type="noConversion"/>
  </si>
  <si>
    <t>금액</t>
    <phoneticPr fontId="2" type="noConversion"/>
  </si>
  <si>
    <t>CRC12호</t>
    <phoneticPr fontId="2" type="noConversion"/>
  </si>
  <si>
    <t>신주인수권부사채</t>
    <phoneticPr fontId="2" type="noConversion"/>
  </si>
  <si>
    <t>하이젠모터(창업자)</t>
    <phoneticPr fontId="2" type="noConversion"/>
  </si>
  <si>
    <t>일부상환</t>
    <phoneticPr fontId="2" type="noConversion"/>
  </si>
  <si>
    <t>워런트행사</t>
    <phoneticPr fontId="2" type="noConversion"/>
  </si>
  <si>
    <t>해원엠에스씨</t>
    <phoneticPr fontId="2" type="noConversion"/>
  </si>
  <si>
    <t>해원ST이자</t>
    <phoneticPr fontId="2" type="noConversion"/>
  </si>
  <si>
    <t>선수금</t>
    <phoneticPr fontId="2" type="noConversion"/>
  </si>
  <si>
    <t>셀트리온(구오알켐)</t>
    <phoneticPr fontId="2" type="noConversion"/>
  </si>
  <si>
    <t>시피유(창업자)</t>
    <phoneticPr fontId="2" type="noConversion"/>
  </si>
  <si>
    <t>사채원리금</t>
    <phoneticPr fontId="2" type="noConversion"/>
  </si>
  <si>
    <t>시피유</t>
    <phoneticPr fontId="2" type="noConversion"/>
  </si>
  <si>
    <t>사채원'</t>
    <phoneticPr fontId="2" type="noConversion"/>
  </si>
  <si>
    <t>대여이자</t>
    <phoneticPr fontId="2" type="noConversion"/>
  </si>
  <si>
    <t>상장주</t>
    <phoneticPr fontId="2" type="noConversion"/>
  </si>
  <si>
    <t>장내매도</t>
    <phoneticPr fontId="2" type="noConversion"/>
  </si>
  <si>
    <t>블루홀스튜디오(창업자)</t>
    <phoneticPr fontId="2" type="noConversion"/>
  </si>
  <si>
    <t>평가</t>
    <phoneticPr fontId="2" type="noConversion"/>
  </si>
  <si>
    <t>매각으로인한</t>
    <phoneticPr fontId="2" type="noConversion"/>
  </si>
  <si>
    <t>평가(2011)</t>
    <phoneticPr fontId="2" type="noConversion"/>
  </si>
  <si>
    <t>무상증자</t>
    <phoneticPr fontId="2" type="noConversion"/>
  </si>
  <si>
    <t>무상증자/장내매각</t>
    <phoneticPr fontId="2" type="noConversion"/>
  </si>
  <si>
    <t>캐프</t>
    <phoneticPr fontId="2" type="noConversion"/>
  </si>
  <si>
    <t>CPS(신주)</t>
    <phoneticPr fontId="2" type="noConversion"/>
  </si>
  <si>
    <t>보통주 전환</t>
    <phoneticPr fontId="2" type="noConversion"/>
  </si>
  <si>
    <t>워런트행사_보통주</t>
    <phoneticPr fontId="2" type="noConversion"/>
  </si>
  <si>
    <t>스피쿠스랩(창업자)</t>
    <phoneticPr fontId="2" type="noConversion"/>
  </si>
  <si>
    <t>RCPS_신</t>
    <phoneticPr fontId="2" type="noConversion"/>
  </si>
  <si>
    <t>CRC15호</t>
    <phoneticPr fontId="2" type="noConversion"/>
  </si>
  <si>
    <t>구조조정기업어음</t>
    <phoneticPr fontId="2" type="noConversion"/>
  </si>
  <si>
    <t>CP</t>
    <phoneticPr fontId="2" type="noConversion"/>
  </si>
  <si>
    <t>CP이자</t>
    <phoneticPr fontId="2" type="noConversion"/>
  </si>
  <si>
    <t>원금+CP이자</t>
    <phoneticPr fontId="2" type="noConversion"/>
  </si>
  <si>
    <t>보통주-구주</t>
    <phoneticPr fontId="2" type="noConversion"/>
  </si>
  <si>
    <t>부강엔지니어링</t>
    <phoneticPr fontId="2" type="noConversion"/>
  </si>
  <si>
    <t>회수일자</t>
    <phoneticPr fontId="2" type="noConversion"/>
  </si>
  <si>
    <t>워런트매각(콜옵션)</t>
    <phoneticPr fontId="2" type="noConversion"/>
  </si>
  <si>
    <t>일부상환(콜옵션)</t>
    <phoneticPr fontId="2" type="noConversion"/>
  </si>
  <si>
    <t>구분</t>
    <phoneticPr fontId="2" type="noConversion"/>
  </si>
  <si>
    <t>고유</t>
    <phoneticPr fontId="2" type="noConversion"/>
  </si>
  <si>
    <t>IMM16호</t>
    <phoneticPr fontId="2" type="noConversion"/>
  </si>
  <si>
    <t>투자주식수</t>
    <phoneticPr fontId="2" type="noConversion"/>
  </si>
  <si>
    <t>투자일</t>
    <phoneticPr fontId="2" type="noConversion"/>
  </si>
  <si>
    <t>셀트리온</t>
    <phoneticPr fontId="2" type="noConversion"/>
  </si>
  <si>
    <t>신주인수권부사채</t>
    <phoneticPr fontId="2" type="noConversion"/>
  </si>
  <si>
    <t>셀트리온(구오알켐)</t>
    <phoneticPr fontId="2" type="noConversion"/>
  </si>
  <si>
    <t>시피유</t>
    <phoneticPr fontId="2" type="noConversion"/>
  </si>
  <si>
    <t>하이젠모터(창업자)</t>
    <phoneticPr fontId="2" type="noConversion"/>
  </si>
  <si>
    <t>CRC15</t>
    <phoneticPr fontId="2" type="noConversion"/>
  </si>
  <si>
    <t>CRC15</t>
    <phoneticPr fontId="2" type="noConversion"/>
  </si>
  <si>
    <t>해원엠에스씨</t>
    <phoneticPr fontId="2" type="noConversion"/>
  </si>
  <si>
    <t>셀트리온GSC</t>
    <phoneticPr fontId="2" type="noConversion"/>
  </si>
  <si>
    <t>셀트리온</t>
    <phoneticPr fontId="2" type="noConversion"/>
  </si>
  <si>
    <t>미래원</t>
    <phoneticPr fontId="2" type="noConversion"/>
  </si>
  <si>
    <t>전환사채</t>
    <phoneticPr fontId="2" type="noConversion"/>
  </si>
  <si>
    <t>CB</t>
    <phoneticPr fontId="2" type="noConversion"/>
  </si>
  <si>
    <t>crcimm14</t>
    <phoneticPr fontId="2" type="noConversion"/>
  </si>
  <si>
    <t>crcimm15</t>
    <phoneticPr fontId="2" type="noConversion"/>
  </si>
  <si>
    <t>crcimm16</t>
    <phoneticPr fontId="2" type="noConversion"/>
  </si>
  <si>
    <t>투자사채</t>
    <phoneticPr fontId="2" type="noConversion"/>
  </si>
  <si>
    <t>신주인수권부사채</t>
    <phoneticPr fontId="2" type="noConversion"/>
  </si>
  <si>
    <t>시피유(창업자)</t>
    <phoneticPr fontId="2" type="noConversion"/>
  </si>
  <si>
    <t>김형준</t>
    <phoneticPr fontId="2" type="noConversion"/>
  </si>
  <si>
    <t>아이엠엠2호</t>
    <phoneticPr fontId="2" type="noConversion"/>
  </si>
  <si>
    <t>투자사채</t>
    <phoneticPr fontId="2" type="noConversion"/>
  </si>
  <si>
    <t>이원컴포텍</t>
    <phoneticPr fontId="2" type="noConversion"/>
  </si>
  <si>
    <t>BW이자</t>
    <phoneticPr fontId="2" type="noConversion"/>
  </si>
  <si>
    <t>BW이자</t>
    <phoneticPr fontId="2" type="noConversion"/>
  </si>
  <si>
    <t>워런트매도</t>
    <phoneticPr fontId="2" type="noConversion"/>
  </si>
  <si>
    <t>BW상환</t>
    <phoneticPr fontId="2" type="noConversion"/>
  </si>
  <si>
    <t>투자주식</t>
    <phoneticPr fontId="2" type="noConversion"/>
  </si>
  <si>
    <t>마이다스</t>
    <phoneticPr fontId="2" type="noConversion"/>
  </si>
  <si>
    <t>보통주-구</t>
    <phoneticPr fontId="2" type="noConversion"/>
  </si>
  <si>
    <t>M&amp;A</t>
    <phoneticPr fontId="2" type="noConversion"/>
  </si>
  <si>
    <t>장동우</t>
    <phoneticPr fontId="2" type="noConversion"/>
  </si>
  <si>
    <t>이관훈</t>
    <phoneticPr fontId="2" type="noConversion"/>
  </si>
  <si>
    <t>김형준</t>
    <phoneticPr fontId="2" type="noConversion"/>
  </si>
  <si>
    <t>RCPS-신주</t>
    <phoneticPr fontId="2" type="noConversion"/>
  </si>
  <si>
    <t>배당금</t>
    <phoneticPr fontId="2" type="noConversion"/>
  </si>
  <si>
    <t>개인매각</t>
    <phoneticPr fontId="2" type="noConversion"/>
  </si>
  <si>
    <t>코캄</t>
    <phoneticPr fontId="2" type="noConversion"/>
  </si>
  <si>
    <t>정일부</t>
    <phoneticPr fontId="2" type="noConversion"/>
  </si>
  <si>
    <t>이관훈,오민규</t>
    <phoneticPr fontId="2" type="noConversion"/>
  </si>
  <si>
    <t>셀트리온GSC</t>
    <phoneticPr fontId="2" type="noConversion"/>
  </si>
  <si>
    <t>합계</t>
    <phoneticPr fontId="2" type="noConversion"/>
  </si>
  <si>
    <t>페트라2</t>
    <phoneticPr fontId="2" type="noConversion"/>
  </si>
  <si>
    <t>CB</t>
    <phoneticPr fontId="2" type="noConversion"/>
  </si>
  <si>
    <t>상환</t>
    <phoneticPr fontId="2" type="noConversion"/>
  </si>
  <si>
    <t>이종석</t>
    <phoneticPr fontId="2" type="noConversion"/>
  </si>
  <si>
    <t>BW</t>
    <phoneticPr fontId="2" type="noConversion"/>
  </si>
  <si>
    <t>임원진(11.5.1)</t>
    <phoneticPr fontId="2" type="noConversion"/>
  </si>
  <si>
    <t>셀트리온헬스케어</t>
    <phoneticPr fontId="2" type="noConversion"/>
  </si>
  <si>
    <t>RCPS</t>
    <phoneticPr fontId="2" type="noConversion"/>
  </si>
  <si>
    <t>장외매각</t>
    <phoneticPr fontId="2" type="noConversion"/>
  </si>
  <si>
    <t>셀트리온홀딩스</t>
    <phoneticPr fontId="2" type="noConversion"/>
  </si>
  <si>
    <t>아이엠엠3호</t>
    <phoneticPr fontId="2" type="noConversion"/>
  </si>
  <si>
    <t>페로즈(유)</t>
    <phoneticPr fontId="2" type="noConversion"/>
  </si>
  <si>
    <t>주식</t>
    <phoneticPr fontId="2" type="noConversion"/>
  </si>
  <si>
    <t>최성욱.운영준</t>
    <phoneticPr fontId="2" type="noConversion"/>
  </si>
  <si>
    <t>김주열(신캐)</t>
    <phoneticPr fontId="2" type="noConversion"/>
  </si>
  <si>
    <t>자본감자</t>
    <phoneticPr fontId="2" type="noConversion"/>
  </si>
  <si>
    <t>IMM코퍼릿</t>
    <phoneticPr fontId="2" type="noConversion"/>
  </si>
  <si>
    <t>코파이니마</t>
    <phoneticPr fontId="2" type="noConversion"/>
  </si>
  <si>
    <t>보통주</t>
    <phoneticPr fontId="2" type="noConversion"/>
  </si>
  <si>
    <t>IMM인프라</t>
    <phoneticPr fontId="2" type="noConversion"/>
  </si>
  <si>
    <t>펠리샤(유)</t>
    <phoneticPr fontId="2" type="noConversion"/>
  </si>
  <si>
    <t>4-1. SPC 운용펀드</t>
    <phoneticPr fontId="2" type="noConversion"/>
  </si>
  <si>
    <t>조합명</t>
    <phoneticPr fontId="2" type="noConversion"/>
  </si>
  <si>
    <t>계정과목</t>
    <phoneticPr fontId="2" type="noConversion"/>
  </si>
  <si>
    <t>종목명</t>
    <phoneticPr fontId="2" type="noConversion"/>
  </si>
  <si>
    <t>투자일</t>
    <phoneticPr fontId="2" type="noConversion"/>
  </si>
  <si>
    <t>투자수량</t>
    <phoneticPr fontId="2" type="noConversion"/>
  </si>
  <si>
    <t>투자단가</t>
    <phoneticPr fontId="2" type="noConversion"/>
  </si>
  <si>
    <t>투자금액</t>
    <phoneticPr fontId="2" type="noConversion"/>
  </si>
  <si>
    <t>투자형태</t>
    <phoneticPr fontId="2" type="noConversion"/>
  </si>
  <si>
    <t>회수일</t>
    <phoneticPr fontId="2" type="noConversion"/>
  </si>
  <si>
    <t>회수수량</t>
    <phoneticPr fontId="2" type="noConversion"/>
  </si>
  <si>
    <t>회수단가</t>
    <phoneticPr fontId="2" type="noConversion"/>
  </si>
  <si>
    <t>총회수금액</t>
    <phoneticPr fontId="2" type="noConversion"/>
  </si>
  <si>
    <t>회수원금</t>
    <phoneticPr fontId="2" type="noConversion"/>
  </si>
  <si>
    <t>매매차익</t>
    <phoneticPr fontId="2" type="noConversion"/>
  </si>
  <si>
    <t>수익처리</t>
    <phoneticPr fontId="2" type="noConversion"/>
  </si>
  <si>
    <t>잔액</t>
    <phoneticPr fontId="2" type="noConversion"/>
  </si>
  <si>
    <t>XIRR</t>
    <phoneticPr fontId="2" type="noConversion"/>
  </si>
  <si>
    <t>비고</t>
    <phoneticPr fontId="2" type="noConversion"/>
  </si>
  <si>
    <t>운용인력</t>
    <phoneticPr fontId="2" type="noConversion"/>
  </si>
  <si>
    <t>투심위위원</t>
    <phoneticPr fontId="2" type="noConversion"/>
  </si>
  <si>
    <t>발굴자</t>
    <phoneticPr fontId="2" type="noConversion"/>
  </si>
  <si>
    <t>심사역</t>
    <phoneticPr fontId="2" type="noConversion"/>
  </si>
  <si>
    <t>사후관리자</t>
    <phoneticPr fontId="2" type="noConversion"/>
  </si>
  <si>
    <t>케이론</t>
    <phoneticPr fontId="2" type="noConversion"/>
  </si>
  <si>
    <t>노벨리스코리아</t>
    <phoneticPr fontId="2" type="noConversion"/>
  </si>
  <si>
    <t>매각</t>
    <phoneticPr fontId="2" type="noConversion"/>
  </si>
  <si>
    <t>페로즈</t>
    <phoneticPr fontId="2" type="noConversion"/>
  </si>
  <si>
    <t>CB이자</t>
    <phoneticPr fontId="2" type="noConversion"/>
  </si>
  <si>
    <t>사채원금</t>
    <phoneticPr fontId="2" type="noConversion"/>
  </si>
  <si>
    <t>gs inima</t>
    <phoneticPr fontId="2" type="noConversion"/>
  </si>
  <si>
    <t>배상금회수</t>
    <phoneticPr fontId="2" type="noConversion"/>
  </si>
  <si>
    <t>매매대금조정</t>
    <phoneticPr fontId="2" type="noConversion"/>
  </si>
  <si>
    <t>한진해운신항만</t>
    <phoneticPr fontId="2" type="noConversion"/>
  </si>
  <si>
    <t>전환우선주</t>
    <phoneticPr fontId="2" type="noConversion"/>
  </si>
  <si>
    <t>이원컴포텍</t>
    <phoneticPr fontId="2" type="noConversion"/>
  </si>
  <si>
    <t>CRC12호</t>
    <phoneticPr fontId="2" type="noConversion"/>
  </si>
  <si>
    <t>배당금</t>
    <phoneticPr fontId="2" type="noConversion"/>
  </si>
  <si>
    <t>장외매각</t>
    <phoneticPr fontId="2" type="noConversion"/>
  </si>
  <si>
    <t>이에이그로쓰</t>
    <phoneticPr fontId="2" type="noConversion"/>
  </si>
  <si>
    <t>장내매각</t>
    <phoneticPr fontId="2" type="noConversion"/>
  </si>
  <si>
    <t>자기주식취득</t>
    <phoneticPr fontId="2" type="noConversion"/>
  </si>
  <si>
    <t>전환사채</t>
    <phoneticPr fontId="2" type="noConversion"/>
  </si>
  <si>
    <t>셀트리온GSC</t>
    <phoneticPr fontId="2" type="noConversion"/>
  </si>
  <si>
    <t>CB</t>
    <phoneticPr fontId="2" type="noConversion"/>
  </si>
  <si>
    <t>단기대여</t>
    <phoneticPr fontId="2" type="noConversion"/>
  </si>
  <si>
    <t>대여</t>
    <phoneticPr fontId="2" type="noConversion"/>
  </si>
  <si>
    <t>CRC14호</t>
    <phoneticPr fontId="2" type="noConversion"/>
  </si>
  <si>
    <t>투자사채</t>
    <phoneticPr fontId="2" type="noConversion"/>
  </si>
  <si>
    <t>BW</t>
    <phoneticPr fontId="2" type="noConversion"/>
  </si>
  <si>
    <t>CRC16호</t>
    <phoneticPr fontId="2" type="noConversion"/>
  </si>
  <si>
    <t>신주인수권부사채</t>
    <phoneticPr fontId="2" type="noConversion"/>
  </si>
  <si>
    <t>단주대금</t>
    <phoneticPr fontId="2" type="noConversion"/>
  </si>
  <si>
    <t>배당금</t>
    <phoneticPr fontId="2" type="noConversion"/>
  </si>
  <si>
    <t>CB이자</t>
    <phoneticPr fontId="2" type="noConversion"/>
  </si>
  <si>
    <t>BW이자</t>
    <phoneticPr fontId="2" type="noConversion"/>
  </si>
  <si>
    <t>배당금</t>
    <phoneticPr fontId="2" type="noConversion"/>
  </si>
  <si>
    <t>현대부산신항만</t>
    <phoneticPr fontId="2" type="noConversion"/>
  </si>
  <si>
    <t>IMM인프라제2호</t>
    <phoneticPr fontId="2" type="noConversion"/>
  </si>
  <si>
    <t>와스카(유)</t>
    <phoneticPr fontId="2" type="noConversion"/>
  </si>
  <si>
    <t>IMM인프라제3호</t>
    <phoneticPr fontId="2" type="noConversion"/>
  </si>
  <si>
    <t>와스카</t>
    <phoneticPr fontId="2" type="noConversion"/>
  </si>
  <si>
    <t>매매대금조정</t>
    <phoneticPr fontId="2" type="noConversion"/>
  </si>
  <si>
    <t>투자주식</t>
    <phoneticPr fontId="2" type="noConversion"/>
  </si>
  <si>
    <t>gs inima</t>
    <phoneticPr fontId="2" type="noConversion"/>
  </si>
  <si>
    <t>배당금</t>
    <phoneticPr fontId="2" type="noConversion"/>
  </si>
  <si>
    <t>페로즈(IMM3)</t>
    <phoneticPr fontId="2" type="noConversion"/>
  </si>
  <si>
    <t>코파이니마(코퍼릿)</t>
    <phoneticPr fontId="2" type="noConversion"/>
  </si>
  <si>
    <t>펠리샤(인프라)</t>
    <phoneticPr fontId="2" type="noConversion"/>
  </si>
  <si>
    <t>와스카(인프라2&amp;3)</t>
    <phoneticPr fontId="2" type="noConversion"/>
  </si>
  <si>
    <t>IMM인프라제4호</t>
    <phoneticPr fontId="2" type="noConversion"/>
  </si>
  <si>
    <t>아이기스원</t>
    <phoneticPr fontId="2" type="noConversion"/>
  </si>
  <si>
    <t>매각으로인한</t>
    <phoneticPr fontId="2" type="noConversion"/>
  </si>
  <si>
    <t>매매대금조정</t>
    <phoneticPr fontId="2" type="noConversion"/>
  </si>
  <si>
    <t>`</t>
    <phoneticPr fontId="2" type="noConversion"/>
  </si>
  <si>
    <t>아이엠엠2호</t>
    <phoneticPr fontId="2" type="noConversion"/>
  </si>
  <si>
    <t>투자주식</t>
    <phoneticPr fontId="2" type="noConversion"/>
  </si>
  <si>
    <t>마이다스</t>
    <phoneticPr fontId="2" type="noConversion"/>
  </si>
  <si>
    <t>청산</t>
    <phoneticPr fontId="2" type="noConversion"/>
  </si>
  <si>
    <t>보통주_구(선급금)</t>
    <phoneticPr fontId="2" type="noConversion"/>
  </si>
  <si>
    <t>CB이자</t>
    <phoneticPr fontId="2" type="noConversion"/>
  </si>
  <si>
    <t>CB이자</t>
    <phoneticPr fontId="2" type="noConversion"/>
  </si>
  <si>
    <t>장외매각</t>
    <phoneticPr fontId="2" type="noConversion"/>
  </si>
  <si>
    <t>배당금</t>
    <phoneticPr fontId="2" type="noConversion"/>
  </si>
  <si>
    <t>BW이자</t>
    <phoneticPr fontId="2" type="noConversion"/>
  </si>
  <si>
    <t>보통주</t>
    <phoneticPr fontId="2" type="noConversion"/>
  </si>
  <si>
    <t>사채이자</t>
    <phoneticPr fontId="2" type="noConversion"/>
  </si>
  <si>
    <t>사채이자</t>
    <phoneticPr fontId="2" type="noConversion"/>
  </si>
  <si>
    <t>대여</t>
    <phoneticPr fontId="2" type="noConversion"/>
  </si>
  <si>
    <t>스피쿠스랩(창업자)</t>
    <phoneticPr fontId="2" type="noConversion"/>
  </si>
  <si>
    <t>캐프</t>
    <phoneticPr fontId="2" type="noConversion"/>
  </si>
  <si>
    <t>BW 보통주전환</t>
    <phoneticPr fontId="2" type="noConversion"/>
  </si>
  <si>
    <t>투자주식</t>
    <phoneticPr fontId="2" type="noConversion"/>
  </si>
  <si>
    <t>루미리치(창업자)</t>
    <phoneticPr fontId="2" type="noConversion"/>
  </si>
  <si>
    <t>배당금</t>
    <phoneticPr fontId="2" type="noConversion"/>
  </si>
  <si>
    <t>사채이자</t>
    <phoneticPr fontId="2" type="noConversion"/>
  </si>
  <si>
    <t>투자사채</t>
    <phoneticPr fontId="2" type="noConversion"/>
  </si>
  <si>
    <t>BW이자</t>
    <phoneticPr fontId="2" type="noConversion"/>
  </si>
  <si>
    <t>워런트매각</t>
    <phoneticPr fontId="2" type="noConversion"/>
  </si>
  <si>
    <t>감액</t>
    <phoneticPr fontId="2" type="noConversion"/>
  </si>
  <si>
    <t>CPS 보통주 전환</t>
  </si>
  <si>
    <t>회계조정</t>
    <phoneticPr fontId="2" type="noConversion"/>
  </si>
  <si>
    <t>CPS 보통주 전환</t>
    <phoneticPr fontId="2" type="noConversion"/>
  </si>
  <si>
    <t>상환</t>
    <phoneticPr fontId="2" type="noConversion"/>
  </si>
  <si>
    <t>-</t>
    <phoneticPr fontId="2" type="noConversion"/>
  </si>
  <si>
    <t>장외매각_이해관계인</t>
    <phoneticPr fontId="2" type="noConversion"/>
  </si>
  <si>
    <t>배당</t>
    <phoneticPr fontId="2" type="noConversion"/>
  </si>
  <si>
    <t>장외매각_안셀</t>
    <phoneticPr fontId="2" type="noConversion"/>
  </si>
  <si>
    <t>마이다스</t>
    <phoneticPr fontId="2" type="noConversion"/>
  </si>
  <si>
    <t>액면분할</t>
    <phoneticPr fontId="2" type="noConversion"/>
  </si>
  <si>
    <t>콜옵션행사</t>
    <phoneticPr fontId="2" type="noConversion"/>
  </si>
  <si>
    <t>보통주_구</t>
    <phoneticPr fontId="2" type="noConversion"/>
  </si>
  <si>
    <t>장외매각_창투사</t>
    <phoneticPr fontId="2" type="noConversion"/>
  </si>
  <si>
    <t>BW상환</t>
    <phoneticPr fontId="2" type="noConversion"/>
  </si>
  <si>
    <t>2010KIF</t>
    <phoneticPr fontId="2" type="noConversion"/>
  </si>
  <si>
    <t>RCPS_신_주목적</t>
    <phoneticPr fontId="2" type="noConversion"/>
  </si>
  <si>
    <t>우아한형제들(창업자)</t>
    <phoneticPr fontId="2" type="noConversion"/>
  </si>
  <si>
    <t>CB이자</t>
    <phoneticPr fontId="2" type="noConversion"/>
  </si>
  <si>
    <t>장내매도</t>
    <phoneticPr fontId="2" type="noConversion"/>
  </si>
  <si>
    <t>더블유게임즈</t>
    <phoneticPr fontId="2" type="noConversion"/>
  </si>
  <si>
    <t>보통주_구주</t>
    <phoneticPr fontId="2" type="noConversion"/>
  </si>
  <si>
    <t>보통주 전환</t>
    <phoneticPr fontId="2" type="noConversion"/>
  </si>
  <si>
    <t>영우DSP</t>
    <phoneticPr fontId="2" type="noConversion"/>
  </si>
  <si>
    <t>RCPS_구주</t>
    <phoneticPr fontId="2" type="noConversion"/>
  </si>
  <si>
    <t>장내매도(시간외)</t>
    <phoneticPr fontId="2" type="noConversion"/>
  </si>
  <si>
    <t>무상증자</t>
    <phoneticPr fontId="2" type="noConversion"/>
  </si>
  <si>
    <t>이자</t>
    <phoneticPr fontId="2" type="noConversion"/>
  </si>
  <si>
    <t>아엠티에스(구,다이온)</t>
    <phoneticPr fontId="2" type="noConversion"/>
  </si>
  <si>
    <t>투자유가증권</t>
    <phoneticPr fontId="2" type="noConversion"/>
  </si>
  <si>
    <t>아이쓰리시스템</t>
    <phoneticPr fontId="2" type="noConversion"/>
  </si>
  <si>
    <t>보통주_구주_목적투자</t>
    <phoneticPr fontId="2" type="noConversion"/>
  </si>
  <si>
    <t>우선주_구주_목적투자</t>
    <phoneticPr fontId="2" type="noConversion"/>
  </si>
  <si>
    <t>에스비씨</t>
    <phoneticPr fontId="2" type="noConversion"/>
  </si>
  <si>
    <t>케이씨에스</t>
    <phoneticPr fontId="2" type="noConversion"/>
  </si>
  <si>
    <t>CB_구주_목적투자</t>
    <phoneticPr fontId="2" type="noConversion"/>
  </si>
  <si>
    <t>KoFC-R&amp;D2013</t>
    <phoneticPr fontId="2" type="noConversion"/>
  </si>
  <si>
    <t>에이비온</t>
    <phoneticPr fontId="2" type="noConversion"/>
  </si>
  <si>
    <t>BW_신주_주목적_특수1</t>
    <phoneticPr fontId="2" type="noConversion"/>
  </si>
  <si>
    <t>RCPS_신주_주목적_특수1</t>
    <phoneticPr fontId="2" type="noConversion"/>
  </si>
  <si>
    <t>카디오텍</t>
    <phoneticPr fontId="2" type="noConversion"/>
  </si>
  <si>
    <t>RCPS_신주_주목적</t>
    <phoneticPr fontId="2" type="noConversion"/>
  </si>
  <si>
    <t>이엠따블유</t>
    <phoneticPr fontId="2" type="noConversion"/>
  </si>
  <si>
    <t>CB_신주_주목적</t>
    <phoneticPr fontId="2" type="noConversion"/>
  </si>
  <si>
    <t>모코플렉스</t>
    <phoneticPr fontId="2" type="noConversion"/>
  </si>
  <si>
    <t>블루홀스튜디오</t>
    <phoneticPr fontId="2" type="noConversion"/>
  </si>
  <si>
    <t>CB_주목적_신주</t>
    <phoneticPr fontId="2" type="noConversion"/>
  </si>
  <si>
    <t>PSI International, Inc</t>
    <phoneticPr fontId="2" type="noConversion"/>
  </si>
  <si>
    <t>아이씨티케이</t>
    <phoneticPr fontId="2" type="noConversion"/>
  </si>
  <si>
    <t>CB_신주_주목적_특수1</t>
    <phoneticPr fontId="2" type="noConversion"/>
  </si>
  <si>
    <t>CB이자 및 단주대금</t>
    <phoneticPr fontId="2" type="noConversion"/>
  </si>
  <si>
    <t>에스피엠탈로스</t>
    <phoneticPr fontId="2" type="noConversion"/>
  </si>
  <si>
    <t>2014ICT</t>
    <phoneticPr fontId="2" type="noConversion"/>
  </si>
  <si>
    <t>CB_신주_주목적2</t>
    <phoneticPr fontId="2" type="noConversion"/>
  </si>
  <si>
    <t>CB_신주_주목적1,2</t>
    <phoneticPr fontId="2" type="noConversion"/>
  </si>
  <si>
    <t>2014AG</t>
    <phoneticPr fontId="2" type="noConversion"/>
  </si>
  <si>
    <t>미래원</t>
    <phoneticPr fontId="2" type="noConversion"/>
  </si>
  <si>
    <t>CB_신주</t>
    <phoneticPr fontId="2" type="noConversion"/>
  </si>
  <si>
    <t>2014 성장사다리</t>
    <phoneticPr fontId="2" type="noConversion"/>
  </si>
  <si>
    <t>테크로스</t>
    <phoneticPr fontId="2" type="noConversion"/>
  </si>
  <si>
    <t>보통주_구주_주목적</t>
    <phoneticPr fontId="2" type="noConversion"/>
  </si>
  <si>
    <t>네오피델리티</t>
    <phoneticPr fontId="2" type="noConversion"/>
  </si>
  <si>
    <t>전환사채_신주_비주목적</t>
    <phoneticPr fontId="2" type="noConversion"/>
  </si>
  <si>
    <t>합계</t>
    <phoneticPr fontId="2" type="noConversion"/>
  </si>
  <si>
    <t>VC운용조합투자액</t>
    <phoneticPr fontId="2" type="noConversion"/>
  </si>
  <si>
    <t>블리스팩</t>
    <phoneticPr fontId="2" type="noConversion"/>
  </si>
  <si>
    <t>스파이카</t>
    <phoneticPr fontId="2" type="noConversion"/>
  </si>
  <si>
    <t>비트패킹컴퍼니</t>
    <phoneticPr fontId="2" type="noConversion"/>
  </si>
  <si>
    <t>RCPS_신주_주목적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</si>
</sst>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_);\(0.0%\)"/>
    <numFmt numFmtId="178" formatCode="#,##0.0_);\(#,##0.0\)"/>
    <numFmt numFmtId="179" formatCode="#,##0.0\ \x_);\(#,##0.0\ \x\)"/>
    <numFmt numFmtId="180" formatCode="_ * #,##0.0_);_ * \(#,##0.0\)"/>
    <numFmt numFmtId="181" formatCode="0.0%"/>
    <numFmt numFmtId="182" formatCode="0.0000000%"/>
    <numFmt numFmtId="183" formatCode="0.000%"/>
    <numFmt numFmtId="184" formatCode="_-* #,##0.00_-;\-* #,##0.00_-;_-* &quot;-&quot;_-;_-@_-"/>
  </numFmts>
  <fonts count="5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Arial"/>
      <family val="2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name val="맑은 고딕"/>
      <family val="3"/>
      <charset val="129"/>
      <scheme val="major"/>
    </font>
    <font>
      <sz val="6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0"/>
      <name val="Times New Roman"/>
      <family val="1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0"/>
      <name val="바탕체"/>
      <family val="1"/>
      <charset val="129"/>
    </font>
    <font>
      <sz val="1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9.35"/>
      <color theme="10"/>
      <name val="맑은 고딕"/>
      <family val="3"/>
      <charset val="129"/>
    </font>
    <font>
      <b/>
      <sz val="9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98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178" fontId="15" fillId="0" borderId="0" applyBorder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178" fontId="25" fillId="0" borderId="0">
      <alignment vertical="center"/>
    </xf>
    <xf numFmtId="178" fontId="26" fillId="0" borderId="0" applyNumberForma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77" fontId="26" fillId="24" borderId="1" applyNumberFormat="0" applyAlignment="0" applyProtection="0">
      <alignment vertical="center"/>
    </xf>
    <xf numFmtId="178" fontId="4" fillId="0" borderId="0">
      <alignment vertical="center"/>
    </xf>
    <xf numFmtId="179" fontId="1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27" fillId="0" borderId="0" applyNumberForma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0" fillId="20" borderId="31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48" fillId="0" borderId="0">
      <alignment vertical="center"/>
    </xf>
    <xf numFmtId="0" fontId="21" fillId="0" borderId="3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48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8" fontId="15" fillId="0" borderId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0" borderId="39" applyNumberFormat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21" borderId="32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33" applyNumberForma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7" borderId="3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49">
    <xf numFmtId="0" fontId="0" fillId="0" borderId="0" xfId="0">
      <alignment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41" fontId="5" fillId="0" borderId="0" xfId="1" applyFont="1" applyFill="1" applyAlignment="1">
      <alignment horizontal="center" vertical="center"/>
    </xf>
    <xf numFmtId="41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4" fontId="5" fillId="0" borderId="0" xfId="1" applyNumberFormat="1" applyFont="1" applyFill="1" applyAlignment="1">
      <alignment horizontal="center" vertical="center"/>
    </xf>
    <xf numFmtId="41" fontId="5" fillId="0" borderId="6" xfId="1" applyFont="1" applyFill="1" applyBorder="1" applyAlignment="1">
      <alignment vertical="center"/>
    </xf>
    <xf numFmtId="14" fontId="5" fillId="0" borderId="6" xfId="1" applyNumberFormat="1" applyFont="1" applyFill="1" applyBorder="1" applyAlignment="1">
      <alignment vertical="center"/>
    </xf>
    <xf numFmtId="41" fontId="5" fillId="0" borderId="7" xfId="1" applyFont="1" applyFill="1" applyBorder="1" applyAlignment="1">
      <alignment horizontal="center" vertical="center"/>
    </xf>
    <xf numFmtId="14" fontId="5" fillId="0" borderId="8" xfId="1" applyNumberFormat="1" applyFont="1" applyFill="1" applyBorder="1" applyAlignment="1">
      <alignment vertical="center"/>
    </xf>
    <xf numFmtId="41" fontId="5" fillId="0" borderId="9" xfId="1" applyFont="1" applyFill="1" applyBorder="1" applyAlignment="1">
      <alignment vertical="center"/>
    </xf>
    <xf numFmtId="41" fontId="5" fillId="0" borderId="6" xfId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vertical="center"/>
    </xf>
    <xf numFmtId="41" fontId="5" fillId="0" borderId="1" xfId="1" applyFont="1" applyFill="1" applyBorder="1" applyAlignment="1">
      <alignment vertical="center"/>
    </xf>
    <xf numFmtId="14" fontId="5" fillId="0" borderId="1" xfId="1" applyNumberFormat="1" applyFont="1" applyFill="1" applyBorder="1" applyAlignment="1">
      <alignment vertical="center"/>
    </xf>
    <xf numFmtId="41" fontId="5" fillId="0" borderId="2" xfId="1" applyFont="1" applyFill="1" applyBorder="1" applyAlignment="1">
      <alignment horizontal="center" vertical="center"/>
    </xf>
    <xf numFmtId="14" fontId="5" fillId="0" borderId="11" xfId="1" applyNumberFormat="1" applyFont="1" applyFill="1" applyBorder="1" applyAlignment="1">
      <alignment vertical="center"/>
    </xf>
    <xf numFmtId="41" fontId="5" fillId="0" borderId="1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vertical="center"/>
    </xf>
    <xf numFmtId="14" fontId="5" fillId="0" borderId="12" xfId="1" applyNumberFormat="1" applyFont="1" applyFill="1" applyBorder="1" applyAlignment="1">
      <alignment vertical="center"/>
    </xf>
    <xf numFmtId="41" fontId="5" fillId="0" borderId="13" xfId="1" applyFont="1" applyFill="1" applyBorder="1" applyAlignment="1">
      <alignment horizontal="center" vertical="center"/>
    </xf>
    <xf numFmtId="14" fontId="5" fillId="0" borderId="14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41" fontId="5" fillId="0" borderId="12" xfId="1" applyFont="1" applyFill="1" applyBorder="1" applyAlignment="1">
      <alignment horizontal="center" vertical="center"/>
    </xf>
    <xf numFmtId="41" fontId="5" fillId="0" borderId="0" xfId="1" applyFont="1" applyFill="1" applyBorder="1" applyAlignment="1">
      <alignment vertical="center"/>
    </xf>
    <xf numFmtId="14" fontId="5" fillId="0" borderId="10" xfId="1" applyNumberFormat="1" applyFont="1" applyFill="1" applyBorder="1" applyAlignment="1">
      <alignment vertical="center"/>
    </xf>
    <xf numFmtId="41" fontId="5" fillId="0" borderId="15" xfId="1" applyFont="1" applyFill="1" applyBorder="1" applyAlignment="1">
      <alignment horizontal="center" vertical="center"/>
    </xf>
    <xf numFmtId="14" fontId="5" fillId="0" borderId="16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41" fontId="5" fillId="0" borderId="10" xfId="1" applyFont="1" applyFill="1" applyBorder="1" applyAlignment="1">
      <alignment horizontal="center" vertical="center"/>
    </xf>
    <xf numFmtId="14" fontId="5" fillId="0" borderId="9" xfId="1" applyNumberFormat="1" applyFont="1" applyFill="1" applyBorder="1" applyAlignment="1">
      <alignment vertical="center"/>
    </xf>
    <xf numFmtId="41" fontId="5" fillId="0" borderId="17" xfId="1" applyFont="1" applyFill="1" applyBorder="1" applyAlignment="1">
      <alignment horizontal="center" vertical="center"/>
    </xf>
    <xf numFmtId="14" fontId="5" fillId="0" borderId="18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41" fontId="5" fillId="0" borderId="9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vertical="center"/>
    </xf>
    <xf numFmtId="14" fontId="5" fillId="0" borderId="20" xfId="1" applyNumberFormat="1" applyFont="1" applyFill="1" applyBorder="1" applyAlignment="1">
      <alignment vertical="center"/>
    </xf>
    <xf numFmtId="14" fontId="5" fillId="0" borderId="10" xfId="1" applyNumberFormat="1" applyFont="1" applyFill="1" applyBorder="1" applyAlignment="1">
      <alignment horizontal="center" vertical="center" shrinkToFit="1"/>
    </xf>
    <xf numFmtId="14" fontId="5" fillId="0" borderId="21" xfId="1" applyNumberFormat="1" applyFont="1" applyFill="1" applyBorder="1" applyAlignment="1">
      <alignment vertical="center"/>
    </xf>
    <xf numFmtId="14" fontId="5" fillId="0" borderId="22" xfId="1" applyNumberFormat="1" applyFont="1" applyFill="1" applyBorder="1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vertical="center"/>
    </xf>
    <xf numFmtId="14" fontId="5" fillId="0" borderId="12" xfId="1" applyNumberFormat="1" applyFont="1" applyFill="1" applyBorder="1" applyAlignment="1">
      <alignment horizontal="center" vertical="center"/>
    </xf>
    <xf numFmtId="14" fontId="5" fillId="0" borderId="10" xfId="1" applyNumberFormat="1" applyFont="1" applyFill="1" applyBorder="1" applyAlignment="1">
      <alignment horizontal="center" vertical="center"/>
    </xf>
    <xf numFmtId="14" fontId="5" fillId="0" borderId="9" xfId="1" applyNumberFormat="1" applyFont="1" applyFill="1" applyBorder="1" applyAlignment="1">
      <alignment horizontal="center" vertical="center"/>
    </xf>
    <xf numFmtId="41" fontId="5" fillId="0" borderId="23" xfId="1" applyFont="1" applyFill="1" applyBorder="1" applyAlignment="1">
      <alignment horizontal="center" vertical="center"/>
    </xf>
    <xf numFmtId="41" fontId="5" fillId="0" borderId="23" xfId="1" applyFont="1" applyFill="1" applyBorder="1" applyAlignment="1">
      <alignment vertical="center"/>
    </xf>
    <xf numFmtId="41" fontId="5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1" fontId="5" fillId="0" borderId="5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1" fontId="5" fillId="0" borderId="10" xfId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vertical="center"/>
    </xf>
    <xf numFmtId="14" fontId="6" fillId="0" borderId="1" xfId="1" applyNumberFormat="1" applyFont="1" applyFill="1" applyBorder="1" applyAlignment="1">
      <alignment vertical="center"/>
    </xf>
    <xf numFmtId="41" fontId="6" fillId="0" borderId="2" xfId="1" applyFont="1" applyFill="1" applyBorder="1" applyAlignment="1">
      <alignment horizontal="center" vertical="center"/>
    </xf>
    <xf numFmtId="14" fontId="6" fillId="0" borderId="11" xfId="1" applyNumberFormat="1" applyFont="1" applyFill="1" applyBorder="1" applyAlignment="1">
      <alignment vertical="center"/>
    </xf>
    <xf numFmtId="41" fontId="6" fillId="0" borderId="9" xfId="1" applyFont="1" applyFill="1" applyBorder="1" applyAlignment="1">
      <alignment vertical="center"/>
    </xf>
    <xf numFmtId="41" fontId="6" fillId="0" borderId="1" xfId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vertical="center"/>
    </xf>
    <xf numFmtId="41" fontId="5" fillId="0" borderId="40" xfId="1" applyFont="1" applyFill="1" applyBorder="1" applyAlignment="1">
      <alignment vertical="center"/>
    </xf>
    <xf numFmtId="14" fontId="5" fillId="0" borderId="40" xfId="1" applyNumberFormat="1" applyFont="1" applyFill="1" applyBorder="1" applyAlignment="1">
      <alignment horizontal="center" vertical="center"/>
    </xf>
    <xf numFmtId="41" fontId="5" fillId="0" borderId="41" xfId="1" applyFont="1" applyFill="1" applyBorder="1" applyAlignment="1">
      <alignment horizontal="center" vertical="center"/>
    </xf>
    <xf numFmtId="14" fontId="5" fillId="0" borderId="42" xfId="1" applyNumberFormat="1" applyFont="1" applyFill="1" applyBorder="1" applyAlignment="1">
      <alignment vertical="center"/>
    </xf>
    <xf numFmtId="41" fontId="5" fillId="0" borderId="28" xfId="1" applyFont="1" applyFill="1" applyBorder="1" applyAlignment="1">
      <alignment vertical="center"/>
    </xf>
    <xf numFmtId="41" fontId="5" fillId="0" borderId="29" xfId="1" applyFont="1" applyFill="1" applyBorder="1" applyAlignment="1">
      <alignment horizontal="center" vertical="center"/>
    </xf>
    <xf numFmtId="14" fontId="5" fillId="0" borderId="30" xfId="1" applyNumberFormat="1" applyFont="1" applyFill="1" applyBorder="1" applyAlignment="1">
      <alignment vertical="center"/>
    </xf>
    <xf numFmtId="41" fontId="5" fillId="0" borderId="40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41" fontId="6" fillId="0" borderId="12" xfId="1" applyFont="1" applyFill="1" applyBorder="1" applyAlignment="1">
      <alignment vertical="center"/>
    </xf>
    <xf numFmtId="14" fontId="6" fillId="0" borderId="12" xfId="1" applyNumberFormat="1" applyFont="1" applyFill="1" applyBorder="1" applyAlignment="1">
      <alignment horizontal="center" vertical="center"/>
    </xf>
    <xf numFmtId="41" fontId="6" fillId="0" borderId="13" xfId="1" applyFont="1" applyFill="1" applyBorder="1" applyAlignment="1">
      <alignment horizontal="center" vertical="center"/>
    </xf>
    <xf numFmtId="14" fontId="6" fillId="0" borderId="20" xfId="1" applyNumberFormat="1" applyFont="1" applyFill="1" applyBorder="1" applyAlignment="1">
      <alignment vertical="center"/>
    </xf>
    <xf numFmtId="14" fontId="6" fillId="0" borderId="10" xfId="1" applyNumberFormat="1" applyFont="1" applyFill="1" applyBorder="1" applyAlignment="1">
      <alignment horizontal="center" vertical="center"/>
    </xf>
    <xf numFmtId="41" fontId="6" fillId="0" borderId="10" xfId="1" applyFont="1" applyFill="1" applyBorder="1" applyAlignment="1">
      <alignment vertical="center"/>
    </xf>
    <xf numFmtId="41" fontId="6" fillId="0" borderId="15" xfId="1" applyFont="1" applyFill="1" applyBorder="1" applyAlignment="1">
      <alignment horizontal="center" vertical="center"/>
    </xf>
    <xf numFmtId="14" fontId="6" fillId="0" borderId="21" xfId="1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shrinkToFit="1"/>
    </xf>
    <xf numFmtId="14" fontId="6" fillId="0" borderId="9" xfId="1" applyNumberFormat="1" applyFont="1" applyFill="1" applyBorder="1" applyAlignment="1">
      <alignment horizontal="center" vertical="center"/>
    </xf>
    <xf numFmtId="41" fontId="6" fillId="0" borderId="17" xfId="1" applyFont="1" applyFill="1" applyBorder="1" applyAlignment="1">
      <alignment horizontal="center" vertical="center"/>
    </xf>
    <xf numFmtId="14" fontId="6" fillId="0" borderId="22" xfId="1" applyNumberFormat="1" applyFont="1" applyFill="1" applyBorder="1" applyAlignment="1">
      <alignment vertical="center"/>
    </xf>
    <xf numFmtId="41" fontId="5" fillId="0" borderId="9" xfId="1" applyFont="1" applyFill="1" applyBorder="1" applyAlignment="1">
      <alignment horizontal="center" vertical="center" shrinkToFit="1"/>
    </xf>
    <xf numFmtId="41" fontId="5" fillId="0" borderId="19" xfId="1" applyFont="1" applyFill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10" xfId="0" applyNumberFormat="1" applyFont="1" applyFill="1" applyBorder="1">
      <alignment vertical="center"/>
    </xf>
    <xf numFmtId="41" fontId="5" fillId="0" borderId="9" xfId="0" applyNumberFormat="1" applyFont="1" applyFill="1" applyBorder="1">
      <alignment vertical="center"/>
    </xf>
    <xf numFmtId="41" fontId="32" fillId="0" borderId="10" xfId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41" fontId="5" fillId="0" borderId="21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41" fontId="5" fillId="0" borderId="25" xfId="1" applyFont="1" applyFill="1" applyBorder="1" applyAlignment="1">
      <alignment vertical="center"/>
    </xf>
    <xf numFmtId="14" fontId="5" fillId="0" borderId="26" xfId="1" applyNumberFormat="1" applyFont="1" applyFill="1" applyBorder="1" applyAlignment="1">
      <alignment horizontal="center" vertical="center"/>
    </xf>
    <xf numFmtId="14" fontId="5" fillId="0" borderId="21" xfId="1" applyNumberFormat="1" applyFont="1" applyFill="1" applyBorder="1" applyAlignment="1">
      <alignment horizontal="center" vertical="center"/>
    </xf>
    <xf numFmtId="14" fontId="5" fillId="0" borderId="22" xfId="1" applyNumberFormat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14" fontId="5" fillId="0" borderId="20" xfId="1" applyNumberFormat="1" applyFont="1" applyFill="1" applyBorder="1" applyAlignment="1">
      <alignment horizontal="center" vertical="center"/>
    </xf>
    <xf numFmtId="41" fontId="33" fillId="0" borderId="10" xfId="1" applyFont="1" applyFill="1" applyBorder="1" applyAlignment="1">
      <alignment horizontal="center" vertical="center"/>
    </xf>
    <xf numFmtId="14" fontId="5" fillId="0" borderId="3" xfId="1" applyNumberFormat="1" applyFont="1" applyFill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4" fontId="5" fillId="0" borderId="22" xfId="0" applyNumberFormat="1" applyFont="1" applyBorder="1" applyAlignment="1">
      <alignment horizontal="center" vertical="center"/>
    </xf>
    <xf numFmtId="41" fontId="34" fillId="0" borderId="1" xfId="1" applyFont="1" applyBorder="1" applyAlignment="1">
      <alignment horizontal="center" vertical="center"/>
    </xf>
    <xf numFmtId="0" fontId="34" fillId="0" borderId="40" xfId="0" applyFont="1" applyBorder="1">
      <alignment vertical="center"/>
    </xf>
    <xf numFmtId="14" fontId="5" fillId="0" borderId="40" xfId="0" applyNumberFormat="1" applyFont="1" applyFill="1" applyBorder="1" applyAlignment="1">
      <alignment horizontal="center" vertical="center"/>
    </xf>
    <xf numFmtId="41" fontId="34" fillId="0" borderId="40" xfId="1" applyFont="1" applyBorder="1">
      <alignment vertical="center"/>
    </xf>
    <xf numFmtId="41" fontId="34" fillId="0" borderId="40" xfId="1" applyFont="1" applyBorder="1" applyAlignment="1">
      <alignment horizontal="center" vertical="center"/>
    </xf>
    <xf numFmtId="0" fontId="34" fillId="0" borderId="28" xfId="0" applyFont="1" applyBorder="1">
      <alignment vertical="center"/>
    </xf>
    <xf numFmtId="14" fontId="5" fillId="0" borderId="28" xfId="0" applyNumberFormat="1" applyFont="1" applyFill="1" applyBorder="1" applyAlignment="1">
      <alignment horizontal="center" vertical="center"/>
    </xf>
    <xf numFmtId="41" fontId="34" fillId="0" borderId="28" xfId="1" applyFont="1" applyBorder="1">
      <alignment vertical="center"/>
    </xf>
    <xf numFmtId="41" fontId="34" fillId="0" borderId="28" xfId="1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41" fontId="34" fillId="0" borderId="1" xfId="1" applyFont="1" applyBorder="1">
      <alignment vertical="center"/>
    </xf>
    <xf numFmtId="0" fontId="34" fillId="26" borderId="1" xfId="0" applyFont="1" applyFill="1" applyBorder="1">
      <alignment vertical="center"/>
    </xf>
    <xf numFmtId="41" fontId="34" fillId="26" borderId="1" xfId="1" applyFont="1" applyFill="1" applyBorder="1">
      <alignment vertical="center"/>
    </xf>
    <xf numFmtId="41" fontId="34" fillId="26" borderId="1" xfId="1" applyFont="1" applyFill="1" applyBorder="1" applyAlignment="1">
      <alignment horizontal="center" vertical="center"/>
    </xf>
    <xf numFmtId="14" fontId="34" fillId="0" borderId="1" xfId="0" applyNumberFormat="1" applyFont="1" applyBorder="1">
      <alignment vertical="center"/>
    </xf>
    <xf numFmtId="14" fontId="34" fillId="0" borderId="40" xfId="0" applyNumberFormat="1" applyFont="1" applyFill="1" applyBorder="1">
      <alignment vertical="center"/>
    </xf>
    <xf numFmtId="14" fontId="34" fillId="0" borderId="28" xfId="0" applyNumberFormat="1" applyFont="1" applyFill="1" applyBorder="1">
      <alignment vertical="center"/>
    </xf>
    <xf numFmtId="14" fontId="34" fillId="0" borderId="40" xfId="0" applyNumberFormat="1" applyFont="1" applyBorder="1">
      <alignment vertical="center"/>
    </xf>
    <xf numFmtId="14" fontId="34" fillId="0" borderId="28" xfId="0" applyNumberFormat="1" applyFont="1" applyBorder="1">
      <alignment vertical="center"/>
    </xf>
    <xf numFmtId="0" fontId="34" fillId="0" borderId="10" xfId="0" applyFont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41" fontId="34" fillId="0" borderId="40" xfId="1" applyFont="1" applyFill="1" applyBorder="1">
      <alignment vertical="center"/>
    </xf>
    <xf numFmtId="41" fontId="34" fillId="0" borderId="40" xfId="1" applyFont="1" applyFill="1" applyBorder="1" applyAlignment="1">
      <alignment horizontal="center" vertical="center"/>
    </xf>
    <xf numFmtId="41" fontId="34" fillId="0" borderId="28" xfId="1" applyFont="1" applyFill="1" applyBorder="1">
      <alignment vertical="center"/>
    </xf>
    <xf numFmtId="41" fontId="34" fillId="0" borderId="28" xfId="1" applyFont="1" applyFill="1" applyBorder="1" applyAlignment="1">
      <alignment horizontal="center" vertical="center"/>
    </xf>
    <xf numFmtId="41" fontId="5" fillId="26" borderId="9" xfId="1" applyFont="1" applyFill="1" applyBorder="1" applyAlignment="1">
      <alignment horizontal="center" vertical="center"/>
    </xf>
    <xf numFmtId="41" fontId="5" fillId="26" borderId="12" xfId="1" applyFont="1" applyFill="1" applyBorder="1" applyAlignment="1">
      <alignment vertical="center"/>
    </xf>
    <xf numFmtId="14" fontId="5" fillId="26" borderId="12" xfId="1" applyNumberFormat="1" applyFont="1" applyFill="1" applyBorder="1" applyAlignment="1">
      <alignment vertical="center"/>
    </xf>
    <xf numFmtId="41" fontId="5" fillId="26" borderId="13" xfId="1" applyFont="1" applyFill="1" applyBorder="1" applyAlignment="1">
      <alignment horizontal="center" vertical="center"/>
    </xf>
    <xf numFmtId="14" fontId="5" fillId="26" borderId="14" xfId="1" applyNumberFormat="1" applyFont="1" applyFill="1" applyBorder="1" applyAlignment="1">
      <alignment vertical="center"/>
    </xf>
    <xf numFmtId="41" fontId="5" fillId="26" borderId="10" xfId="1" applyFont="1" applyFill="1" applyBorder="1" applyAlignment="1">
      <alignment vertical="center"/>
    </xf>
    <xf numFmtId="41" fontId="5" fillId="26" borderId="12" xfId="1" applyFont="1" applyFill="1" applyBorder="1" applyAlignment="1">
      <alignment horizontal="center" vertical="center"/>
    </xf>
    <xf numFmtId="41" fontId="5" fillId="26" borderId="10" xfId="1" applyFont="1" applyFill="1" applyBorder="1" applyAlignment="1">
      <alignment horizontal="center" vertical="center"/>
    </xf>
    <xf numFmtId="14" fontId="5" fillId="26" borderId="10" xfId="1" applyNumberFormat="1" applyFont="1" applyFill="1" applyBorder="1" applyAlignment="1">
      <alignment vertical="center"/>
    </xf>
    <xf numFmtId="41" fontId="5" fillId="26" borderId="15" xfId="1" applyFont="1" applyFill="1" applyBorder="1" applyAlignment="1">
      <alignment horizontal="center" vertical="center"/>
    </xf>
    <xf numFmtId="14" fontId="5" fillId="26" borderId="16" xfId="1" applyNumberFormat="1" applyFont="1" applyFill="1" applyBorder="1" applyAlignment="1">
      <alignment vertical="center"/>
    </xf>
    <xf numFmtId="14" fontId="5" fillId="26" borderId="20" xfId="1" applyNumberFormat="1" applyFont="1" applyFill="1" applyBorder="1" applyAlignment="1">
      <alignment vertical="center"/>
    </xf>
    <xf numFmtId="14" fontId="5" fillId="26" borderId="12" xfId="1" applyNumberFormat="1" applyFont="1" applyFill="1" applyBorder="1" applyAlignment="1">
      <alignment horizontal="center" vertical="center"/>
    </xf>
    <xf numFmtId="14" fontId="5" fillId="26" borderId="21" xfId="1" applyNumberFormat="1" applyFont="1" applyFill="1" applyBorder="1" applyAlignment="1">
      <alignment vertical="center"/>
    </xf>
    <xf numFmtId="0" fontId="5" fillId="26" borderId="10" xfId="0" applyFont="1" applyFill="1" applyBorder="1" applyAlignment="1">
      <alignment horizontal="center" vertical="center" shrinkToFit="1"/>
    </xf>
    <xf numFmtId="41" fontId="5" fillId="26" borderId="1" xfId="1" applyFont="1" applyFill="1" applyBorder="1" applyAlignment="1">
      <alignment vertical="center"/>
    </xf>
    <xf numFmtId="14" fontId="5" fillId="26" borderId="1" xfId="1" applyNumberFormat="1" applyFont="1" applyFill="1" applyBorder="1" applyAlignment="1">
      <alignment horizontal="center" vertical="center"/>
    </xf>
    <xf numFmtId="41" fontId="5" fillId="26" borderId="2" xfId="1" applyFont="1" applyFill="1" applyBorder="1" applyAlignment="1">
      <alignment horizontal="center" vertical="center"/>
    </xf>
    <xf numFmtId="14" fontId="5" fillId="26" borderId="3" xfId="1" applyNumberFormat="1" applyFont="1" applyFill="1" applyBorder="1" applyAlignment="1">
      <alignment vertical="center"/>
    </xf>
    <xf numFmtId="41" fontId="5" fillId="26" borderId="1" xfId="1" applyFont="1" applyFill="1" applyBorder="1" applyAlignment="1">
      <alignment horizontal="center" vertical="center"/>
    </xf>
    <xf numFmtId="0" fontId="5" fillId="26" borderId="1" xfId="0" applyFont="1" applyFill="1" applyBorder="1" applyAlignment="1">
      <alignment horizontal="center" vertical="center" shrinkToFit="1"/>
    </xf>
    <xf numFmtId="14" fontId="5" fillId="26" borderId="9" xfId="1" applyNumberFormat="1" applyFont="1" applyFill="1" applyBorder="1" applyAlignment="1">
      <alignment horizontal="center" vertical="center"/>
    </xf>
    <xf numFmtId="41" fontId="5" fillId="26" borderId="9" xfId="1" applyFont="1" applyFill="1" applyBorder="1" applyAlignment="1">
      <alignment vertical="center"/>
    </xf>
    <xf numFmtId="41" fontId="5" fillId="26" borderId="17" xfId="1" applyFont="1" applyFill="1" applyBorder="1" applyAlignment="1">
      <alignment horizontal="center" vertical="center"/>
    </xf>
    <xf numFmtId="14" fontId="5" fillId="26" borderId="22" xfId="1" applyNumberFormat="1" applyFont="1" applyFill="1" applyBorder="1" applyAlignment="1">
      <alignment vertical="center"/>
    </xf>
    <xf numFmtId="14" fontId="5" fillId="26" borderId="10" xfId="1" applyNumberFormat="1" applyFont="1" applyFill="1" applyBorder="1" applyAlignment="1">
      <alignment horizontal="center" vertical="center"/>
    </xf>
    <xf numFmtId="41" fontId="5" fillId="26" borderId="24" xfId="1" applyFont="1" applyFill="1" applyBorder="1" applyAlignment="1">
      <alignment horizontal="center" vertical="center"/>
    </xf>
    <xf numFmtId="14" fontId="5" fillId="26" borderId="21" xfId="1" applyNumberFormat="1" applyFont="1" applyFill="1" applyBorder="1" applyAlignment="1">
      <alignment horizontal="center" vertical="center"/>
    </xf>
    <xf numFmtId="14" fontId="5" fillId="26" borderId="9" xfId="1" applyNumberFormat="1" applyFont="1" applyFill="1" applyBorder="1" applyAlignment="1">
      <alignment vertical="center"/>
    </xf>
    <xf numFmtId="176" fontId="5" fillId="26" borderId="1" xfId="1" applyNumberFormat="1" applyFont="1" applyFill="1" applyBorder="1" applyAlignment="1">
      <alignment vertical="center"/>
    </xf>
    <xf numFmtId="14" fontId="5" fillId="26" borderId="21" xfId="0" applyNumberFormat="1" applyFont="1" applyFill="1" applyBorder="1" applyAlignment="1">
      <alignment horizontal="center" vertical="center"/>
    </xf>
    <xf numFmtId="41" fontId="5" fillId="0" borderId="44" xfId="1" applyFont="1" applyFill="1" applyBorder="1" applyAlignment="1">
      <alignment horizontal="center" vertical="center"/>
    </xf>
    <xf numFmtId="41" fontId="5" fillId="0" borderId="44" xfId="1" applyFont="1" applyFill="1" applyBorder="1" applyAlignment="1">
      <alignment vertical="center"/>
    </xf>
    <xf numFmtId="14" fontId="5" fillId="0" borderId="44" xfId="1" applyNumberFormat="1" applyFont="1" applyFill="1" applyBorder="1" applyAlignment="1">
      <alignment horizontal="center" vertical="center"/>
    </xf>
    <xf numFmtId="14" fontId="5" fillId="0" borderId="45" xfId="1" applyNumberFormat="1" applyFont="1" applyFill="1" applyBorder="1" applyAlignment="1">
      <alignment horizontal="center" vertical="center"/>
    </xf>
    <xf numFmtId="14" fontId="5" fillId="0" borderId="25" xfId="1" applyNumberFormat="1" applyFont="1" applyFill="1" applyBorder="1" applyAlignment="1">
      <alignment horizontal="center" vertical="center"/>
    </xf>
    <xf numFmtId="41" fontId="5" fillId="0" borderId="25" xfId="1" applyFont="1" applyFill="1" applyBorder="1" applyAlignment="1">
      <alignment horizontal="center" vertical="center"/>
    </xf>
    <xf numFmtId="181" fontId="5" fillId="0" borderId="0" xfId="57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center" vertical="center"/>
    </xf>
    <xf numFmtId="181" fontId="5" fillId="0" borderId="1" xfId="57" applyNumberFormat="1" applyFont="1" applyFill="1" applyBorder="1" applyAlignment="1">
      <alignment horizontal="center" vertical="center"/>
    </xf>
    <xf numFmtId="181" fontId="5" fillId="0" borderId="12" xfId="57" applyNumberFormat="1" applyFont="1" applyFill="1" applyBorder="1" applyAlignment="1">
      <alignment vertical="center"/>
    </xf>
    <xf numFmtId="181" fontId="5" fillId="0" borderId="10" xfId="57" applyNumberFormat="1" applyFont="1" applyFill="1" applyBorder="1" applyAlignment="1">
      <alignment vertical="center"/>
    </xf>
    <xf numFmtId="41" fontId="37" fillId="0" borderId="1" xfId="1" applyFont="1" applyBorder="1">
      <alignment vertical="center"/>
    </xf>
    <xf numFmtId="0" fontId="34" fillId="0" borderId="9" xfId="0" applyFont="1" applyBorder="1" applyAlignment="1">
      <alignment horizontal="center" vertical="center"/>
    </xf>
    <xf numFmtId="0" fontId="38" fillId="0" borderId="0" xfId="0" applyFont="1">
      <alignment vertical="center"/>
    </xf>
    <xf numFmtId="41" fontId="38" fillId="0" borderId="0" xfId="0" applyNumberFormat="1" applyFont="1">
      <alignment vertical="center"/>
    </xf>
    <xf numFmtId="41" fontId="38" fillId="0" borderId="0" xfId="1" applyFont="1">
      <alignment vertical="center"/>
    </xf>
    <xf numFmtId="0" fontId="38" fillId="0" borderId="0" xfId="0" applyFont="1" applyBorder="1">
      <alignment vertical="center"/>
    </xf>
    <xf numFmtId="41" fontId="38" fillId="26" borderId="0" xfId="0" applyNumberFormat="1" applyFont="1" applyFill="1">
      <alignment vertical="center"/>
    </xf>
    <xf numFmtId="14" fontId="38" fillId="26" borderId="0" xfId="0" applyNumberFormat="1" applyFont="1" applyFill="1" applyBorder="1">
      <alignment vertical="center"/>
    </xf>
    <xf numFmtId="14" fontId="38" fillId="0" borderId="0" xfId="0" applyNumberFormat="1" applyFont="1" applyAlignment="1">
      <alignment horizontal="center" vertical="center"/>
    </xf>
    <xf numFmtId="0" fontId="38" fillId="26" borderId="0" xfId="0" applyFont="1" applyFill="1">
      <alignment vertical="center"/>
    </xf>
    <xf numFmtId="14" fontId="38" fillId="26" borderId="0" xfId="0" applyNumberFormat="1" applyFont="1" applyFill="1">
      <alignment vertical="center"/>
    </xf>
    <xf numFmtId="181" fontId="38" fillId="0" borderId="0" xfId="57" applyNumberFormat="1" applyFont="1">
      <alignment vertical="center"/>
    </xf>
    <xf numFmtId="181" fontId="38" fillId="0" borderId="0" xfId="0" applyNumberFormat="1" applyFont="1">
      <alignment vertical="center"/>
    </xf>
    <xf numFmtId="181" fontId="5" fillId="0" borderId="21" xfId="57" applyNumberFormat="1" applyFont="1" applyFill="1" applyBorder="1" applyAlignment="1">
      <alignment horizontal="center" vertical="center"/>
    </xf>
    <xf numFmtId="41" fontId="38" fillId="0" borderId="0" xfId="1" applyFont="1" applyFill="1" applyBorder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14" fontId="38" fillId="0" borderId="1" xfId="0" applyNumberFormat="1" applyFont="1" applyBorder="1" applyAlignment="1">
      <alignment horizontal="center" vertical="center"/>
    </xf>
    <xf numFmtId="41" fontId="38" fillId="0" borderId="1" xfId="0" applyNumberFormat="1" applyFont="1" applyBorder="1">
      <alignment vertical="center"/>
    </xf>
    <xf numFmtId="41" fontId="38" fillId="0" borderId="1" xfId="1" applyFont="1" applyBorder="1">
      <alignment vertical="center"/>
    </xf>
    <xf numFmtId="181" fontId="38" fillId="0" borderId="1" xfId="57" applyNumberFormat="1" applyFont="1" applyBorder="1">
      <alignment vertical="center"/>
    </xf>
    <xf numFmtId="181" fontId="38" fillId="0" borderId="1" xfId="0" applyNumberFormat="1" applyFont="1" applyBorder="1">
      <alignment vertical="center"/>
    </xf>
    <xf numFmtId="41" fontId="38" fillId="0" borderId="1" xfId="1" applyFont="1" applyBorder="1" applyAlignment="1">
      <alignment horizontal="center" vertical="center"/>
    </xf>
    <xf numFmtId="0" fontId="38" fillId="27" borderId="1" xfId="0" applyFont="1" applyFill="1" applyBorder="1" applyAlignment="1">
      <alignment horizontal="center" vertical="center"/>
    </xf>
    <xf numFmtId="41" fontId="38" fillId="0" borderId="1" xfId="0" applyNumberFormat="1" applyFont="1" applyBorder="1" applyAlignment="1">
      <alignment horizontal="center" vertical="center"/>
    </xf>
    <xf numFmtId="41" fontId="38" fillId="0" borderId="9" xfId="1" applyFont="1" applyBorder="1">
      <alignment vertical="center"/>
    </xf>
    <xf numFmtId="0" fontId="38" fillId="0" borderId="47" xfId="0" applyFont="1" applyBorder="1" applyAlignment="1">
      <alignment horizontal="center" vertical="center"/>
    </xf>
    <xf numFmtId="0" fontId="38" fillId="0" borderId="47" xfId="0" applyFont="1" applyBorder="1">
      <alignment vertical="center"/>
    </xf>
    <xf numFmtId="14" fontId="38" fillId="0" borderId="47" xfId="0" applyNumberFormat="1" applyFont="1" applyBorder="1" applyAlignment="1">
      <alignment horizontal="center" vertical="center"/>
    </xf>
    <xf numFmtId="41" fontId="38" fillId="0" borderId="47" xfId="1" applyFont="1" applyBorder="1">
      <alignment vertical="center"/>
    </xf>
    <xf numFmtId="41" fontId="38" fillId="0" borderId="47" xfId="1" applyFont="1" applyBorder="1" applyAlignment="1">
      <alignment horizontal="center" vertical="center"/>
    </xf>
    <xf numFmtId="41" fontId="38" fillId="0" borderId="9" xfId="1" applyFont="1" applyBorder="1" applyAlignment="1">
      <alignment horizontal="center" vertical="center"/>
    </xf>
    <xf numFmtId="181" fontId="38" fillId="0" borderId="9" xfId="57" applyNumberFormat="1" applyFont="1" applyBorder="1" applyAlignment="1">
      <alignment horizontal="center" vertical="center"/>
    </xf>
    <xf numFmtId="181" fontId="38" fillId="0" borderId="9" xfId="0" applyNumberFormat="1" applyFont="1" applyBorder="1" applyAlignment="1">
      <alignment horizontal="center" vertical="center"/>
    </xf>
    <xf numFmtId="14" fontId="5" fillId="26" borderId="1" xfId="1" applyNumberFormat="1" applyFont="1" applyFill="1" applyBorder="1" applyAlignment="1">
      <alignment vertical="center"/>
    </xf>
    <xf numFmtId="41" fontId="5" fillId="26" borderId="4" xfId="1" applyFont="1" applyFill="1" applyBorder="1" applyAlignment="1">
      <alignment horizontal="center" vertical="center"/>
    </xf>
    <xf numFmtId="41" fontId="5" fillId="0" borderId="21" xfId="1" applyFont="1" applyFill="1" applyBorder="1" applyAlignment="1">
      <alignment vertical="center"/>
    </xf>
    <xf numFmtId="0" fontId="38" fillId="0" borderId="27" xfId="0" applyFont="1" applyBorder="1">
      <alignment vertical="center"/>
    </xf>
    <xf numFmtId="0" fontId="38" fillId="0" borderId="24" xfId="0" applyFont="1" applyBorder="1">
      <alignment vertical="center"/>
    </xf>
    <xf numFmtId="0" fontId="38" fillId="0" borderId="19" xfId="0" applyFont="1" applyBorder="1">
      <alignment vertical="center"/>
    </xf>
    <xf numFmtId="0" fontId="38" fillId="0" borderId="46" xfId="0" applyFont="1" applyBorder="1">
      <alignment vertical="center"/>
    </xf>
    <xf numFmtId="14" fontId="38" fillId="26" borderId="46" xfId="0" applyNumberFormat="1" applyFont="1" applyFill="1" applyBorder="1">
      <alignment vertical="center"/>
    </xf>
    <xf numFmtId="0" fontId="38" fillId="0" borderId="23" xfId="0" applyFont="1" applyBorder="1">
      <alignment vertical="center"/>
    </xf>
    <xf numFmtId="14" fontId="38" fillId="26" borderId="23" xfId="0" applyNumberFormat="1" applyFont="1" applyFill="1" applyBorder="1">
      <alignment vertical="center"/>
    </xf>
    <xf numFmtId="41" fontId="38" fillId="0" borderId="20" xfId="1" applyFont="1" applyBorder="1">
      <alignment vertical="center"/>
    </xf>
    <xf numFmtId="41" fontId="38" fillId="0" borderId="21" xfId="1" applyFont="1" applyBorder="1">
      <alignment vertical="center"/>
    </xf>
    <xf numFmtId="41" fontId="38" fillId="0" borderId="22" xfId="1" applyFont="1" applyBorder="1">
      <alignment vertical="center"/>
    </xf>
    <xf numFmtId="0" fontId="38" fillId="0" borderId="12" xfId="0" applyFont="1" applyBorder="1">
      <alignment vertical="center"/>
    </xf>
    <xf numFmtId="14" fontId="38" fillId="26" borderId="12" xfId="0" applyNumberFormat="1" applyFont="1" applyFill="1" applyBorder="1">
      <alignment vertical="center"/>
    </xf>
    <xf numFmtId="41" fontId="38" fillId="0" borderId="12" xfId="1" applyFont="1" applyBorder="1">
      <alignment vertical="center"/>
    </xf>
    <xf numFmtId="0" fontId="38" fillId="0" borderId="10" xfId="0" applyFont="1" applyBorder="1">
      <alignment vertical="center"/>
    </xf>
    <xf numFmtId="14" fontId="38" fillId="26" borderId="10" xfId="0" applyNumberFormat="1" applyFont="1" applyFill="1" applyBorder="1">
      <alignment vertical="center"/>
    </xf>
    <xf numFmtId="41" fontId="38" fillId="0" borderId="10" xfId="1" applyFont="1" applyBorder="1">
      <alignment vertical="center"/>
    </xf>
    <xf numFmtId="0" fontId="38" fillId="0" borderId="9" xfId="0" applyFont="1" applyBorder="1">
      <alignment vertical="center"/>
    </xf>
    <xf numFmtId="14" fontId="38" fillId="26" borderId="9" xfId="0" applyNumberFormat="1" applyFont="1" applyFill="1" applyBorder="1">
      <alignment vertical="center"/>
    </xf>
    <xf numFmtId="41" fontId="38" fillId="0" borderId="9" xfId="0" applyNumberFormat="1" applyFont="1" applyBorder="1">
      <alignment vertical="center"/>
    </xf>
    <xf numFmtId="0" fontId="5" fillId="0" borderId="0" xfId="0" applyFont="1" applyFill="1" applyBorder="1" applyAlignment="1">
      <alignment vertical="center"/>
    </xf>
    <xf numFmtId="41" fontId="0" fillId="0" borderId="1" xfId="1" applyFont="1" applyBorder="1" applyAlignment="1">
      <alignment horizontal="center" vertical="center"/>
    </xf>
    <xf numFmtId="181" fontId="5" fillId="0" borderId="1" xfId="57" applyNumberFormat="1" applyFont="1" applyFill="1" applyBorder="1" applyAlignment="1">
      <alignment vertical="center"/>
    </xf>
    <xf numFmtId="41" fontId="5" fillId="0" borderId="1" xfId="1" applyFont="1" applyFill="1" applyBorder="1" applyAlignment="1">
      <alignment horizontal="left" vertical="center" shrinkToFit="1"/>
    </xf>
    <xf numFmtId="14" fontId="5" fillId="0" borderId="1" xfId="1" applyNumberFormat="1" applyFont="1" applyFill="1" applyBorder="1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10" fontId="5" fillId="0" borderId="1" xfId="57" applyNumberFormat="1" applyFont="1" applyFill="1" applyBorder="1" applyAlignment="1">
      <alignment horizontal="center" vertical="center"/>
    </xf>
    <xf numFmtId="10" fontId="5" fillId="0" borderId="12" xfId="57" applyNumberFormat="1" applyFont="1" applyFill="1" applyBorder="1" applyAlignment="1">
      <alignment vertical="center"/>
    </xf>
    <xf numFmtId="10" fontId="5" fillId="0" borderId="10" xfId="57" applyNumberFormat="1" applyFont="1" applyFill="1" applyBorder="1" applyAlignment="1">
      <alignment vertical="center"/>
    </xf>
    <xf numFmtId="10" fontId="5" fillId="0" borderId="9" xfId="57" applyNumberFormat="1" applyFont="1" applyFill="1" applyBorder="1" applyAlignment="1">
      <alignment vertical="center"/>
    </xf>
    <xf numFmtId="10" fontId="5" fillId="26" borderId="10" xfId="57" applyNumberFormat="1" applyFont="1" applyFill="1" applyBorder="1" applyAlignment="1">
      <alignment vertical="center"/>
    </xf>
    <xf numFmtId="10" fontId="5" fillId="26" borderId="9" xfId="57" applyNumberFormat="1" applyFont="1" applyFill="1" applyBorder="1" applyAlignment="1">
      <alignment vertical="center"/>
    </xf>
    <xf numFmtId="10" fontId="5" fillId="0" borderId="0" xfId="1" applyNumberFormat="1" applyFont="1" applyFill="1" applyAlignment="1">
      <alignment horizontal="center" vertical="center"/>
    </xf>
    <xf numFmtId="10" fontId="5" fillId="0" borderId="0" xfId="57" applyNumberFormat="1" applyFont="1" applyFill="1" applyAlignment="1">
      <alignment vertical="center"/>
    </xf>
    <xf numFmtId="10" fontId="5" fillId="0" borderId="0" xfId="57" applyNumberFormat="1" applyFont="1" applyFill="1" applyBorder="1" applyAlignment="1">
      <alignment vertical="center"/>
    </xf>
    <xf numFmtId="0" fontId="34" fillId="0" borderId="12" xfId="0" applyFont="1" applyBorder="1" applyAlignment="1">
      <alignment horizontal="center" vertical="center"/>
    </xf>
    <xf numFmtId="41" fontId="34" fillId="0" borderId="43" xfId="1" applyFont="1" applyFill="1" applyBorder="1">
      <alignment vertical="center"/>
    </xf>
    <xf numFmtId="41" fontId="34" fillId="0" borderId="43" xfId="1" applyFont="1" applyFill="1" applyBorder="1" applyAlignment="1">
      <alignment horizontal="center" vertical="center"/>
    </xf>
    <xf numFmtId="0" fontId="34" fillId="0" borderId="40" xfId="0" applyFont="1" applyFill="1" applyBorder="1">
      <alignment vertical="center"/>
    </xf>
    <xf numFmtId="0" fontId="34" fillId="0" borderId="28" xfId="0" applyFont="1" applyFill="1" applyBorder="1">
      <alignment vertical="center"/>
    </xf>
    <xf numFmtId="41" fontId="5" fillId="0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34" fillId="0" borderId="0" xfId="1" applyFont="1">
      <alignment vertical="center"/>
    </xf>
    <xf numFmtId="181" fontId="6" fillId="0" borderId="1" xfId="57" applyNumberFormat="1" applyFont="1" applyFill="1" applyBorder="1" applyAlignment="1">
      <alignment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1" fontId="35" fillId="0" borderId="1" xfId="1" applyFont="1" applyBorder="1">
      <alignment vertical="center"/>
    </xf>
    <xf numFmtId="41" fontId="5" fillId="0" borderId="12" xfId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 shrinkToFit="1"/>
    </xf>
    <xf numFmtId="41" fontId="5" fillId="0" borderId="10" xfId="1" applyFont="1" applyFill="1" applyBorder="1" applyAlignment="1">
      <alignment horizontal="center" vertical="center" shrinkToFit="1"/>
    </xf>
    <xf numFmtId="0" fontId="34" fillId="0" borderId="43" xfId="0" applyFont="1" applyFill="1" applyBorder="1">
      <alignment vertical="center"/>
    </xf>
    <xf numFmtId="14" fontId="34" fillId="0" borderId="43" xfId="0" applyNumberFormat="1" applyFont="1" applyFill="1" applyBorder="1">
      <alignment vertical="center"/>
    </xf>
    <xf numFmtId="41" fontId="5" fillId="0" borderId="22" xfId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9" fontId="5" fillId="0" borderId="21" xfId="57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 shrinkToFit="1"/>
    </xf>
    <xf numFmtId="41" fontId="6" fillId="0" borderId="10" xfId="1" applyFont="1" applyFill="1" applyBorder="1" applyAlignment="1">
      <alignment horizontal="center" vertical="center"/>
    </xf>
    <xf numFmtId="9" fontId="5" fillId="0" borderId="0" xfId="57" applyFont="1" applyFill="1" applyAlignment="1">
      <alignment vertical="center"/>
    </xf>
    <xf numFmtId="10" fontId="5" fillId="0" borderId="6" xfId="1" applyNumberFormat="1" applyFont="1" applyFill="1" applyBorder="1" applyAlignment="1">
      <alignment vertical="center"/>
    </xf>
    <xf numFmtId="0" fontId="35" fillId="0" borderId="0" xfId="0" applyFont="1" applyFill="1" applyBorder="1">
      <alignment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>
      <alignment vertical="center"/>
    </xf>
    <xf numFmtId="41" fontId="35" fillId="0" borderId="40" xfId="1" applyFont="1" applyFill="1" applyBorder="1">
      <alignment vertical="center"/>
    </xf>
    <xf numFmtId="41" fontId="35" fillId="0" borderId="1" xfId="0" applyNumberFormat="1" applyFont="1" applyBorder="1">
      <alignment vertical="center"/>
    </xf>
    <xf numFmtId="0" fontId="35" fillId="0" borderId="10" xfId="0" applyFont="1" applyFill="1" applyBorder="1">
      <alignment vertical="center"/>
    </xf>
    <xf numFmtId="41" fontId="5" fillId="0" borderId="12" xfId="1" applyFont="1" applyFill="1" applyBorder="1" applyAlignment="1">
      <alignment horizontal="center" vertical="center"/>
    </xf>
    <xf numFmtId="41" fontId="35" fillId="0" borderId="9" xfId="0" applyNumberFormat="1" applyFont="1" applyBorder="1">
      <alignment vertical="center"/>
    </xf>
    <xf numFmtId="0" fontId="35" fillId="29" borderId="1" xfId="0" applyFont="1" applyFill="1" applyBorder="1" applyAlignment="1">
      <alignment horizontal="center" vertical="center"/>
    </xf>
    <xf numFmtId="0" fontId="35" fillId="29" borderId="40" xfId="0" applyFont="1" applyFill="1" applyBorder="1" applyAlignment="1">
      <alignment horizontal="center" vertical="center"/>
    </xf>
    <xf numFmtId="0" fontId="35" fillId="29" borderId="28" xfId="0" applyFont="1" applyFill="1" applyBorder="1" applyAlignment="1">
      <alignment horizontal="center" vertical="center"/>
    </xf>
    <xf numFmtId="0" fontId="35" fillId="29" borderId="43" xfId="0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9" fontId="5" fillId="0" borderId="0" xfId="57" applyFont="1" applyFill="1" applyAlignment="1">
      <alignment horizontal="center" vertical="center"/>
    </xf>
    <xf numFmtId="181" fontId="5" fillId="0" borderId="0" xfId="57" applyNumberFormat="1" applyFont="1" applyFill="1" applyAlignment="1">
      <alignment horizontal="center" vertical="center"/>
    </xf>
    <xf numFmtId="41" fontId="35" fillId="0" borderId="40" xfId="1" applyFont="1" applyFill="1" applyBorder="1" applyAlignment="1">
      <alignment horizontal="center" vertical="center"/>
    </xf>
    <xf numFmtId="41" fontId="35" fillId="0" borderId="28" xfId="1" applyFont="1" applyFill="1" applyBorder="1" applyAlignment="1">
      <alignment horizontal="center" vertical="center"/>
    </xf>
    <xf numFmtId="41" fontId="35" fillId="0" borderId="28" xfId="1" applyFont="1" applyFill="1" applyBorder="1">
      <alignment vertical="center"/>
    </xf>
    <xf numFmtId="176" fontId="6" fillId="0" borderId="12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0" fontId="41" fillId="0" borderId="0" xfId="0" applyFont="1" applyFill="1" applyBorder="1">
      <alignment vertical="center"/>
    </xf>
    <xf numFmtId="41" fontId="35" fillId="0" borderId="0" xfId="1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9" fontId="35" fillId="0" borderId="0" xfId="57" applyFont="1" applyFill="1" applyBorder="1">
      <alignment vertical="center"/>
    </xf>
    <xf numFmtId="0" fontId="42" fillId="0" borderId="0" xfId="0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right" vertical="center" wrapText="1"/>
    </xf>
    <xf numFmtId="181" fontId="42" fillId="0" borderId="0" xfId="57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right" vertical="center" wrapText="1"/>
    </xf>
    <xf numFmtId="181" fontId="35" fillId="0" borderId="0" xfId="57" applyNumberFormat="1" applyFont="1" applyFill="1" applyBorder="1" applyAlignment="1">
      <alignment horizontal="center" vertical="center"/>
    </xf>
    <xf numFmtId="14" fontId="35" fillId="26" borderId="1" xfId="0" applyNumberFormat="1" applyFont="1" applyFill="1" applyBorder="1">
      <alignment vertical="center"/>
    </xf>
    <xf numFmtId="41" fontId="44" fillId="0" borderId="0" xfId="0" applyNumberFormat="1" applyFont="1" applyFill="1" applyBorder="1">
      <alignment vertical="center"/>
    </xf>
    <xf numFmtId="41" fontId="35" fillId="0" borderId="25" xfId="0" applyNumberFormat="1" applyFont="1" applyBorder="1">
      <alignment vertical="center"/>
    </xf>
    <xf numFmtId="0" fontId="35" fillId="26" borderId="12" xfId="0" applyFont="1" applyFill="1" applyBorder="1">
      <alignment vertical="center"/>
    </xf>
    <xf numFmtId="41" fontId="5" fillId="0" borderId="12" xfId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37" fillId="0" borderId="1" xfId="1" applyFont="1" applyFill="1" applyBorder="1">
      <alignment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Fill="1" applyBorder="1">
      <alignment vertical="center"/>
    </xf>
    <xf numFmtId="0" fontId="37" fillId="0" borderId="10" xfId="0" applyFont="1" applyFill="1" applyBorder="1">
      <alignment vertical="center"/>
    </xf>
    <xf numFmtId="0" fontId="37" fillId="0" borderId="40" xfId="0" applyFont="1" applyFill="1" applyBorder="1">
      <alignment vertical="center"/>
    </xf>
    <xf numFmtId="41" fontId="37" fillId="0" borderId="40" xfId="1" applyFont="1" applyFill="1" applyBorder="1" applyAlignment="1">
      <alignment horizontal="center" vertical="center"/>
    </xf>
    <xf numFmtId="0" fontId="37" fillId="0" borderId="43" xfId="0" applyFont="1" applyFill="1" applyBorder="1">
      <alignment vertical="center"/>
    </xf>
    <xf numFmtId="41" fontId="37" fillId="0" borderId="43" xfId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4" fontId="37" fillId="0" borderId="43" xfId="0" applyNumberFormat="1" applyFont="1" applyFill="1" applyBorder="1">
      <alignment vertical="center"/>
    </xf>
    <xf numFmtId="41" fontId="37" fillId="0" borderId="43" xfId="1" applyFont="1" applyFill="1" applyBorder="1">
      <alignment vertical="center"/>
    </xf>
    <xf numFmtId="0" fontId="37" fillId="0" borderId="28" xfId="0" applyFont="1" applyFill="1" applyBorder="1">
      <alignment vertical="center"/>
    </xf>
    <xf numFmtId="14" fontId="37" fillId="0" borderId="28" xfId="0" applyNumberFormat="1" applyFont="1" applyFill="1" applyBorder="1">
      <alignment vertical="center"/>
    </xf>
    <xf numFmtId="41" fontId="37" fillId="0" borderId="28" xfId="1" applyFont="1" applyFill="1" applyBorder="1">
      <alignment vertical="center"/>
    </xf>
    <xf numFmtId="41" fontId="37" fillId="0" borderId="28" xfId="1" applyFont="1" applyFill="1" applyBorder="1" applyAlignment="1">
      <alignment horizontal="center" vertical="center"/>
    </xf>
    <xf numFmtId="41" fontId="37" fillId="0" borderId="9" xfId="1" applyFont="1" applyFill="1" applyBorder="1">
      <alignment vertical="center"/>
    </xf>
    <xf numFmtId="14" fontId="37" fillId="0" borderId="40" xfId="0" applyNumberFormat="1" applyFont="1" applyFill="1" applyBorder="1">
      <alignment vertical="center"/>
    </xf>
    <xf numFmtId="41" fontId="37" fillId="0" borderId="40" xfId="1" applyFont="1" applyFill="1" applyBorder="1">
      <alignment vertical="center"/>
    </xf>
    <xf numFmtId="41" fontId="0" fillId="0" borderId="0" xfId="1" applyFont="1">
      <alignment vertical="center"/>
    </xf>
    <xf numFmtId="14" fontId="6" fillId="0" borderId="40" xfId="0" applyNumberFormat="1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7" fillId="0" borderId="24" xfId="0" applyFont="1" applyFill="1" applyBorder="1">
      <alignment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14" fontId="45" fillId="0" borderId="40" xfId="58" applyNumberFormat="1" applyFont="1" applyFill="1" applyBorder="1" applyAlignment="1">
      <alignment horizontal="center" vertical="center"/>
    </xf>
    <xf numFmtId="14" fontId="45" fillId="0" borderId="43" xfId="58" applyNumberFormat="1" applyFont="1" applyFill="1" applyBorder="1" applyAlignment="1">
      <alignment horizontal="center" vertical="center"/>
    </xf>
    <xf numFmtId="14" fontId="45" fillId="0" borderId="28" xfId="58" applyNumberFormat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10" fontId="35" fillId="0" borderId="0" xfId="57" applyNumberFormat="1" applyFont="1" applyBorder="1" applyAlignment="1">
      <alignment horizontal="center" vertical="center"/>
    </xf>
    <xf numFmtId="9" fontId="35" fillId="0" borderId="0" xfId="57" applyFont="1" applyFill="1" applyBorder="1" applyAlignment="1">
      <alignment horizontal="center" vertical="center"/>
    </xf>
    <xf numFmtId="14" fontId="35" fillId="0" borderId="9" xfId="0" applyNumberFormat="1" applyFont="1" applyBorder="1" applyAlignment="1">
      <alignment horizontal="center" vertical="center"/>
    </xf>
    <xf numFmtId="14" fontId="35" fillId="26" borderId="12" xfId="0" applyNumberFormat="1" applyFont="1" applyFill="1" applyBorder="1" applyAlignment="1">
      <alignment horizontal="center" vertical="center"/>
    </xf>
    <xf numFmtId="14" fontId="5" fillId="0" borderId="28" xfId="1" applyNumberFormat="1" applyFont="1" applyFill="1" applyBorder="1" applyAlignment="1">
      <alignment horizontal="center" vertical="center"/>
    </xf>
    <xf numFmtId="41" fontId="5" fillId="0" borderId="28" xfId="1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181" fontId="35" fillId="0" borderId="0" xfId="57" applyNumberFormat="1" applyFont="1" applyFill="1" applyBorder="1">
      <alignment vertical="center"/>
    </xf>
    <xf numFmtId="0" fontId="45" fillId="0" borderId="0" xfId="0" applyFont="1" applyBorder="1">
      <alignment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Fill="1" applyBorder="1">
      <alignment vertical="center"/>
    </xf>
    <xf numFmtId="0" fontId="45" fillId="0" borderId="9" xfId="0" applyFont="1" applyFill="1" applyBorder="1">
      <alignment vertical="center"/>
    </xf>
    <xf numFmtId="41" fontId="45" fillId="0" borderId="1" xfId="1" applyFont="1" applyBorder="1">
      <alignment vertical="center"/>
    </xf>
    <xf numFmtId="14" fontId="45" fillId="0" borderId="40" xfId="0" applyNumberFormat="1" applyFont="1" applyFill="1" applyBorder="1">
      <alignment vertical="center"/>
    </xf>
    <xf numFmtId="14" fontId="45" fillId="0" borderId="43" xfId="0" applyNumberFormat="1" applyFont="1" applyFill="1" applyBorder="1">
      <alignment vertical="center"/>
    </xf>
    <xf numFmtId="0" fontId="45" fillId="0" borderId="10" xfId="0" applyFont="1" applyFill="1" applyBorder="1">
      <alignment vertical="center"/>
    </xf>
    <xf numFmtId="41" fontId="45" fillId="0" borderId="40" xfId="1" applyFont="1" applyFill="1" applyBorder="1">
      <alignment vertical="center"/>
    </xf>
    <xf numFmtId="41" fontId="45" fillId="0" borderId="40" xfId="59" applyFont="1" applyFill="1" applyBorder="1" applyAlignment="1">
      <alignment horizontal="center" vertical="center"/>
    </xf>
    <xf numFmtId="41" fontId="45" fillId="0" borderId="40" xfId="60" applyFont="1" applyFill="1" applyBorder="1" applyAlignment="1">
      <alignment horizontal="center" vertical="center"/>
    </xf>
    <xf numFmtId="41" fontId="45" fillId="0" borderId="40" xfId="61" applyFont="1" applyFill="1" applyBorder="1" applyAlignment="1">
      <alignment vertical="center"/>
    </xf>
    <xf numFmtId="41" fontId="45" fillId="0" borderId="43" xfId="1" applyFont="1" applyFill="1" applyBorder="1">
      <alignment vertical="center"/>
    </xf>
    <xf numFmtId="41" fontId="45" fillId="0" borderId="43" xfId="59" applyFont="1" applyFill="1" applyBorder="1" applyAlignment="1">
      <alignment horizontal="center" vertical="center"/>
    </xf>
    <xf numFmtId="41" fontId="45" fillId="0" borderId="43" xfId="60" applyFont="1" applyFill="1" applyBorder="1" applyAlignment="1">
      <alignment horizontal="center" vertical="center"/>
    </xf>
    <xf numFmtId="41" fontId="45" fillId="0" borderId="43" xfId="61" applyFont="1" applyFill="1" applyBorder="1" applyAlignment="1">
      <alignment vertical="center"/>
    </xf>
    <xf numFmtId="41" fontId="45" fillId="0" borderId="28" xfId="59" applyFont="1" applyFill="1" applyBorder="1" applyAlignment="1">
      <alignment horizontal="center" vertical="center"/>
    </xf>
    <xf numFmtId="41" fontId="45" fillId="0" borderId="28" xfId="60" applyFont="1" applyFill="1" applyBorder="1" applyAlignment="1">
      <alignment horizontal="center" vertical="center"/>
    </xf>
    <xf numFmtId="41" fontId="45" fillId="0" borderId="28" xfId="61" applyFont="1" applyFill="1" applyBorder="1" applyAlignment="1">
      <alignment vertical="center"/>
    </xf>
    <xf numFmtId="181" fontId="45" fillId="0" borderId="1" xfId="57" applyNumberFormat="1" applyFont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14" fontId="35" fillId="26" borderId="10" xfId="0" applyNumberFormat="1" applyFont="1" applyFill="1" applyBorder="1">
      <alignment vertical="center"/>
    </xf>
    <xf numFmtId="41" fontId="35" fillId="26" borderId="10" xfId="1" applyFont="1" applyFill="1" applyBorder="1">
      <alignment vertical="center"/>
    </xf>
    <xf numFmtId="0" fontId="45" fillId="26" borderId="10" xfId="0" applyFont="1" applyFill="1" applyBorder="1" applyAlignment="1">
      <alignment horizontal="center" vertical="center"/>
    </xf>
    <xf numFmtId="0" fontId="45" fillId="26" borderId="10" xfId="0" applyFont="1" applyFill="1" applyBorder="1">
      <alignment vertical="center"/>
    </xf>
    <xf numFmtId="14" fontId="45" fillId="0" borderId="10" xfId="58" applyNumberFormat="1" applyFont="1" applyFill="1" applyBorder="1" applyAlignment="1">
      <alignment horizontal="center" vertical="center"/>
    </xf>
    <xf numFmtId="14" fontId="45" fillId="0" borderId="9" xfId="58" applyNumberFormat="1" applyFont="1" applyFill="1" applyBorder="1" applyAlignment="1">
      <alignment horizontal="center" vertical="center"/>
    </xf>
    <xf numFmtId="41" fontId="44" fillId="0" borderId="43" xfId="1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9" fontId="45" fillId="0" borderId="0" xfId="57" applyFont="1" applyBorder="1">
      <alignment vertical="center"/>
    </xf>
    <xf numFmtId="0" fontId="35" fillId="0" borderId="1" xfId="0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/>
    </xf>
    <xf numFmtId="183" fontId="35" fillId="0" borderId="0" xfId="57" applyNumberFormat="1" applyFont="1" applyFill="1" applyBorder="1" applyAlignment="1">
      <alignment horizontal="center" vertical="center"/>
    </xf>
    <xf numFmtId="0" fontId="34" fillId="0" borderId="0" xfId="0" applyFont="1" applyBorder="1">
      <alignment vertical="center"/>
    </xf>
    <xf numFmtId="0" fontId="35" fillId="0" borderId="44" xfId="0" applyFont="1" applyFill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41" fontId="6" fillId="0" borderId="0" xfId="1" applyFont="1" applyFill="1" applyAlignment="1">
      <alignment vertical="center"/>
    </xf>
    <xf numFmtId="41" fontId="6" fillId="0" borderId="0" xfId="1" applyFont="1" applyFill="1" applyBorder="1" applyAlignment="1">
      <alignment vertical="center"/>
    </xf>
    <xf numFmtId="41" fontId="6" fillId="0" borderId="9" xfId="1" applyFont="1" applyFill="1" applyBorder="1" applyAlignment="1">
      <alignment horizontal="center" vertical="center"/>
    </xf>
    <xf numFmtId="14" fontId="6" fillId="0" borderId="12" xfId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shrinkToFit="1"/>
    </xf>
    <xf numFmtId="176" fontId="6" fillId="0" borderId="1" xfId="1" applyNumberFormat="1" applyFont="1" applyFill="1" applyBorder="1" applyAlignment="1">
      <alignment vertical="center"/>
    </xf>
    <xf numFmtId="14" fontId="6" fillId="0" borderId="14" xfId="1" applyNumberFormat="1" applyFont="1" applyFill="1" applyBorder="1" applyAlignment="1">
      <alignment vertical="center"/>
    </xf>
    <xf numFmtId="14" fontId="5" fillId="0" borderId="18" xfId="1" applyNumberFormat="1" applyFont="1" applyFill="1" applyBorder="1" applyAlignment="1">
      <alignment horizontal="center" vertical="center"/>
    </xf>
    <xf numFmtId="41" fontId="5" fillId="28" borderId="9" xfId="1" applyFont="1" applyFill="1" applyBorder="1" applyAlignment="1">
      <alignment vertical="center"/>
    </xf>
    <xf numFmtId="41" fontId="5" fillId="28" borderId="9" xfId="1" applyFont="1" applyFill="1" applyBorder="1" applyAlignment="1">
      <alignment horizontal="center" vertical="center"/>
    </xf>
    <xf numFmtId="41" fontId="5" fillId="28" borderId="10" xfId="1" applyFont="1" applyFill="1" applyBorder="1" applyAlignment="1">
      <alignment vertical="center"/>
    </xf>
    <xf numFmtId="41" fontId="5" fillId="28" borderId="10" xfId="1" applyFont="1" applyFill="1" applyBorder="1" applyAlignment="1">
      <alignment horizontal="center" vertical="center"/>
    </xf>
    <xf numFmtId="0" fontId="35" fillId="28" borderId="1" xfId="0" applyFont="1" applyFill="1" applyBorder="1" applyAlignment="1">
      <alignment horizontal="center" vertical="center"/>
    </xf>
    <xf numFmtId="41" fontId="5" fillId="30" borderId="10" xfId="1" applyFont="1" applyFill="1" applyBorder="1" applyAlignment="1">
      <alignment vertical="center"/>
    </xf>
    <xf numFmtId="41" fontId="5" fillId="30" borderId="9" xfId="1" applyFont="1" applyFill="1" applyBorder="1" applyAlignment="1">
      <alignment vertical="center"/>
    </xf>
    <xf numFmtId="14" fontId="6" fillId="0" borderId="18" xfId="1" applyNumberFormat="1" applyFont="1" applyFill="1" applyBorder="1" applyAlignment="1">
      <alignment vertical="center"/>
    </xf>
    <xf numFmtId="14" fontId="5" fillId="0" borderId="21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14" fontId="5" fillId="0" borderId="22" xfId="0" applyNumberFormat="1" applyFont="1" applyFill="1" applyBorder="1" applyAlignment="1">
      <alignment horizontal="center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35" fillId="0" borderId="12" xfId="0" applyNumberFormat="1" applyFont="1" applyBorder="1" applyAlignment="1">
      <alignment horizontal="center" vertical="center"/>
    </xf>
    <xf numFmtId="41" fontId="35" fillId="0" borderId="12" xfId="0" applyNumberFormat="1" applyFont="1" applyBorder="1">
      <alignment vertical="center"/>
    </xf>
    <xf numFmtId="41" fontId="35" fillId="26" borderId="1" xfId="0" applyNumberFormat="1" applyFont="1" applyFill="1" applyBorder="1" applyAlignment="1">
      <alignment horizontal="center" vertical="center"/>
    </xf>
    <xf numFmtId="41" fontId="35" fillId="0" borderId="3" xfId="1" applyFont="1" applyBorder="1">
      <alignment vertical="center"/>
    </xf>
    <xf numFmtId="0" fontId="41" fillId="0" borderId="0" xfId="0" applyFont="1">
      <alignment vertical="center"/>
    </xf>
    <xf numFmtId="14" fontId="5" fillId="25" borderId="44" xfId="0" applyNumberFormat="1" applyFont="1" applyFill="1" applyBorder="1" applyAlignment="1">
      <alignment horizontal="center" vertical="center"/>
    </xf>
    <xf numFmtId="14" fontId="5" fillId="25" borderId="40" xfId="0" applyNumberFormat="1" applyFont="1" applyFill="1" applyBorder="1" applyAlignment="1">
      <alignment horizontal="center" vertical="center"/>
    </xf>
    <xf numFmtId="14" fontId="5" fillId="25" borderId="43" xfId="0" applyNumberFormat="1" applyFont="1" applyFill="1" applyBorder="1" applyAlignment="1">
      <alignment horizontal="center" vertical="center"/>
    </xf>
    <xf numFmtId="14" fontId="5" fillId="25" borderId="43" xfId="56" applyNumberFormat="1" applyFont="1" applyFill="1" applyBorder="1" applyAlignment="1">
      <alignment horizontal="center" vertical="center"/>
    </xf>
    <xf numFmtId="14" fontId="5" fillId="0" borderId="43" xfId="56" applyNumberFormat="1" applyFont="1" applyFill="1" applyBorder="1" applyAlignment="1">
      <alignment horizontal="center" vertical="center"/>
    </xf>
    <xf numFmtId="14" fontId="5" fillId="25" borderId="28" xfId="56" applyNumberFormat="1" applyFont="1" applyFill="1" applyBorder="1" applyAlignment="1">
      <alignment horizontal="center" vertical="center"/>
    </xf>
    <xf numFmtId="14" fontId="5" fillId="0" borderId="28" xfId="56" applyNumberFormat="1" applyFont="1" applyFill="1" applyBorder="1" applyAlignment="1">
      <alignment horizontal="center" vertical="center"/>
    </xf>
    <xf numFmtId="14" fontId="5" fillId="25" borderId="28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40" xfId="56" applyNumberFormat="1" applyFont="1" applyFill="1" applyBorder="1" applyAlignment="1">
      <alignment horizontal="center" vertical="center"/>
    </xf>
    <xf numFmtId="14" fontId="5" fillId="26" borderId="1" xfId="56" applyNumberFormat="1" applyFont="1" applyFill="1" applyBorder="1" applyAlignment="1">
      <alignment horizontal="center" vertical="center"/>
    </xf>
    <xf numFmtId="14" fontId="5" fillId="26" borderId="1" xfId="0" applyNumberFormat="1" applyFont="1" applyFill="1" applyBorder="1" applyAlignment="1">
      <alignment horizontal="center" vertical="center"/>
    </xf>
    <xf numFmtId="14" fontId="5" fillId="0" borderId="40" xfId="0" applyNumberFormat="1" applyFont="1" applyBorder="1" applyAlignment="1">
      <alignment horizontal="center" vertical="center"/>
    </xf>
    <xf numFmtId="0" fontId="35" fillId="0" borderId="28" xfId="0" applyFont="1" applyBorder="1">
      <alignment vertical="center"/>
    </xf>
    <xf numFmtId="0" fontId="35" fillId="0" borderId="43" xfId="0" applyFont="1" applyBorder="1">
      <alignment vertical="center"/>
    </xf>
    <xf numFmtId="14" fontId="5" fillId="0" borderId="10" xfId="56" applyNumberFormat="1" applyFont="1" applyFill="1" applyBorder="1" applyAlignment="1">
      <alignment horizontal="center" vertical="center"/>
    </xf>
    <xf numFmtId="41" fontId="35" fillId="0" borderId="25" xfId="1" applyFont="1" applyBorder="1">
      <alignment vertical="center"/>
    </xf>
    <xf numFmtId="0" fontId="35" fillId="0" borderId="1" xfId="0" applyFont="1" applyBorder="1">
      <alignment vertical="center"/>
    </xf>
    <xf numFmtId="14" fontId="35" fillId="0" borderId="1" xfId="0" applyNumberFormat="1" applyFont="1" applyBorder="1">
      <alignment vertical="center"/>
    </xf>
    <xf numFmtId="0" fontId="35" fillId="0" borderId="0" xfId="0" applyFont="1" applyBorder="1">
      <alignment vertical="center"/>
    </xf>
    <xf numFmtId="0" fontId="35" fillId="0" borderId="40" xfId="0" applyFont="1" applyBorder="1">
      <alignment vertical="center"/>
    </xf>
    <xf numFmtId="14" fontId="35" fillId="0" borderId="28" xfId="0" applyNumberFormat="1" applyFont="1" applyBorder="1">
      <alignment vertical="center"/>
    </xf>
    <xf numFmtId="0" fontId="40" fillId="0" borderId="0" xfId="0" applyFont="1" applyBorder="1">
      <alignment vertical="center"/>
    </xf>
    <xf numFmtId="41" fontId="35" fillId="0" borderId="0" xfId="1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1" fontId="35" fillId="0" borderId="1" xfId="1" applyFont="1" applyBorder="1" applyAlignment="1">
      <alignment horizontal="center" vertical="center"/>
    </xf>
    <xf numFmtId="41" fontId="35" fillId="0" borderId="1" xfId="1" applyFont="1" applyFill="1" applyBorder="1" applyAlignment="1">
      <alignment horizontal="center" vertical="center"/>
    </xf>
    <xf numFmtId="41" fontId="35" fillId="0" borderId="1" xfId="0" applyNumberFormat="1" applyFont="1" applyFill="1" applyBorder="1">
      <alignment vertical="center"/>
    </xf>
    <xf numFmtId="0" fontId="35" fillId="26" borderId="3" xfId="0" applyFont="1" applyFill="1" applyBorder="1">
      <alignment vertical="center"/>
    </xf>
    <xf numFmtId="0" fontId="35" fillId="26" borderId="1" xfId="0" applyFont="1" applyFill="1" applyBorder="1">
      <alignment vertical="center"/>
    </xf>
    <xf numFmtId="41" fontId="35" fillId="26" borderId="1" xfId="1" applyFont="1" applyFill="1" applyBorder="1" applyAlignment="1">
      <alignment horizontal="center" vertical="center"/>
    </xf>
    <xf numFmtId="41" fontId="35" fillId="0" borderId="40" xfId="1" applyFont="1" applyBorder="1" applyAlignment="1">
      <alignment horizontal="center" vertical="center"/>
    </xf>
    <xf numFmtId="41" fontId="35" fillId="0" borderId="28" xfId="1" applyFont="1" applyBorder="1" applyAlignment="1">
      <alignment horizontal="center" vertical="center"/>
    </xf>
    <xf numFmtId="41" fontId="35" fillId="0" borderId="43" xfId="1" applyFont="1" applyBorder="1" applyAlignment="1">
      <alignment horizontal="center" vertical="center"/>
    </xf>
    <xf numFmtId="0" fontId="35" fillId="26" borderId="9" xfId="0" applyFont="1" applyFill="1" applyBorder="1">
      <alignment vertical="center"/>
    </xf>
    <xf numFmtId="0" fontId="35" fillId="0" borderId="12" xfId="0" applyFont="1" applyBorder="1">
      <alignment vertical="center"/>
    </xf>
    <xf numFmtId="0" fontId="35" fillId="0" borderId="10" xfId="0" applyFont="1" applyBorder="1">
      <alignment vertical="center"/>
    </xf>
    <xf numFmtId="0" fontId="35" fillId="0" borderId="9" xfId="0" applyFont="1" applyBorder="1">
      <alignment vertical="center"/>
    </xf>
    <xf numFmtId="0" fontId="35" fillId="0" borderId="25" xfId="0" applyFont="1" applyFill="1" applyBorder="1">
      <alignment vertical="center"/>
    </xf>
    <xf numFmtId="41" fontId="35" fillId="0" borderId="9" xfId="1" applyFont="1" applyBorder="1" applyAlignment="1">
      <alignment horizontal="center" vertical="center"/>
    </xf>
    <xf numFmtId="0" fontId="35" fillId="26" borderId="1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1" fontId="35" fillId="0" borderId="40" xfId="0" applyNumberFormat="1" applyFont="1" applyBorder="1">
      <alignment vertical="center"/>
    </xf>
    <xf numFmtId="41" fontId="35" fillId="0" borderId="43" xfId="0" applyNumberFormat="1" applyFont="1" applyBorder="1">
      <alignment vertical="center"/>
    </xf>
    <xf numFmtId="181" fontId="35" fillId="0" borderId="0" xfId="57" applyNumberFormat="1" applyFont="1" applyBorder="1">
      <alignment vertical="center"/>
    </xf>
    <xf numFmtId="181" fontId="35" fillId="0" borderId="0" xfId="57" applyNumberFormat="1" applyFont="1" applyBorder="1" applyAlignment="1">
      <alignment horizontal="center" vertical="center"/>
    </xf>
    <xf numFmtId="41" fontId="35" fillId="0" borderId="12" xfId="1" applyFont="1" applyFill="1" applyBorder="1">
      <alignment vertical="center"/>
    </xf>
    <xf numFmtId="41" fontId="35" fillId="0" borderId="12" xfId="1" applyFont="1" applyFill="1" applyBorder="1" applyAlignment="1">
      <alignment horizontal="center" vertical="center"/>
    </xf>
    <xf numFmtId="41" fontId="35" fillId="0" borderId="28" xfId="0" applyNumberFormat="1" applyFont="1" applyBorder="1">
      <alignment vertical="center"/>
    </xf>
    <xf numFmtId="41" fontId="35" fillId="26" borderId="1" xfId="0" applyNumberFormat="1" applyFont="1" applyFill="1" applyBorder="1">
      <alignment vertical="center"/>
    </xf>
    <xf numFmtId="14" fontId="43" fillId="0" borderId="1" xfId="56" applyNumberFormat="1" applyFont="1" applyFill="1" applyBorder="1" applyAlignment="1">
      <alignment horizontal="center" vertical="center"/>
    </xf>
    <xf numFmtId="41" fontId="43" fillId="0" borderId="1" xfId="1" applyFont="1" applyBorder="1">
      <alignment vertical="center"/>
    </xf>
    <xf numFmtId="14" fontId="43" fillId="25" borderId="1" xfId="0" applyNumberFormat="1" applyFont="1" applyFill="1" applyBorder="1" applyAlignment="1">
      <alignment horizontal="center" vertical="center"/>
    </xf>
    <xf numFmtId="0" fontId="35" fillId="0" borderId="10" xfId="0" applyFont="1" applyFill="1" applyBorder="1">
      <alignment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35" fillId="29" borderId="9" xfId="0" applyFont="1" applyFill="1" applyBorder="1" applyAlignment="1">
      <alignment horizontal="center" vertical="center"/>
    </xf>
    <xf numFmtId="0" fontId="35" fillId="28" borderId="1" xfId="0" applyFont="1" applyFill="1" applyBorder="1">
      <alignment vertical="center"/>
    </xf>
    <xf numFmtId="41" fontId="35" fillId="0" borderId="28" xfId="0" applyNumberFormat="1" applyFont="1" applyFill="1" applyBorder="1">
      <alignment vertical="center"/>
    </xf>
    <xf numFmtId="41" fontId="35" fillId="26" borderId="1" xfId="1" applyFont="1" applyFill="1" applyBorder="1">
      <alignment vertical="center"/>
    </xf>
    <xf numFmtId="0" fontId="35" fillId="0" borderId="43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12" xfId="0" applyFont="1" applyFill="1" applyBorder="1">
      <alignment vertical="center"/>
    </xf>
    <xf numFmtId="41" fontId="35" fillId="0" borderId="40" xfId="0" applyNumberFormat="1" applyFont="1" applyFill="1" applyBorder="1">
      <alignment vertical="center"/>
    </xf>
    <xf numFmtId="41" fontId="35" fillId="0" borderId="43" xfId="0" applyNumberFormat="1" applyFont="1" applyFill="1" applyBorder="1">
      <alignment vertical="center"/>
    </xf>
    <xf numFmtId="0" fontId="35" fillId="0" borderId="24" xfId="0" applyFont="1" applyFill="1" applyBorder="1">
      <alignment vertical="center"/>
    </xf>
    <xf numFmtId="0" fontId="35" fillId="0" borderId="50" xfId="0" applyFont="1" applyFill="1" applyBorder="1">
      <alignment vertical="center"/>
    </xf>
    <xf numFmtId="14" fontId="35" fillId="0" borderId="12" xfId="0" applyNumberFormat="1" applyFont="1" applyFill="1" applyBorder="1">
      <alignment vertical="center"/>
    </xf>
    <xf numFmtId="0" fontId="35" fillId="0" borderId="10" xfId="0" applyFont="1" applyBorder="1" applyAlignment="1">
      <alignment horizontal="center" vertical="center"/>
    </xf>
    <xf numFmtId="0" fontId="35" fillId="0" borderId="3" xfId="0" applyFont="1" applyBorder="1">
      <alignment vertical="center"/>
    </xf>
    <xf numFmtId="0" fontId="35" fillId="0" borderId="21" xfId="0" applyFont="1" applyBorder="1">
      <alignment vertical="center"/>
    </xf>
    <xf numFmtId="0" fontId="35" fillId="0" borderId="22" xfId="0" applyFont="1" applyBorder="1">
      <alignment vertical="center"/>
    </xf>
    <xf numFmtId="0" fontId="35" fillId="0" borderId="44" xfId="0" applyFont="1" applyBorder="1">
      <alignment vertical="center"/>
    </xf>
    <xf numFmtId="0" fontId="43" fillId="0" borderId="1" xfId="0" applyFont="1" applyFill="1" applyBorder="1" applyAlignment="1">
      <alignment horizontal="center" vertical="center"/>
    </xf>
    <xf numFmtId="41" fontId="43" fillId="0" borderId="1" xfId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81" fontId="43" fillId="0" borderId="1" xfId="57" applyNumberFormat="1" applyFont="1" applyBorder="1">
      <alignment vertical="center"/>
    </xf>
    <xf numFmtId="10" fontId="43" fillId="0" borderId="1" xfId="1" applyNumberFormat="1" applyFont="1" applyBorder="1">
      <alignment vertical="center"/>
    </xf>
    <xf numFmtId="14" fontId="35" fillId="0" borderId="25" xfId="0" applyNumberFormat="1" applyFont="1" applyBorder="1">
      <alignment vertical="center"/>
    </xf>
    <xf numFmtId="14" fontId="5" fillId="0" borderId="2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41" fontId="35" fillId="0" borderId="10" xfId="1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4" fontId="5" fillId="0" borderId="44" xfId="56" applyNumberFormat="1" applyFont="1" applyFill="1" applyBorder="1" applyAlignment="1">
      <alignment horizontal="center" vertical="center"/>
    </xf>
    <xf numFmtId="41" fontId="45" fillId="0" borderId="43" xfId="1" applyFont="1" applyFill="1" applyBorder="1" applyAlignment="1">
      <alignment vertical="center"/>
    </xf>
    <xf numFmtId="41" fontId="45" fillId="0" borderId="28" xfId="1" applyFont="1" applyFill="1" applyBorder="1" applyAlignment="1">
      <alignment vertical="center"/>
    </xf>
    <xf numFmtId="41" fontId="35" fillId="0" borderId="44" xfId="0" applyNumberFormat="1" applyFont="1" applyFill="1" applyBorder="1">
      <alignment vertical="center"/>
    </xf>
    <xf numFmtId="41" fontId="35" fillId="0" borderId="0" xfId="0" applyNumberFormat="1" applyFont="1" applyFill="1" applyBorder="1">
      <alignment vertical="center"/>
    </xf>
    <xf numFmtId="41" fontId="35" fillId="0" borderId="42" xfId="0" applyNumberFormat="1" applyFont="1" applyFill="1" applyBorder="1">
      <alignment vertical="center"/>
    </xf>
    <xf numFmtId="14" fontId="5" fillId="0" borderId="25" xfId="56" applyNumberFormat="1" applyFont="1" applyFill="1" applyBorder="1" applyAlignment="1">
      <alignment horizontal="center" vertical="center"/>
    </xf>
    <xf numFmtId="41" fontId="45" fillId="0" borderId="40" xfId="1" applyFont="1" applyFill="1" applyBorder="1" applyAlignment="1">
      <alignment vertical="center"/>
    </xf>
    <xf numFmtId="41" fontId="35" fillId="0" borderId="40" xfId="0" applyNumberFormat="1" applyFont="1" applyFill="1" applyBorder="1" applyAlignment="1">
      <alignment horizontal="center" vertical="center"/>
    </xf>
    <xf numFmtId="41" fontId="35" fillId="0" borderId="43" xfId="0" applyNumberFormat="1" applyFont="1" applyFill="1" applyBorder="1" applyAlignment="1">
      <alignment horizontal="center" vertical="center"/>
    </xf>
    <xf numFmtId="181" fontId="35" fillId="0" borderId="28" xfId="57" applyNumberFormat="1" applyFont="1" applyBorder="1" applyAlignment="1">
      <alignment horizontal="center" vertical="center"/>
    </xf>
    <xf numFmtId="9" fontId="35" fillId="0" borderId="0" xfId="57" applyFont="1" applyBorder="1" applyAlignment="1">
      <alignment horizontal="center" vertical="center"/>
    </xf>
    <xf numFmtId="14" fontId="35" fillId="0" borderId="40" xfId="0" applyNumberFormat="1" applyFont="1" applyBorder="1" applyAlignment="1">
      <alignment horizontal="center" vertical="center"/>
    </xf>
    <xf numFmtId="14" fontId="35" fillId="0" borderId="25" xfId="0" applyNumberFormat="1" applyFont="1" applyBorder="1" applyAlignment="1">
      <alignment horizontal="center" vertical="center"/>
    </xf>
    <xf numFmtId="0" fontId="35" fillId="28" borderId="40" xfId="0" applyFont="1" applyFill="1" applyBorder="1">
      <alignment vertical="center"/>
    </xf>
    <xf numFmtId="41" fontId="35" fillId="26" borderId="12" xfId="1" applyFont="1" applyFill="1" applyBorder="1">
      <alignment vertical="center"/>
    </xf>
    <xf numFmtId="41" fontId="43" fillId="0" borderId="1" xfId="1" applyFont="1" applyFill="1" applyBorder="1" applyAlignment="1">
      <alignment vertical="center"/>
    </xf>
    <xf numFmtId="41" fontId="43" fillId="0" borderId="52" xfId="1" applyFont="1" applyFill="1" applyBorder="1" applyAlignment="1">
      <alignment vertical="center"/>
    </xf>
    <xf numFmtId="41" fontId="43" fillId="0" borderId="9" xfId="1" applyFont="1" applyFill="1" applyBorder="1" applyAlignment="1">
      <alignment vertical="center"/>
    </xf>
    <xf numFmtId="14" fontId="5" fillId="26" borderId="9" xfId="56" applyNumberFormat="1" applyFont="1" applyFill="1" applyBorder="1" applyAlignment="1">
      <alignment horizontal="center" vertical="center"/>
    </xf>
    <xf numFmtId="14" fontId="5" fillId="26" borderId="9" xfId="0" applyNumberFormat="1" applyFont="1" applyFill="1" applyBorder="1" applyAlignment="1">
      <alignment horizontal="center" vertical="center"/>
    </xf>
    <xf numFmtId="0" fontId="35" fillId="0" borderId="25" xfId="0" applyFont="1" applyBorder="1">
      <alignment vertical="center"/>
    </xf>
    <xf numFmtId="14" fontId="35" fillId="0" borderId="9" xfId="0" applyNumberFormat="1" applyFont="1" applyBorder="1">
      <alignment vertical="center"/>
    </xf>
    <xf numFmtId="0" fontId="35" fillId="26" borderId="22" xfId="0" applyFont="1" applyFill="1" applyBorder="1">
      <alignment vertical="center"/>
    </xf>
    <xf numFmtId="41" fontId="35" fillId="26" borderId="9" xfId="1" applyFont="1" applyFill="1" applyBorder="1">
      <alignment vertical="center"/>
    </xf>
    <xf numFmtId="41" fontId="35" fillId="26" borderId="9" xfId="1" applyFont="1" applyFill="1" applyBorder="1" applyAlignment="1">
      <alignment horizontal="center" vertical="center"/>
    </xf>
    <xf numFmtId="41" fontId="35" fillId="26" borderId="9" xfId="0" applyNumberFormat="1" applyFont="1" applyFill="1" applyBorder="1">
      <alignment vertical="center"/>
    </xf>
    <xf numFmtId="0" fontId="35" fillId="0" borderId="21" xfId="0" applyFont="1" applyFill="1" applyBorder="1">
      <alignment vertical="center"/>
    </xf>
    <xf numFmtId="0" fontId="35" fillId="29" borderId="40" xfId="0" applyFont="1" applyFill="1" applyBorder="1">
      <alignment vertical="center"/>
    </xf>
    <xf numFmtId="0" fontId="35" fillId="29" borderId="43" xfId="0" applyFont="1" applyFill="1" applyBorder="1">
      <alignment vertical="center"/>
    </xf>
    <xf numFmtId="0" fontId="35" fillId="29" borderId="28" xfId="0" applyFont="1" applyFill="1" applyBorder="1">
      <alignment vertical="center"/>
    </xf>
    <xf numFmtId="0" fontId="35" fillId="29" borderId="25" xfId="0" applyFont="1" applyFill="1" applyBorder="1">
      <alignment vertical="center"/>
    </xf>
    <xf numFmtId="0" fontId="35" fillId="29" borderId="9" xfId="0" applyFont="1" applyFill="1" applyBorder="1">
      <alignment vertical="center"/>
    </xf>
    <xf numFmtId="41" fontId="35" fillId="0" borderId="25" xfId="1" applyFont="1" applyBorder="1" applyAlignment="1">
      <alignment horizontal="center" vertical="center"/>
    </xf>
    <xf numFmtId="41" fontId="35" fillId="0" borderId="44" xfId="1" applyFont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5" fillId="0" borderId="22" xfId="0" applyFont="1" applyFill="1" applyBorder="1">
      <alignment vertical="center"/>
    </xf>
    <xf numFmtId="41" fontId="35" fillId="26" borderId="40" xfId="1" applyFont="1" applyFill="1" applyBorder="1">
      <alignment vertical="center"/>
    </xf>
    <xf numFmtId="41" fontId="35" fillId="26" borderId="28" xfId="1" applyFont="1" applyFill="1" applyBorder="1">
      <alignment vertical="center"/>
    </xf>
    <xf numFmtId="14" fontId="35" fillId="0" borderId="12" xfId="0" applyNumberFormat="1" applyFont="1" applyBorder="1">
      <alignment vertical="center"/>
    </xf>
    <xf numFmtId="41" fontId="35" fillId="0" borderId="12" xfId="1" applyFont="1" applyBorder="1" applyAlignment="1">
      <alignment horizontal="center" vertical="center"/>
    </xf>
    <xf numFmtId="14" fontId="5" fillId="26" borderId="40" xfId="0" applyNumberFormat="1" applyFont="1" applyFill="1" applyBorder="1" applyAlignment="1">
      <alignment horizontal="center" vertical="center"/>
    </xf>
    <xf numFmtId="41" fontId="35" fillId="26" borderId="43" xfId="1" applyFont="1" applyFill="1" applyBorder="1">
      <alignment vertical="center"/>
    </xf>
    <xf numFmtId="41" fontId="45" fillId="26" borderId="40" xfId="1" applyFont="1" applyFill="1" applyBorder="1" applyAlignment="1">
      <alignment vertical="center"/>
    </xf>
    <xf numFmtId="14" fontId="5" fillId="26" borderId="43" xfId="0" applyNumberFormat="1" applyFont="1" applyFill="1" applyBorder="1" applyAlignment="1">
      <alignment horizontal="center" vertical="center"/>
    </xf>
    <xf numFmtId="41" fontId="45" fillId="26" borderId="43" xfId="1" applyFont="1" applyFill="1" applyBorder="1" applyAlignment="1">
      <alignment vertical="center"/>
    </xf>
    <xf numFmtId="14" fontId="5" fillId="26" borderId="28" xfId="0" applyNumberFormat="1" applyFont="1" applyFill="1" applyBorder="1" applyAlignment="1">
      <alignment horizontal="center" vertical="center"/>
    </xf>
    <xf numFmtId="41" fontId="45" fillId="26" borderId="28" xfId="1" applyFont="1" applyFill="1" applyBorder="1" applyAlignment="1">
      <alignment vertical="center"/>
    </xf>
    <xf numFmtId="41" fontId="35" fillId="30" borderId="0" xfId="1" applyFont="1" applyFill="1" applyBorder="1">
      <alignment vertical="center"/>
    </xf>
    <xf numFmtId="0" fontId="47" fillId="0" borderId="0" xfId="0" applyFo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7" fillId="0" borderId="0" xfId="0" applyFont="1" applyBorder="1">
      <alignment vertical="center"/>
    </xf>
    <xf numFmtId="0" fontId="45" fillId="26" borderId="12" xfId="0" applyFont="1" applyFill="1" applyBorder="1" applyAlignment="1">
      <alignment horizontal="center" vertical="center"/>
    </xf>
    <xf numFmtId="10" fontId="47" fillId="0" borderId="0" xfId="57" applyNumberFormat="1" applyFont="1">
      <alignment vertical="center"/>
    </xf>
    <xf numFmtId="0" fontId="47" fillId="0" borderId="0" xfId="0" applyFont="1" applyFill="1">
      <alignment vertical="center"/>
    </xf>
    <xf numFmtId="0" fontId="41" fillId="0" borderId="0" xfId="0" applyFont="1" applyFill="1">
      <alignment vertical="center"/>
    </xf>
    <xf numFmtId="41" fontId="35" fillId="26" borderId="0" xfId="1" applyFont="1" applyFill="1" applyBorder="1">
      <alignment vertical="center"/>
    </xf>
    <xf numFmtId="14" fontId="35" fillId="26" borderId="0" xfId="0" applyNumberFormat="1" applyFont="1" applyFill="1" applyBorder="1">
      <alignment vertical="center"/>
    </xf>
    <xf numFmtId="10" fontId="35" fillId="0" borderId="43" xfId="57" applyNumberFormat="1" applyFont="1" applyFill="1" applyBorder="1">
      <alignment vertical="center"/>
    </xf>
    <xf numFmtId="10" fontId="35" fillId="0" borderId="1" xfId="57" applyNumberFormat="1" applyFont="1" applyFill="1" applyBorder="1">
      <alignment vertical="center"/>
    </xf>
    <xf numFmtId="10" fontId="6" fillId="0" borderId="0" xfId="57" applyNumberFormat="1" applyFont="1" applyFill="1" applyAlignment="1">
      <alignment vertical="center"/>
    </xf>
    <xf numFmtId="10" fontId="6" fillId="0" borderId="0" xfId="57" applyNumberFormat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vertical="center"/>
    </xf>
    <xf numFmtId="14" fontId="5" fillId="0" borderId="0" xfId="1" applyNumberFormat="1" applyFont="1" applyFill="1" applyAlignment="1">
      <alignment vertical="center"/>
    </xf>
    <xf numFmtId="41" fontId="35" fillId="0" borderId="9" xfId="1" applyFont="1" applyBorder="1">
      <alignment vertical="center"/>
    </xf>
    <xf numFmtId="41" fontId="35" fillId="0" borderId="12" xfId="1" applyFont="1" applyBorder="1">
      <alignment vertical="center"/>
    </xf>
    <xf numFmtId="14" fontId="38" fillId="0" borderId="0" xfId="0" applyNumberFormat="1" applyFont="1">
      <alignment vertical="center"/>
    </xf>
    <xf numFmtId="0" fontId="38" fillId="0" borderId="0" xfId="0" applyFont="1" applyAlignment="1">
      <alignment horizontal="center" vertical="center"/>
    </xf>
    <xf numFmtId="41" fontId="38" fillId="0" borderId="0" xfId="1" applyFont="1" applyAlignment="1">
      <alignment horizontal="center" vertical="center"/>
    </xf>
    <xf numFmtId="14" fontId="38" fillId="0" borderId="1" xfId="0" applyNumberFormat="1" applyFont="1" applyBorder="1">
      <alignment vertical="center"/>
    </xf>
    <xf numFmtId="14" fontId="38" fillId="31" borderId="1" xfId="0" applyNumberFormat="1" applyFont="1" applyFill="1" applyBorder="1" applyAlignment="1">
      <alignment horizontal="center" vertical="center"/>
    </xf>
    <xf numFmtId="41" fontId="38" fillId="31" borderId="1" xfId="1" applyFont="1" applyFill="1" applyBorder="1" applyAlignment="1">
      <alignment horizontal="center" vertical="center"/>
    </xf>
    <xf numFmtId="0" fontId="38" fillId="31" borderId="1" xfId="0" applyFont="1" applyFill="1" applyBorder="1" applyAlignment="1">
      <alignment horizontal="center" vertical="center"/>
    </xf>
    <xf numFmtId="14" fontId="38" fillId="0" borderId="1" xfId="1" applyNumberFormat="1" applyFont="1" applyBorder="1" applyAlignment="1">
      <alignment horizontal="center" vertical="center"/>
    </xf>
    <xf numFmtId="10" fontId="35" fillId="0" borderId="40" xfId="0" applyNumberFormat="1" applyFont="1" applyBorder="1">
      <alignment vertical="center"/>
    </xf>
    <xf numFmtId="0" fontId="35" fillId="0" borderId="20" xfId="0" applyFont="1" applyFill="1" applyBorder="1">
      <alignment vertical="center"/>
    </xf>
    <xf numFmtId="0" fontId="35" fillId="0" borderId="54" xfId="0" applyFont="1" applyFill="1" applyBorder="1">
      <alignment vertical="center"/>
    </xf>
    <xf numFmtId="184" fontId="35" fillId="0" borderId="0" xfId="0" applyNumberFormat="1" applyFont="1" applyFill="1" applyBorder="1">
      <alignment vertical="center"/>
    </xf>
    <xf numFmtId="14" fontId="5" fillId="0" borderId="9" xfId="0" applyNumberFormat="1" applyFont="1" applyFill="1" applyBorder="1" applyAlignment="1">
      <alignment horizontal="center" vertical="center"/>
    </xf>
    <xf numFmtId="14" fontId="5" fillId="0" borderId="40" xfId="0" applyNumberFormat="1" applyFont="1" applyFill="1" applyBorder="1" applyAlignment="1">
      <alignment horizontal="center" vertical="center"/>
    </xf>
    <xf numFmtId="14" fontId="5" fillId="0" borderId="28" xfId="0" applyNumberFormat="1" applyFont="1" applyFill="1" applyBorder="1" applyAlignment="1">
      <alignment horizontal="center" vertical="center"/>
    </xf>
    <xf numFmtId="41" fontId="35" fillId="0" borderId="1" xfId="1" applyFont="1" applyBorder="1">
      <alignment vertical="center"/>
    </xf>
    <xf numFmtId="0" fontId="35" fillId="0" borderId="0" xfId="0" applyFont="1" applyFill="1" applyBorder="1">
      <alignment vertical="center"/>
    </xf>
    <xf numFmtId="0" fontId="35" fillId="0" borderId="1" xfId="0" applyFont="1" applyFill="1" applyBorder="1">
      <alignment vertical="center"/>
    </xf>
    <xf numFmtId="41" fontId="35" fillId="0" borderId="40" xfId="1" applyFont="1" applyFill="1" applyBorder="1">
      <alignment vertical="center"/>
    </xf>
    <xf numFmtId="41" fontId="35" fillId="0" borderId="0" xfId="1" applyFont="1" applyFill="1" applyBorder="1">
      <alignment vertical="center"/>
    </xf>
    <xf numFmtId="41" fontId="35" fillId="0" borderId="40" xfId="1" applyFont="1" applyFill="1" applyBorder="1" applyAlignment="1">
      <alignment horizontal="center" vertical="center"/>
    </xf>
    <xf numFmtId="41" fontId="35" fillId="0" borderId="28" xfId="1" applyFont="1" applyFill="1" applyBorder="1" applyAlignment="1">
      <alignment horizontal="center" vertical="center"/>
    </xf>
    <xf numFmtId="41" fontId="35" fillId="0" borderId="28" xfId="1" applyFont="1" applyFill="1" applyBorder="1">
      <alignment vertical="center"/>
    </xf>
    <xf numFmtId="0" fontId="35" fillId="26" borderId="0" xfId="0" applyFont="1" applyFill="1" applyBorder="1">
      <alignment vertical="center"/>
    </xf>
    <xf numFmtId="14" fontId="5" fillId="0" borderId="43" xfId="1" applyNumberFormat="1" applyFont="1" applyFill="1" applyBorder="1" applyAlignment="1">
      <alignment horizontal="center" vertical="center"/>
    </xf>
    <xf numFmtId="41" fontId="5" fillId="0" borderId="43" xfId="1" applyFont="1" applyFill="1" applyBorder="1" applyAlignment="1">
      <alignment horizontal="center" vertical="center"/>
    </xf>
    <xf numFmtId="41" fontId="5" fillId="0" borderId="28" xfId="1" applyFont="1" applyFill="1" applyBorder="1">
      <alignment vertical="center"/>
    </xf>
    <xf numFmtId="14" fontId="35" fillId="0" borderId="1" xfId="0" applyNumberFormat="1" applyFont="1" applyBorder="1" applyAlignment="1">
      <alignment horizontal="center" vertical="center"/>
    </xf>
    <xf numFmtId="14" fontId="35" fillId="0" borderId="43" xfId="0" applyNumberFormat="1" applyFont="1" applyBorder="1" applyAlignment="1">
      <alignment horizontal="center" vertical="center"/>
    </xf>
    <xf numFmtId="14" fontId="5" fillId="0" borderId="28" xfId="1" applyNumberFormat="1" applyFont="1" applyFill="1" applyBorder="1" applyAlignment="1">
      <alignment horizontal="center" vertical="center"/>
    </xf>
    <xf numFmtId="41" fontId="5" fillId="0" borderId="28" xfId="1" applyFont="1" applyFill="1" applyBorder="1" applyAlignment="1">
      <alignment horizontal="center" vertical="center"/>
    </xf>
    <xf numFmtId="14" fontId="35" fillId="0" borderId="9" xfId="0" applyNumberFormat="1" applyFont="1" applyFill="1" applyBorder="1" applyAlignment="1">
      <alignment horizontal="center" vertical="center"/>
    </xf>
    <xf numFmtId="14" fontId="35" fillId="0" borderId="0" xfId="0" applyNumberFormat="1" applyFont="1" applyBorder="1">
      <alignment vertical="center"/>
    </xf>
    <xf numFmtId="41" fontId="35" fillId="0" borderId="0" xfId="0" applyNumberFormat="1" applyFont="1" applyBorder="1">
      <alignment vertical="center"/>
    </xf>
    <xf numFmtId="14" fontId="35" fillId="0" borderId="44" xfId="0" applyNumberFormat="1" applyFont="1" applyBorder="1" applyAlignment="1">
      <alignment horizontal="center" vertical="center"/>
    </xf>
    <xf numFmtId="14" fontId="5" fillId="0" borderId="43" xfId="0" applyNumberFormat="1" applyFont="1" applyFill="1" applyBorder="1" applyAlignment="1">
      <alignment horizontal="center" vertical="center"/>
    </xf>
    <xf numFmtId="14" fontId="35" fillId="0" borderId="40" xfId="0" applyNumberFormat="1" applyFont="1" applyFill="1" applyBorder="1" applyAlignment="1">
      <alignment horizontal="center" vertical="center"/>
    </xf>
    <xf numFmtId="41" fontId="35" fillId="0" borderId="40" xfId="1" applyFont="1" applyFill="1" applyBorder="1" applyAlignment="1">
      <alignment vertical="center"/>
    </xf>
    <xf numFmtId="14" fontId="35" fillId="0" borderId="43" xfId="0" applyNumberFormat="1" applyFont="1" applyFill="1" applyBorder="1" applyAlignment="1">
      <alignment horizontal="center" vertical="center"/>
    </xf>
    <xf numFmtId="41" fontId="35" fillId="0" borderId="43" xfId="1" applyFont="1" applyFill="1" applyBorder="1" applyAlignment="1">
      <alignment vertical="center"/>
    </xf>
    <xf numFmtId="14" fontId="35" fillId="0" borderId="28" xfId="0" applyNumberFormat="1" applyFont="1" applyFill="1" applyBorder="1" applyAlignment="1">
      <alignment horizontal="center" vertical="center"/>
    </xf>
    <xf numFmtId="41" fontId="35" fillId="0" borderId="28" xfId="1" applyFont="1" applyFill="1" applyBorder="1" applyAlignment="1">
      <alignment vertical="center"/>
    </xf>
    <xf numFmtId="41" fontId="35" fillId="0" borderId="40" xfId="1" applyFont="1" applyBorder="1">
      <alignment vertical="center"/>
    </xf>
    <xf numFmtId="41" fontId="35" fillId="0" borderId="43" xfId="1" applyFont="1" applyBorder="1">
      <alignment vertical="center"/>
    </xf>
    <xf numFmtId="41" fontId="35" fillId="0" borderId="28" xfId="1" applyFont="1" applyBorder="1">
      <alignment vertical="center"/>
    </xf>
    <xf numFmtId="41" fontId="35" fillId="0" borderId="10" xfId="1" applyFont="1" applyBorder="1">
      <alignment vertical="center"/>
    </xf>
    <xf numFmtId="14" fontId="35" fillId="0" borderId="40" xfId="0" applyNumberFormat="1" applyFont="1" applyBorder="1">
      <alignment vertical="center"/>
    </xf>
    <xf numFmtId="41" fontId="35" fillId="0" borderId="0" xfId="1" applyFont="1" applyBorder="1">
      <alignment vertical="center"/>
    </xf>
    <xf numFmtId="14" fontId="35" fillId="0" borderId="1" xfId="0" applyNumberFormat="1" applyFont="1" applyFill="1" applyBorder="1">
      <alignment vertical="center"/>
    </xf>
    <xf numFmtId="41" fontId="35" fillId="0" borderId="1" xfId="1" applyFont="1" applyFill="1" applyBorder="1">
      <alignment vertical="center"/>
    </xf>
    <xf numFmtId="14" fontId="35" fillId="0" borderId="40" xfId="0" applyNumberFormat="1" applyFont="1" applyFill="1" applyBorder="1">
      <alignment vertical="center"/>
    </xf>
    <xf numFmtId="14" fontId="35" fillId="0" borderId="43" xfId="0" applyNumberFormat="1" applyFont="1" applyBorder="1">
      <alignment vertical="center"/>
    </xf>
    <xf numFmtId="41" fontId="35" fillId="0" borderId="9" xfId="1" applyFont="1" applyFill="1" applyBorder="1">
      <alignment vertical="center"/>
    </xf>
    <xf numFmtId="14" fontId="35" fillId="0" borderId="9" xfId="0" applyNumberFormat="1" applyFont="1" applyFill="1" applyBorder="1">
      <alignment vertical="center"/>
    </xf>
    <xf numFmtId="14" fontId="35" fillId="0" borderId="25" xfId="0" applyNumberFormat="1" applyFont="1" applyFill="1" applyBorder="1">
      <alignment vertical="center"/>
    </xf>
    <xf numFmtId="41" fontId="35" fillId="0" borderId="25" xfId="1" applyFont="1" applyFill="1" applyBorder="1">
      <alignment vertical="center"/>
    </xf>
    <xf numFmtId="41" fontId="35" fillId="0" borderId="44" xfId="1" applyFont="1" applyFill="1" applyBorder="1">
      <alignment vertical="center"/>
    </xf>
    <xf numFmtId="0" fontId="35" fillId="0" borderId="0" xfId="0" applyFont="1" applyFill="1" applyBorder="1" applyAlignment="1">
      <alignment horizontal="center" vertical="center"/>
    </xf>
    <xf numFmtId="41" fontId="35" fillId="0" borderId="43" xfId="1" applyFont="1" applyFill="1" applyBorder="1" applyAlignment="1">
      <alignment horizontal="center" vertical="center"/>
    </xf>
    <xf numFmtId="14" fontId="35" fillId="0" borderId="28" xfId="0" applyNumberFormat="1" applyFont="1" applyFill="1" applyBorder="1">
      <alignment vertical="center"/>
    </xf>
    <xf numFmtId="14" fontId="35" fillId="0" borderId="43" xfId="0" applyNumberFormat="1" applyFont="1" applyFill="1" applyBorder="1">
      <alignment vertical="center"/>
    </xf>
    <xf numFmtId="0" fontId="35" fillId="0" borderId="9" xfId="0" applyFont="1" applyFill="1" applyBorder="1">
      <alignment vertical="center"/>
    </xf>
    <xf numFmtId="0" fontId="35" fillId="0" borderId="43" xfId="0" applyFont="1" applyFill="1" applyBorder="1">
      <alignment vertical="center"/>
    </xf>
    <xf numFmtId="0" fontId="35" fillId="0" borderId="28" xfId="0" applyFont="1" applyFill="1" applyBorder="1">
      <alignment vertical="center"/>
    </xf>
    <xf numFmtId="0" fontId="35" fillId="0" borderId="40" xfId="0" applyFont="1" applyFill="1" applyBorder="1">
      <alignment vertical="center"/>
    </xf>
    <xf numFmtId="41" fontId="35" fillId="0" borderId="43" xfId="1" applyFont="1" applyFill="1" applyBorder="1">
      <alignment vertical="center"/>
    </xf>
    <xf numFmtId="14" fontId="5" fillId="0" borderId="25" xfId="0" applyNumberFormat="1" applyFont="1" applyFill="1" applyBorder="1" applyAlignment="1">
      <alignment horizontal="center" vertical="center"/>
    </xf>
    <xf numFmtId="14" fontId="35" fillId="0" borderId="10" xfId="0" applyNumberFormat="1" applyFont="1" applyBorder="1">
      <alignment vertical="center"/>
    </xf>
    <xf numFmtId="14" fontId="35" fillId="0" borderId="10" xfId="0" applyNumberFormat="1" applyFont="1" applyFill="1" applyBorder="1">
      <alignment vertical="center"/>
    </xf>
    <xf numFmtId="14" fontId="35" fillId="0" borderId="44" xfId="0" applyNumberFormat="1" applyFont="1" applyBorder="1">
      <alignment vertical="center"/>
    </xf>
    <xf numFmtId="41" fontId="35" fillId="0" borderId="44" xfId="1" applyFont="1" applyBorder="1">
      <alignment vertical="center"/>
    </xf>
    <xf numFmtId="14" fontId="5" fillId="0" borderId="44" xfId="0" applyNumberFormat="1" applyFont="1" applyFill="1" applyBorder="1" applyAlignment="1">
      <alignment horizontal="center" vertical="center"/>
    </xf>
    <xf numFmtId="0" fontId="35" fillId="0" borderId="44" xfId="0" applyFont="1" applyFill="1" applyBorder="1">
      <alignment vertical="center"/>
    </xf>
    <xf numFmtId="10" fontId="35" fillId="0" borderId="0" xfId="57" applyNumberFormat="1" applyFont="1" applyBorder="1">
      <alignment vertical="center"/>
    </xf>
    <xf numFmtId="41" fontId="5" fillId="0" borderId="43" xfId="1" applyFont="1" applyFill="1" applyBorder="1">
      <alignment vertical="center"/>
    </xf>
    <xf numFmtId="14" fontId="35" fillId="0" borderId="28" xfId="0" applyNumberFormat="1" applyFont="1" applyBorder="1" applyAlignment="1">
      <alignment horizontal="center" vertical="center"/>
    </xf>
    <xf numFmtId="14" fontId="35" fillId="0" borderId="44" xfId="0" applyNumberFormat="1" applyFont="1" applyFill="1" applyBorder="1">
      <alignment vertical="center"/>
    </xf>
    <xf numFmtId="41" fontId="35" fillId="0" borderId="10" xfId="1" applyFont="1" applyFill="1" applyBorder="1">
      <alignment vertical="center"/>
    </xf>
    <xf numFmtId="14" fontId="35" fillId="0" borderId="43" xfId="0" applyNumberFormat="1" applyFont="1" applyBorder="1" applyAlignment="1">
      <alignment vertical="center"/>
    </xf>
    <xf numFmtId="184" fontId="35" fillId="0" borderId="9" xfId="1" applyNumberFormat="1" applyFont="1" applyFill="1" applyBorder="1">
      <alignment vertical="center"/>
    </xf>
    <xf numFmtId="14" fontId="35" fillId="0" borderId="25" xfId="0" applyNumberFormat="1" applyFont="1" applyFill="1" applyBorder="1" applyAlignment="1">
      <alignment vertical="center"/>
    </xf>
    <xf numFmtId="14" fontId="35" fillId="0" borderId="25" xfId="0" applyNumberFormat="1" applyFont="1" applyFill="1" applyBorder="1" applyAlignment="1">
      <alignment horizontal="center" vertical="center"/>
    </xf>
    <xf numFmtId="14" fontId="35" fillId="0" borderId="53" xfId="0" applyNumberFormat="1" applyFont="1" applyFill="1" applyBorder="1" applyAlignment="1">
      <alignment horizontal="center" vertical="center"/>
    </xf>
    <xf numFmtId="14" fontId="35" fillId="0" borderId="51" xfId="0" applyNumberFormat="1" applyFont="1" applyFill="1" applyBorder="1" applyAlignment="1">
      <alignment horizontal="center" vertical="center"/>
    </xf>
    <xf numFmtId="14" fontId="35" fillId="0" borderId="50" xfId="0" applyNumberFormat="1" applyFont="1" applyFill="1" applyBorder="1" applyAlignment="1">
      <alignment horizontal="center" vertical="center"/>
    </xf>
    <xf numFmtId="10" fontId="35" fillId="0" borderId="0" xfId="57" applyNumberFormat="1" applyFont="1" applyFill="1" applyBorder="1">
      <alignment vertical="center"/>
    </xf>
    <xf numFmtId="14" fontId="35" fillId="0" borderId="22" xfId="0" applyNumberFormat="1" applyFont="1" applyFill="1" applyBorder="1">
      <alignment vertical="center"/>
    </xf>
    <xf numFmtId="10" fontId="35" fillId="0" borderId="0" xfId="57" applyNumberFormat="1" applyFont="1" applyFill="1" applyBorder="1" applyAlignment="1">
      <alignment horizontal="center" vertical="center"/>
    </xf>
    <xf numFmtId="10" fontId="35" fillId="26" borderId="0" xfId="57" applyNumberFormat="1" applyFont="1" applyFill="1" applyBorder="1">
      <alignment vertical="center"/>
    </xf>
    <xf numFmtId="14" fontId="35" fillId="0" borderId="0" xfId="0" applyNumberFormat="1" applyFont="1" applyFill="1" applyBorder="1">
      <alignment vertical="center"/>
    </xf>
    <xf numFmtId="10" fontId="41" fillId="0" borderId="0" xfId="57" applyNumberFormat="1" applyFont="1">
      <alignment vertical="center"/>
    </xf>
    <xf numFmtId="14" fontId="41" fillId="0" borderId="0" xfId="0" applyNumberFormat="1" applyFont="1">
      <alignment vertical="center"/>
    </xf>
    <xf numFmtId="41" fontId="41" fillId="0" borderId="0" xfId="0" applyNumberFormat="1" applyFont="1">
      <alignment vertical="center"/>
    </xf>
    <xf numFmtId="0" fontId="45" fillId="0" borderId="40" xfId="0" applyFont="1" applyFill="1" applyBorder="1">
      <alignment vertical="center"/>
    </xf>
    <xf numFmtId="0" fontId="45" fillId="0" borderId="43" xfId="0" applyFont="1" applyFill="1" applyBorder="1">
      <alignment vertical="center"/>
    </xf>
    <xf numFmtId="41" fontId="45" fillId="0" borderId="28" xfId="1" applyFont="1" applyFill="1" applyBorder="1">
      <alignment vertical="center"/>
    </xf>
    <xf numFmtId="0" fontId="45" fillId="0" borderId="28" xfId="0" applyFont="1" applyFill="1" applyBorder="1">
      <alignment vertical="center"/>
    </xf>
    <xf numFmtId="0" fontId="35" fillId="29" borderId="10" xfId="0" applyFont="1" applyFill="1" applyBorder="1" applyAlignment="1">
      <alignment horizontal="center" vertical="center"/>
    </xf>
    <xf numFmtId="14" fontId="35" fillId="0" borderId="44" xfId="1" applyNumberFormat="1" applyFont="1" applyFill="1" applyBorder="1" applyAlignment="1">
      <alignment horizontal="center" vertical="center"/>
    </xf>
    <xf numFmtId="41" fontId="35" fillId="0" borderId="45" xfId="1" applyFont="1" applyFill="1" applyBorder="1" applyAlignment="1">
      <alignment vertical="center"/>
    </xf>
    <xf numFmtId="41" fontId="35" fillId="0" borderId="44" xfId="0" applyNumberFormat="1" applyFont="1" applyBorder="1">
      <alignment vertical="center"/>
    </xf>
    <xf numFmtId="0" fontId="35" fillId="29" borderId="12" xfId="0" applyFont="1" applyFill="1" applyBorder="1" applyAlignment="1">
      <alignment horizontal="center" vertical="center"/>
    </xf>
    <xf numFmtId="184" fontId="35" fillId="0" borderId="40" xfId="1" applyNumberFormat="1" applyFont="1" applyFill="1" applyBorder="1">
      <alignment vertical="center"/>
    </xf>
    <xf numFmtId="184" fontId="35" fillId="0" borderId="28" xfId="1" applyNumberFormat="1" applyFont="1" applyFill="1" applyBorder="1">
      <alignment vertical="center"/>
    </xf>
    <xf numFmtId="41" fontId="35" fillId="0" borderId="45" xfId="1" applyFont="1" applyBorder="1">
      <alignment vertical="center"/>
    </xf>
    <xf numFmtId="0" fontId="35" fillId="0" borderId="45" xfId="0" applyFont="1" applyFill="1" applyBorder="1">
      <alignment vertical="center"/>
    </xf>
    <xf numFmtId="0" fontId="35" fillId="0" borderId="30" xfId="0" applyFont="1" applyFill="1" applyBorder="1">
      <alignment vertical="center"/>
    </xf>
    <xf numFmtId="184" fontId="35" fillId="0" borderId="44" xfId="1" applyNumberFormat="1" applyFont="1" applyFill="1" applyBorder="1">
      <alignment vertical="center"/>
    </xf>
    <xf numFmtId="41" fontId="35" fillId="0" borderId="1" xfId="0" applyNumberFormat="1" applyFont="1" applyFill="1" applyBorder="1" applyAlignment="1">
      <alignment horizontal="center" vertical="center"/>
    </xf>
    <xf numFmtId="41" fontId="35" fillId="0" borderId="1" xfId="1" applyNumberFormat="1" applyFont="1" applyBorder="1" applyAlignment="1">
      <alignment horizontal="center" vertical="center"/>
    </xf>
    <xf numFmtId="43" fontId="35" fillId="0" borderId="28" xfId="1" applyNumberFormat="1" applyFont="1" applyBorder="1">
      <alignment vertical="center"/>
    </xf>
    <xf numFmtId="14" fontId="35" fillId="26" borderId="1" xfId="0" applyNumberFormat="1" applyFont="1" applyFill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/>
    </xf>
    <xf numFmtId="41" fontId="35" fillId="0" borderId="28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" fontId="50" fillId="0" borderId="0" xfId="0" applyNumberFormat="1" applyFont="1" applyBorder="1" applyAlignment="1">
      <alignment horizontal="right" vertical="center" wrapText="1" readingOrder="1"/>
    </xf>
    <xf numFmtId="3" fontId="25" fillId="0" borderId="0" xfId="0" applyNumberFormat="1" applyFont="1" applyBorder="1" applyAlignment="1">
      <alignment horizontal="right" vertical="center" wrapText="1" readingOrder="1"/>
    </xf>
    <xf numFmtId="3" fontId="51" fillId="0" borderId="0" xfId="0" applyNumberFormat="1" applyFont="1" applyBorder="1" applyAlignment="1">
      <alignment horizontal="righ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3" fontId="50" fillId="0" borderId="0" xfId="0" applyNumberFormat="1" applyFont="1" applyFill="1" applyBorder="1" applyAlignment="1">
      <alignment horizontal="right" vertical="center" wrapText="1" readingOrder="1"/>
    </xf>
    <xf numFmtId="3" fontId="51" fillId="0" borderId="0" xfId="0" applyNumberFormat="1" applyFont="1" applyFill="1" applyBorder="1" applyAlignment="1">
      <alignment horizontal="right" vertical="center" wrapText="1" readingOrder="1"/>
    </xf>
    <xf numFmtId="0" fontId="0" fillId="0" borderId="0" xfId="0" applyFill="1" applyBorder="1">
      <alignment vertical="center"/>
    </xf>
    <xf numFmtId="3" fontId="0" fillId="0" borderId="0" xfId="0" applyNumberFormat="1" applyBorder="1">
      <alignment vertical="center"/>
    </xf>
    <xf numFmtId="3" fontId="52" fillId="0" borderId="0" xfId="0" applyNumberFormat="1" applyFont="1" applyBorder="1" applyAlignment="1">
      <alignment horizontal="right" vertical="center" wrapText="1" readingOrder="1"/>
    </xf>
    <xf numFmtId="0" fontId="52" fillId="0" borderId="0" xfId="0" applyFont="1" applyBorder="1" applyAlignment="1">
      <alignment horizontal="right" vertical="center" wrapText="1" readingOrder="1"/>
    </xf>
    <xf numFmtId="43" fontId="35" fillId="0" borderId="43" xfId="1" applyNumberFormat="1" applyFont="1" applyBorder="1">
      <alignment vertical="center"/>
    </xf>
    <xf numFmtId="3" fontId="50" fillId="0" borderId="55" xfId="0" applyNumberFormat="1" applyFont="1" applyBorder="1" applyAlignment="1">
      <alignment horizontal="right" vertical="center" wrapText="1" readingOrder="1"/>
    </xf>
    <xf numFmtId="3" fontId="38" fillId="0" borderId="0" xfId="0" applyNumberFormat="1" applyFont="1">
      <alignment vertical="center"/>
    </xf>
    <xf numFmtId="43" fontId="35" fillId="0" borderId="40" xfId="1" applyNumberFormat="1" applyFont="1" applyBorder="1">
      <alignment vertical="center"/>
    </xf>
    <xf numFmtId="14" fontId="5" fillId="0" borderId="12" xfId="0" applyNumberFormat="1" applyFont="1" applyFill="1" applyBorder="1" applyAlignment="1">
      <alignment horizontal="center" vertical="center"/>
    </xf>
    <xf numFmtId="0" fontId="35" fillId="0" borderId="49" xfId="0" applyFont="1" applyFill="1" applyBorder="1">
      <alignment vertical="center"/>
    </xf>
    <xf numFmtId="14" fontId="5" fillId="0" borderId="12" xfId="0" applyNumberFormat="1" applyFont="1" applyFill="1" applyBorder="1">
      <alignment vertical="center"/>
    </xf>
    <xf numFmtId="41" fontId="5" fillId="0" borderId="12" xfId="1" applyFont="1" applyFill="1" applyBorder="1">
      <alignment vertical="center"/>
    </xf>
    <xf numFmtId="14" fontId="5" fillId="0" borderId="9" xfId="0" applyNumberFormat="1" applyFont="1" applyFill="1" applyBorder="1">
      <alignment vertical="center"/>
    </xf>
    <xf numFmtId="41" fontId="5" fillId="0" borderId="9" xfId="1" applyFont="1" applyFill="1" applyBorder="1">
      <alignment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43" xfId="1" applyNumberFormat="1" applyFont="1" applyFill="1" applyBorder="1" applyAlignment="1">
      <alignment horizontal="center" vertical="center"/>
    </xf>
    <xf numFmtId="41" fontId="35" fillId="0" borderId="54" xfId="1" applyFont="1" applyFill="1" applyBorder="1" applyAlignment="1">
      <alignment vertical="center"/>
    </xf>
    <xf numFmtId="14" fontId="35" fillId="0" borderId="10" xfId="0" applyNumberFormat="1" applyFont="1" applyFill="1" applyBorder="1" applyAlignment="1">
      <alignment horizontal="center" vertical="center"/>
    </xf>
    <xf numFmtId="14" fontId="35" fillId="0" borderId="28" xfId="1" applyNumberFormat="1" applyFont="1" applyFill="1" applyBorder="1" applyAlignment="1">
      <alignment horizontal="center" vertical="center"/>
    </xf>
    <xf numFmtId="41" fontId="35" fillId="0" borderId="30" xfId="1" applyFont="1" applyFill="1" applyBorder="1" applyAlignment="1">
      <alignment vertical="center"/>
    </xf>
    <xf numFmtId="0" fontId="35" fillId="29" borderId="25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41" fontId="35" fillId="0" borderId="25" xfId="1" applyFont="1" applyFill="1" applyBorder="1" applyAlignment="1">
      <alignment horizontal="center" vertical="center"/>
    </xf>
    <xf numFmtId="41" fontId="35" fillId="0" borderId="44" xfId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41" fontId="37" fillId="0" borderId="25" xfId="1" applyFont="1" applyFill="1" applyBorder="1">
      <alignment vertical="center"/>
    </xf>
    <xf numFmtId="14" fontId="35" fillId="0" borderId="10" xfId="0" applyNumberFormat="1" applyFont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41" fontId="35" fillId="0" borderId="25" xfId="1" applyFont="1" applyFill="1" applyBorder="1" applyAlignment="1">
      <alignment horizontal="center" vertical="center"/>
    </xf>
    <xf numFmtId="41" fontId="35" fillId="0" borderId="9" xfId="1" applyFont="1" applyFill="1" applyBorder="1" applyAlignment="1">
      <alignment horizontal="center" vertical="center"/>
    </xf>
    <xf numFmtId="41" fontId="35" fillId="0" borderId="44" xfId="1" applyFont="1" applyFill="1" applyBorder="1" applyAlignment="1">
      <alignment horizontal="center" vertical="center"/>
    </xf>
    <xf numFmtId="41" fontId="35" fillId="0" borderId="54" xfId="0" applyNumberFormat="1" applyFont="1" applyFill="1" applyBorder="1">
      <alignment vertical="center"/>
    </xf>
    <xf numFmtId="41" fontId="35" fillId="0" borderId="25" xfId="1" applyFont="1" applyFill="1" applyBorder="1" applyAlignment="1">
      <alignment horizontal="center" vertical="center"/>
    </xf>
    <xf numFmtId="41" fontId="35" fillId="0" borderId="9" xfId="1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1" fontId="35" fillId="0" borderId="44" xfId="1" applyFont="1" applyFill="1" applyBorder="1" applyAlignment="1">
      <alignment horizontal="center" vertical="center"/>
    </xf>
    <xf numFmtId="41" fontId="5" fillId="0" borderId="25" xfId="1" applyFont="1" applyFill="1" applyBorder="1">
      <alignment vertical="center"/>
    </xf>
    <xf numFmtId="0" fontId="47" fillId="0" borderId="10" xfId="0" applyFont="1" applyBorder="1">
      <alignment vertical="center"/>
    </xf>
    <xf numFmtId="0" fontId="47" fillId="0" borderId="10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41" fontId="35" fillId="0" borderId="48" xfId="1" applyFont="1" applyBorder="1" applyAlignment="1">
      <alignment horizontal="center" vertical="center"/>
    </xf>
    <xf numFmtId="41" fontId="35" fillId="0" borderId="25" xfId="0" applyNumberFormat="1" applyFont="1" applyFill="1" applyBorder="1">
      <alignment vertical="center"/>
    </xf>
    <xf numFmtId="0" fontId="35" fillId="0" borderId="51" xfId="0" applyFont="1" applyFill="1" applyBorder="1">
      <alignment vertical="center"/>
    </xf>
    <xf numFmtId="41" fontId="35" fillId="0" borderId="9" xfId="0" applyNumberFormat="1" applyFont="1" applyFill="1" applyBorder="1">
      <alignment vertical="center"/>
    </xf>
    <xf numFmtId="0" fontId="35" fillId="32" borderId="10" xfId="0" applyFont="1" applyFill="1" applyBorder="1">
      <alignment vertical="center"/>
    </xf>
    <xf numFmtId="0" fontId="35" fillId="32" borderId="21" xfId="0" applyFont="1" applyFill="1" applyBorder="1">
      <alignment vertical="center"/>
    </xf>
    <xf numFmtId="0" fontId="41" fillId="32" borderId="0" xfId="0" applyFont="1" applyFill="1">
      <alignment vertical="center"/>
    </xf>
    <xf numFmtId="0" fontId="35" fillId="32" borderId="0" xfId="0" applyFont="1" applyFill="1" applyBorder="1">
      <alignment vertical="center"/>
    </xf>
    <xf numFmtId="14" fontId="35" fillId="32" borderId="44" xfId="0" applyNumberFormat="1" applyFont="1" applyFill="1" applyBorder="1">
      <alignment vertical="center"/>
    </xf>
    <xf numFmtId="41" fontId="35" fillId="32" borderId="44" xfId="1" applyFont="1" applyFill="1" applyBorder="1">
      <alignment vertical="center"/>
    </xf>
    <xf numFmtId="10" fontId="35" fillId="32" borderId="0" xfId="57" applyNumberFormat="1" applyFont="1" applyFill="1" applyBorder="1">
      <alignment vertical="center"/>
    </xf>
    <xf numFmtId="41" fontId="35" fillId="33" borderId="9" xfId="1" applyFont="1" applyFill="1" applyBorder="1" applyAlignment="1">
      <alignment horizontal="center" vertical="center"/>
    </xf>
    <xf numFmtId="41" fontId="41" fillId="0" borderId="0" xfId="0" applyNumberFormat="1" applyFont="1" applyFill="1">
      <alignment vertical="center"/>
    </xf>
    <xf numFmtId="0" fontId="35" fillId="33" borderId="12" xfId="0" applyFont="1" applyFill="1" applyBorder="1">
      <alignment vertical="center"/>
    </xf>
    <xf numFmtId="0" fontId="35" fillId="33" borderId="9" xfId="0" applyFont="1" applyFill="1" applyBorder="1">
      <alignment vertical="center"/>
    </xf>
    <xf numFmtId="14" fontId="35" fillId="33" borderId="9" xfId="0" applyNumberFormat="1" applyFont="1" applyFill="1" applyBorder="1">
      <alignment vertical="center"/>
    </xf>
    <xf numFmtId="41" fontId="35" fillId="33" borderId="9" xfId="1" applyFont="1" applyFill="1" applyBorder="1">
      <alignment vertical="center"/>
    </xf>
    <xf numFmtId="10" fontId="35" fillId="33" borderId="9" xfId="0" applyNumberFormat="1" applyFont="1" applyFill="1" applyBorder="1">
      <alignment vertical="center"/>
    </xf>
    <xf numFmtId="0" fontId="35" fillId="33" borderId="0" xfId="0" applyFont="1" applyFill="1" applyBorder="1">
      <alignment vertical="center"/>
    </xf>
    <xf numFmtId="10" fontId="35" fillId="33" borderId="0" xfId="57" applyNumberFormat="1" applyFont="1" applyFill="1" applyBorder="1">
      <alignment vertical="center"/>
    </xf>
    <xf numFmtId="14" fontId="35" fillId="33" borderId="0" xfId="0" applyNumberFormat="1" applyFont="1" applyFill="1" applyBorder="1">
      <alignment vertical="center"/>
    </xf>
    <xf numFmtId="41" fontId="35" fillId="33" borderId="0" xfId="0" applyNumberFormat="1" applyFont="1" applyFill="1" applyBorder="1">
      <alignment vertical="center"/>
    </xf>
    <xf numFmtId="0" fontId="35" fillId="33" borderId="10" xfId="0" applyFont="1" applyFill="1" applyBorder="1">
      <alignment vertical="center"/>
    </xf>
    <xf numFmtId="0" fontId="35" fillId="33" borderId="28" xfId="0" applyFont="1" applyFill="1" applyBorder="1">
      <alignment vertical="center"/>
    </xf>
    <xf numFmtId="14" fontId="35" fillId="33" borderId="28" xfId="0" applyNumberFormat="1" applyFont="1" applyFill="1" applyBorder="1">
      <alignment vertical="center"/>
    </xf>
    <xf numFmtId="41" fontId="35" fillId="33" borderId="28" xfId="1" applyFont="1" applyFill="1" applyBorder="1">
      <alignment vertical="center"/>
    </xf>
    <xf numFmtId="41" fontId="35" fillId="33" borderId="28" xfId="1" applyFont="1" applyFill="1" applyBorder="1" applyAlignment="1">
      <alignment horizontal="center" vertical="center"/>
    </xf>
    <xf numFmtId="0" fontId="47" fillId="33" borderId="0" xfId="0" applyFont="1" applyFill="1">
      <alignment vertical="center"/>
    </xf>
    <xf numFmtId="14" fontId="35" fillId="33" borderId="43" xfId="0" applyNumberFormat="1" applyFont="1" applyFill="1" applyBorder="1">
      <alignment vertical="center"/>
    </xf>
    <xf numFmtId="41" fontId="35" fillId="33" borderId="43" xfId="1" applyFont="1" applyFill="1" applyBorder="1">
      <alignment vertical="center"/>
    </xf>
    <xf numFmtId="0" fontId="35" fillId="33" borderId="1" xfId="0" applyFont="1" applyFill="1" applyBorder="1">
      <alignment vertical="center"/>
    </xf>
    <xf numFmtId="14" fontId="35" fillId="33" borderId="1" xfId="0" applyNumberFormat="1" applyFont="1" applyFill="1" applyBorder="1">
      <alignment vertical="center"/>
    </xf>
    <xf numFmtId="41" fontId="35" fillId="33" borderId="1" xfId="1" applyFont="1" applyFill="1" applyBorder="1">
      <alignment vertical="center"/>
    </xf>
    <xf numFmtId="41" fontId="35" fillId="33" borderId="1" xfId="1" applyFont="1" applyFill="1" applyBorder="1" applyAlignment="1">
      <alignment horizontal="center" vertical="center"/>
    </xf>
    <xf numFmtId="0" fontId="35" fillId="33" borderId="43" xfId="0" applyFont="1" applyFill="1" applyBorder="1">
      <alignment vertical="center"/>
    </xf>
    <xf numFmtId="14" fontId="35" fillId="33" borderId="10" xfId="0" applyNumberFormat="1" applyFont="1" applyFill="1" applyBorder="1">
      <alignment vertical="center"/>
    </xf>
    <xf numFmtId="41" fontId="35" fillId="33" borderId="10" xfId="1" applyFont="1" applyFill="1" applyBorder="1">
      <alignment vertical="center"/>
    </xf>
    <xf numFmtId="41" fontId="35" fillId="33" borderId="10" xfId="1" applyFont="1" applyFill="1" applyBorder="1" applyAlignment="1">
      <alignment horizontal="center" vertical="center"/>
    </xf>
    <xf numFmtId="14" fontId="35" fillId="33" borderId="28" xfId="0" applyNumberFormat="1" applyFont="1" applyFill="1" applyBorder="1" applyAlignment="1">
      <alignment horizontal="center" vertical="center"/>
    </xf>
    <xf numFmtId="14" fontId="35" fillId="33" borderId="10" xfId="0" applyNumberFormat="1" applyFont="1" applyFill="1" applyBorder="1" applyAlignment="1">
      <alignment horizontal="center" vertical="center"/>
    </xf>
    <xf numFmtId="41" fontId="35" fillId="30" borderId="25" xfId="1" applyFont="1" applyFill="1" applyBorder="1" applyAlignment="1">
      <alignment horizontal="center" vertical="center"/>
    </xf>
    <xf numFmtId="41" fontId="35" fillId="30" borderId="28" xfId="1" applyFont="1" applyFill="1" applyBorder="1" applyAlignment="1">
      <alignment horizontal="center" vertical="center"/>
    </xf>
    <xf numFmtId="14" fontId="35" fillId="0" borderId="50" xfId="0" applyNumberFormat="1" applyFont="1" applyBorder="1">
      <alignment vertical="center"/>
    </xf>
    <xf numFmtId="41" fontId="35" fillId="0" borderId="50" xfId="1" applyFont="1" applyBorder="1">
      <alignment vertical="center"/>
    </xf>
    <xf numFmtId="14" fontId="35" fillId="0" borderId="21" xfId="0" applyNumberFormat="1" applyFont="1" applyBorder="1">
      <alignment vertical="center"/>
    </xf>
    <xf numFmtId="14" fontId="35" fillId="0" borderId="23" xfId="0" applyNumberFormat="1" applyFont="1" applyBorder="1">
      <alignment vertical="center"/>
    </xf>
    <xf numFmtId="41" fontId="35" fillId="0" borderId="23" xfId="1" applyFont="1" applyBorder="1">
      <alignment vertical="center"/>
    </xf>
    <xf numFmtId="184" fontId="35" fillId="33" borderId="43" xfId="1" applyNumberFormat="1" applyFont="1" applyFill="1" applyBorder="1">
      <alignment vertical="center"/>
    </xf>
    <xf numFmtId="41" fontId="35" fillId="33" borderId="43" xfId="1" applyFont="1" applyFill="1" applyBorder="1" applyAlignment="1">
      <alignment horizontal="center" vertical="center"/>
    </xf>
    <xf numFmtId="0" fontId="35" fillId="33" borderId="22" xfId="0" applyFont="1" applyFill="1" applyBorder="1">
      <alignment vertical="center"/>
    </xf>
    <xf numFmtId="184" fontId="35" fillId="33" borderId="9" xfId="1" applyNumberFormat="1" applyFont="1" applyFill="1" applyBorder="1">
      <alignment vertical="center"/>
    </xf>
    <xf numFmtId="41" fontId="35" fillId="0" borderId="51" xfId="1" applyFont="1" applyFill="1" applyBorder="1">
      <alignment vertical="center"/>
    </xf>
    <xf numFmtId="0" fontId="35" fillId="0" borderId="53" xfId="0" applyFont="1" applyFill="1" applyBorder="1">
      <alignment vertical="center"/>
    </xf>
    <xf numFmtId="41" fontId="35" fillId="0" borderId="53" xfId="1" applyFont="1" applyFill="1" applyBorder="1">
      <alignment vertical="center"/>
    </xf>
    <xf numFmtId="41" fontId="35" fillId="30" borderId="9" xfId="0" applyNumberFormat="1" applyFont="1" applyFill="1" applyBorder="1">
      <alignment vertical="center"/>
    </xf>
    <xf numFmtId="0" fontId="35" fillId="33" borderId="21" xfId="0" applyFont="1" applyFill="1" applyBorder="1">
      <alignment vertical="center"/>
    </xf>
    <xf numFmtId="41" fontId="35" fillId="33" borderId="40" xfId="1" applyFont="1" applyFill="1" applyBorder="1">
      <alignment vertical="center"/>
    </xf>
    <xf numFmtId="41" fontId="35" fillId="33" borderId="0" xfId="1" applyFont="1" applyFill="1" applyBorder="1">
      <alignment vertical="center"/>
    </xf>
    <xf numFmtId="0" fontId="35" fillId="33" borderId="25" xfId="0" applyFont="1" applyFill="1" applyBorder="1">
      <alignment vertical="center"/>
    </xf>
    <xf numFmtId="14" fontId="35" fillId="33" borderId="25" xfId="0" applyNumberFormat="1" applyFont="1" applyFill="1" applyBorder="1">
      <alignment vertical="center"/>
    </xf>
    <xf numFmtId="41" fontId="35" fillId="33" borderId="25" xfId="1" applyFont="1" applyFill="1" applyBorder="1">
      <alignment vertical="center"/>
    </xf>
    <xf numFmtId="41" fontId="35" fillId="33" borderId="25" xfId="1" applyFont="1" applyFill="1" applyBorder="1" applyAlignment="1">
      <alignment horizontal="center" vertical="center"/>
    </xf>
    <xf numFmtId="0" fontId="35" fillId="0" borderId="56" xfId="0" applyFont="1" applyFill="1" applyBorder="1">
      <alignment vertical="center"/>
    </xf>
    <xf numFmtId="0" fontId="35" fillId="0" borderId="57" xfId="0" applyFont="1" applyFill="1" applyBorder="1">
      <alignment vertical="center"/>
    </xf>
    <xf numFmtId="0" fontId="35" fillId="0" borderId="58" xfId="0" applyFont="1" applyFill="1" applyBorder="1">
      <alignment vertical="center"/>
    </xf>
    <xf numFmtId="0" fontId="35" fillId="0" borderId="59" xfId="0" applyFont="1" applyFill="1" applyBorder="1">
      <alignment vertical="center"/>
    </xf>
    <xf numFmtId="0" fontId="35" fillId="0" borderId="60" xfId="0" applyFont="1" applyFill="1" applyBorder="1">
      <alignment vertical="center"/>
    </xf>
    <xf numFmtId="0" fontId="35" fillId="0" borderId="61" xfId="0" applyFont="1" applyFill="1" applyBorder="1">
      <alignment vertical="center"/>
    </xf>
    <xf numFmtId="41" fontId="35" fillId="0" borderId="50" xfId="1" applyFont="1" applyFill="1" applyBorder="1">
      <alignment vertical="center"/>
    </xf>
    <xf numFmtId="0" fontId="35" fillId="0" borderId="62" xfId="0" applyFont="1" applyFill="1" applyBorder="1">
      <alignment vertical="center"/>
    </xf>
    <xf numFmtId="0" fontId="35" fillId="0" borderId="63" xfId="0" applyFont="1" applyFill="1" applyBorder="1">
      <alignment vertical="center"/>
    </xf>
    <xf numFmtId="0" fontId="35" fillId="0" borderId="64" xfId="0" applyFont="1" applyFill="1" applyBorder="1">
      <alignment vertical="center"/>
    </xf>
    <xf numFmtId="0" fontId="35" fillId="33" borderId="44" xfId="0" applyFont="1" applyFill="1" applyBorder="1">
      <alignment vertical="center"/>
    </xf>
    <xf numFmtId="14" fontId="35" fillId="33" borderId="44" xfId="0" applyNumberFormat="1" applyFont="1" applyFill="1" applyBorder="1">
      <alignment vertical="center"/>
    </xf>
    <xf numFmtId="41" fontId="35" fillId="33" borderId="44" xfId="1" applyFont="1" applyFill="1" applyBorder="1">
      <alignment vertical="center"/>
    </xf>
    <xf numFmtId="41" fontId="35" fillId="33" borderId="44" xfId="1" applyFont="1" applyFill="1" applyBorder="1" applyAlignment="1">
      <alignment horizontal="center" vertical="center"/>
    </xf>
    <xf numFmtId="41" fontId="35" fillId="33" borderId="53" xfId="1" applyFont="1" applyFill="1" applyBorder="1">
      <alignment vertical="center"/>
    </xf>
    <xf numFmtId="0" fontId="35" fillId="33" borderId="40" xfId="0" applyFont="1" applyFill="1" applyBorder="1">
      <alignment vertical="center"/>
    </xf>
    <xf numFmtId="41" fontId="35" fillId="0" borderId="48" xfId="1" applyFont="1" applyFill="1" applyBorder="1">
      <alignment vertical="center"/>
    </xf>
    <xf numFmtId="0" fontId="35" fillId="0" borderId="42" xfId="0" applyFont="1" applyFill="1" applyBorder="1">
      <alignment vertical="center"/>
    </xf>
    <xf numFmtId="0" fontId="35" fillId="0" borderId="48" xfId="0" applyFont="1" applyFill="1" applyBorder="1">
      <alignment vertical="center"/>
    </xf>
    <xf numFmtId="0" fontId="35" fillId="0" borderId="3" xfId="0" applyFont="1" applyFill="1" applyBorder="1">
      <alignment vertical="center"/>
    </xf>
    <xf numFmtId="14" fontId="35" fillId="0" borderId="57" xfId="0" applyNumberFormat="1" applyFont="1" applyFill="1" applyBorder="1">
      <alignment vertical="center"/>
    </xf>
    <xf numFmtId="41" fontId="35" fillId="0" borderId="57" xfId="1" applyFont="1" applyFill="1" applyBorder="1">
      <alignment vertical="center"/>
    </xf>
    <xf numFmtId="41" fontId="35" fillId="0" borderId="57" xfId="1" applyFont="1" applyFill="1" applyBorder="1" applyAlignment="1">
      <alignment horizontal="center" vertical="center"/>
    </xf>
    <xf numFmtId="41" fontId="35" fillId="0" borderId="65" xfId="0" applyNumberFormat="1" applyFont="1" applyFill="1" applyBorder="1">
      <alignment vertical="center"/>
    </xf>
    <xf numFmtId="14" fontId="35" fillId="0" borderId="60" xfId="0" applyNumberFormat="1" applyFont="1" applyFill="1" applyBorder="1">
      <alignment vertical="center"/>
    </xf>
    <xf numFmtId="41" fontId="35" fillId="0" borderId="60" xfId="1" applyFont="1" applyFill="1" applyBorder="1">
      <alignment vertical="center"/>
    </xf>
    <xf numFmtId="41" fontId="35" fillId="0" borderId="60" xfId="1" applyFont="1" applyFill="1" applyBorder="1" applyAlignment="1">
      <alignment horizontal="center" vertical="center"/>
    </xf>
    <xf numFmtId="41" fontId="35" fillId="0" borderId="66" xfId="0" applyNumberFormat="1" applyFont="1" applyFill="1" applyBorder="1">
      <alignment vertical="center"/>
    </xf>
    <xf numFmtId="0" fontId="35" fillId="0" borderId="67" xfId="0" applyFont="1" applyFill="1" applyBorder="1">
      <alignment vertical="center"/>
    </xf>
    <xf numFmtId="0" fontId="35" fillId="0" borderId="68" xfId="0" applyFont="1" applyFill="1" applyBorder="1">
      <alignment vertical="center"/>
    </xf>
    <xf numFmtId="41" fontId="35" fillId="0" borderId="49" xfId="1" applyFont="1" applyFill="1" applyBorder="1">
      <alignment vertical="center"/>
    </xf>
    <xf numFmtId="0" fontId="35" fillId="0" borderId="69" xfId="0" applyFont="1" applyFill="1" applyBorder="1">
      <alignment vertical="center"/>
    </xf>
    <xf numFmtId="0" fontId="35" fillId="0" borderId="70" xfId="0" applyFont="1" applyFill="1" applyBorder="1">
      <alignment vertical="center"/>
    </xf>
    <xf numFmtId="0" fontId="35" fillId="0" borderId="63" xfId="0" applyFont="1" applyBorder="1">
      <alignment vertical="center"/>
    </xf>
    <xf numFmtId="0" fontId="35" fillId="26" borderId="63" xfId="0" applyFont="1" applyFill="1" applyBorder="1">
      <alignment vertical="center"/>
    </xf>
    <xf numFmtId="14" fontId="5" fillId="26" borderId="71" xfId="56" applyNumberFormat="1" applyFont="1" applyFill="1" applyBorder="1" applyAlignment="1">
      <alignment horizontal="center" vertical="center"/>
    </xf>
    <xf numFmtId="41" fontId="35" fillId="26" borderId="71" xfId="1" applyFont="1" applyFill="1" applyBorder="1">
      <alignment vertical="center"/>
    </xf>
    <xf numFmtId="41" fontId="35" fillId="26" borderId="71" xfId="1" applyFont="1" applyFill="1" applyBorder="1" applyAlignment="1">
      <alignment horizontal="center" vertical="center"/>
    </xf>
    <xf numFmtId="14" fontId="5" fillId="26" borderId="71" xfId="0" applyNumberFormat="1" applyFont="1" applyFill="1" applyBorder="1" applyAlignment="1">
      <alignment horizontal="center" vertical="center"/>
    </xf>
    <xf numFmtId="41" fontId="35" fillId="26" borderId="63" xfId="1" applyFont="1" applyFill="1" applyBorder="1">
      <alignment vertical="center"/>
    </xf>
    <xf numFmtId="41" fontId="35" fillId="26" borderId="72" xfId="1" applyFont="1" applyFill="1" applyBorder="1">
      <alignment vertical="center"/>
    </xf>
    <xf numFmtId="0" fontId="35" fillId="0" borderId="73" xfId="0" applyFont="1" applyFill="1" applyBorder="1">
      <alignment vertical="center"/>
    </xf>
    <xf numFmtId="0" fontId="35" fillId="0" borderId="67" xfId="0" applyFont="1" applyBorder="1">
      <alignment vertical="center"/>
    </xf>
    <xf numFmtId="0" fontId="35" fillId="26" borderId="67" xfId="0" applyFont="1" applyFill="1" applyBorder="1">
      <alignment vertical="center"/>
    </xf>
    <xf numFmtId="14" fontId="5" fillId="26" borderId="69" xfId="56" applyNumberFormat="1" applyFont="1" applyFill="1" applyBorder="1" applyAlignment="1">
      <alignment horizontal="center" vertical="center"/>
    </xf>
    <xf numFmtId="41" fontId="35" fillId="26" borderId="69" xfId="1" applyFont="1" applyFill="1" applyBorder="1">
      <alignment vertical="center"/>
    </xf>
    <xf numFmtId="41" fontId="35" fillId="26" borderId="69" xfId="1" applyFont="1" applyFill="1" applyBorder="1" applyAlignment="1">
      <alignment horizontal="center" vertical="center"/>
    </xf>
    <xf numFmtId="14" fontId="5" fillId="26" borderId="69" xfId="0" applyNumberFormat="1" applyFont="1" applyFill="1" applyBorder="1" applyAlignment="1">
      <alignment horizontal="center" vertical="center"/>
    </xf>
    <xf numFmtId="41" fontId="35" fillId="26" borderId="67" xfId="1" applyFont="1" applyFill="1" applyBorder="1">
      <alignment vertical="center"/>
    </xf>
    <xf numFmtId="41" fontId="35" fillId="26" borderId="74" xfId="1" applyFont="1" applyFill="1" applyBorder="1">
      <alignment vertical="center"/>
    </xf>
    <xf numFmtId="0" fontId="35" fillId="34" borderId="56" xfId="0" applyFont="1" applyFill="1" applyBorder="1">
      <alignment vertical="center"/>
    </xf>
    <xf numFmtId="0" fontId="35" fillId="34" borderId="57" xfId="0" applyFont="1" applyFill="1" applyBorder="1">
      <alignment vertical="center"/>
    </xf>
    <xf numFmtId="0" fontId="35" fillId="34" borderId="58" xfId="0" applyFont="1" applyFill="1" applyBorder="1">
      <alignment vertical="center"/>
    </xf>
    <xf numFmtId="0" fontId="35" fillId="34" borderId="40" xfId="0" applyFont="1" applyFill="1" applyBorder="1">
      <alignment vertical="center"/>
    </xf>
    <xf numFmtId="0" fontId="35" fillId="34" borderId="51" xfId="0" applyFont="1" applyFill="1" applyBorder="1">
      <alignment vertical="center"/>
    </xf>
    <xf numFmtId="14" fontId="5" fillId="34" borderId="40" xfId="56" applyNumberFormat="1" applyFont="1" applyFill="1" applyBorder="1" applyAlignment="1">
      <alignment horizontal="center" vertical="center"/>
    </xf>
    <xf numFmtId="41" fontId="35" fillId="34" borderId="40" xfId="1" applyFont="1" applyFill="1" applyBorder="1">
      <alignment vertical="center"/>
    </xf>
    <xf numFmtId="41" fontId="35" fillId="34" borderId="40" xfId="1" applyFont="1" applyFill="1" applyBorder="1" applyAlignment="1">
      <alignment horizontal="center" vertical="center"/>
    </xf>
    <xf numFmtId="14" fontId="5" fillId="34" borderId="40" xfId="0" applyNumberFormat="1" applyFont="1" applyFill="1" applyBorder="1" applyAlignment="1">
      <alignment horizontal="center" vertical="center"/>
    </xf>
    <xf numFmtId="41" fontId="35" fillId="34" borderId="51" xfId="1" applyFont="1" applyFill="1" applyBorder="1">
      <alignment vertical="center"/>
    </xf>
    <xf numFmtId="0" fontId="35" fillId="34" borderId="69" xfId="0" applyFont="1" applyFill="1" applyBorder="1">
      <alignment vertical="center"/>
    </xf>
    <xf numFmtId="0" fontId="35" fillId="34" borderId="70" xfId="0" applyFont="1" applyFill="1" applyBorder="1">
      <alignment vertical="center"/>
    </xf>
    <xf numFmtId="0" fontId="35" fillId="34" borderId="10" xfId="0" applyFont="1" applyFill="1" applyBorder="1">
      <alignment vertical="center"/>
    </xf>
    <xf numFmtId="0" fontId="35" fillId="34" borderId="0" xfId="0" applyFont="1" applyFill="1" applyBorder="1">
      <alignment vertical="center"/>
    </xf>
    <xf numFmtId="14" fontId="5" fillId="34" borderId="9" xfId="56" applyNumberFormat="1" applyFont="1" applyFill="1" applyBorder="1" applyAlignment="1">
      <alignment horizontal="center" vertical="center"/>
    </xf>
    <xf numFmtId="41" fontId="35" fillId="34" borderId="9" xfId="1" applyFont="1" applyFill="1" applyBorder="1">
      <alignment vertical="center"/>
    </xf>
    <xf numFmtId="41" fontId="35" fillId="34" borderId="9" xfId="1" applyFont="1" applyFill="1" applyBorder="1" applyAlignment="1">
      <alignment horizontal="center" vertical="center"/>
    </xf>
    <xf numFmtId="14" fontId="5" fillId="34" borderId="9" xfId="0" applyNumberFormat="1" applyFont="1" applyFill="1" applyBorder="1" applyAlignment="1">
      <alignment horizontal="center" vertical="center"/>
    </xf>
    <xf numFmtId="41" fontId="35" fillId="34" borderId="0" xfId="1" applyFont="1" applyFill="1" applyBorder="1">
      <alignment vertical="center"/>
    </xf>
    <xf numFmtId="0" fontId="47" fillId="0" borderId="10" xfId="0" applyFont="1" applyFill="1" applyBorder="1">
      <alignment vertical="center"/>
    </xf>
    <xf numFmtId="41" fontId="35" fillId="0" borderId="10" xfId="1" applyFont="1" applyBorder="1" applyAlignment="1">
      <alignment horizontal="center" vertical="center"/>
    </xf>
    <xf numFmtId="181" fontId="35" fillId="0" borderId="10" xfId="57" applyNumberFormat="1" applyFont="1" applyBorder="1">
      <alignment vertical="center"/>
    </xf>
    <xf numFmtId="9" fontId="35" fillId="0" borderId="10" xfId="57" applyFont="1" applyBorder="1" applyAlignment="1">
      <alignment horizontal="center" vertical="center"/>
    </xf>
    <xf numFmtId="14" fontId="5" fillId="25" borderId="10" xfId="0" applyNumberFormat="1" applyFont="1" applyFill="1" applyBorder="1" applyAlignment="1">
      <alignment horizontal="center" vertical="center"/>
    </xf>
    <xf numFmtId="0" fontId="35" fillId="0" borderId="51" xfId="0" applyFont="1" applyBorder="1">
      <alignment vertical="center"/>
    </xf>
    <xf numFmtId="181" fontId="35" fillId="0" borderId="10" xfId="57" applyNumberFormat="1" applyFont="1" applyBorder="1" applyAlignment="1">
      <alignment horizontal="center" vertical="center"/>
    </xf>
    <xf numFmtId="41" fontId="43" fillId="0" borderId="10" xfId="1" applyFont="1" applyBorder="1" applyAlignment="1">
      <alignment horizontal="center" vertical="center"/>
    </xf>
    <xf numFmtId="0" fontId="43" fillId="0" borderId="10" xfId="0" applyFont="1" applyBorder="1">
      <alignment vertical="center"/>
    </xf>
    <xf numFmtId="41" fontId="43" fillId="0" borderId="10" xfId="1" applyFont="1" applyBorder="1">
      <alignment vertical="center"/>
    </xf>
    <xf numFmtId="41" fontId="43" fillId="0" borderId="12" xfId="1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5" fillId="0" borderId="75" xfId="0" applyFont="1" applyFill="1" applyBorder="1">
      <alignment vertical="center"/>
    </xf>
    <xf numFmtId="0" fontId="35" fillId="0" borderId="50" xfId="0" applyFont="1" applyBorder="1">
      <alignment vertical="center"/>
    </xf>
    <xf numFmtId="10" fontId="35" fillId="0" borderId="10" xfId="57" applyNumberFormat="1" applyFont="1" applyBorder="1">
      <alignment vertical="center"/>
    </xf>
    <xf numFmtId="14" fontId="5" fillId="0" borderId="53" xfId="0" applyNumberFormat="1" applyFont="1" applyFill="1" applyBorder="1" applyAlignment="1">
      <alignment horizontal="center" vertical="center"/>
    </xf>
    <xf numFmtId="182" fontId="35" fillId="0" borderId="10" xfId="57" applyNumberFormat="1" applyFont="1" applyBorder="1" applyAlignment="1">
      <alignment horizontal="center" vertical="center"/>
    </xf>
    <xf numFmtId="14" fontId="5" fillId="0" borderId="75" xfId="0" applyNumberFormat="1" applyFont="1" applyFill="1" applyBorder="1" applyAlignment="1">
      <alignment horizontal="center" vertical="center"/>
    </xf>
    <xf numFmtId="14" fontId="5" fillId="0" borderId="50" xfId="0" applyNumberFormat="1" applyFont="1" applyFill="1" applyBorder="1" applyAlignment="1">
      <alignment horizontal="center" vertical="center"/>
    </xf>
    <xf numFmtId="0" fontId="35" fillId="0" borderId="48" xfId="0" applyFont="1" applyBorder="1">
      <alignment vertical="center"/>
    </xf>
    <xf numFmtId="14" fontId="35" fillId="0" borderId="23" xfId="0" applyNumberFormat="1" applyFont="1" applyFill="1" applyBorder="1" applyAlignment="1">
      <alignment horizontal="center" vertical="center"/>
    </xf>
    <xf numFmtId="41" fontId="35" fillId="0" borderId="23" xfId="1" applyFont="1" applyFill="1" applyBorder="1">
      <alignment vertical="center"/>
    </xf>
    <xf numFmtId="41" fontId="35" fillId="0" borderId="23" xfId="1" applyFont="1" applyFill="1" applyBorder="1" applyAlignment="1">
      <alignment horizontal="center" vertical="center"/>
    </xf>
    <xf numFmtId="14" fontId="35" fillId="0" borderId="23" xfId="0" applyNumberFormat="1" applyFont="1" applyFill="1" applyBorder="1">
      <alignment vertical="center"/>
    </xf>
    <xf numFmtId="41" fontId="35" fillId="0" borderId="22" xfId="0" applyNumberFormat="1" applyFont="1" applyFill="1" applyBorder="1">
      <alignment vertical="center"/>
    </xf>
    <xf numFmtId="0" fontId="35" fillId="0" borderId="4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43" fontId="35" fillId="0" borderId="25" xfId="1" applyNumberFormat="1" applyFont="1" applyFill="1" applyBorder="1" applyAlignment="1">
      <alignment horizontal="center" vertical="center"/>
    </xf>
    <xf numFmtId="43" fontId="35" fillId="0" borderId="9" xfId="1" applyNumberFormat="1" applyFont="1" applyFill="1" applyBorder="1" applyAlignment="1">
      <alignment horizontal="center" vertical="center"/>
    </xf>
    <xf numFmtId="41" fontId="35" fillId="0" borderId="25" xfId="1" applyFont="1" applyFill="1" applyBorder="1" applyAlignment="1">
      <alignment horizontal="center" vertical="center"/>
    </xf>
    <xf numFmtId="41" fontId="35" fillId="0" borderId="9" xfId="1" applyFont="1" applyFill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5" fillId="0" borderId="48" xfId="1" applyFont="1" applyFill="1" applyBorder="1" applyAlignment="1">
      <alignment horizontal="center" vertical="center"/>
    </xf>
    <xf numFmtId="41" fontId="5" fillId="0" borderId="3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/>
    </xf>
    <xf numFmtId="41" fontId="5" fillId="0" borderId="10" xfId="1" applyFont="1" applyFill="1" applyBorder="1" applyAlignment="1">
      <alignment horizontal="center" vertical="center"/>
    </xf>
    <xf numFmtId="41" fontId="5" fillId="0" borderId="9" xfId="1" applyFont="1" applyFill="1" applyBorder="1" applyAlignment="1">
      <alignment horizontal="center" vertical="center"/>
    </xf>
    <xf numFmtId="41" fontId="5" fillId="0" borderId="12" xfId="1" applyFont="1" applyFill="1" applyBorder="1" applyAlignment="1">
      <alignment horizontal="center" vertical="center" shrinkToFit="1"/>
    </xf>
    <xf numFmtId="41" fontId="5" fillId="0" borderId="10" xfId="1" applyFont="1" applyFill="1" applyBorder="1" applyAlignment="1">
      <alignment horizontal="center" vertical="center" shrinkToFit="1"/>
    </xf>
    <xf numFmtId="41" fontId="5" fillId="0" borderId="9" xfId="1" applyFont="1" applyFill="1" applyBorder="1" applyAlignment="1">
      <alignment horizontal="center" vertical="center" shrinkToFit="1"/>
    </xf>
    <xf numFmtId="41" fontId="5" fillId="0" borderId="1" xfId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41" fontId="5" fillId="26" borderId="12" xfId="1" applyFont="1" applyFill="1" applyBorder="1" applyAlignment="1">
      <alignment horizontal="center" vertical="center" shrinkToFit="1"/>
    </xf>
    <xf numFmtId="41" fontId="5" fillId="26" borderId="12" xfId="1" applyFont="1" applyFill="1" applyBorder="1" applyAlignment="1">
      <alignment horizontal="left" vertical="center" shrinkToFit="1"/>
    </xf>
    <xf numFmtId="14" fontId="5" fillId="26" borderId="12" xfId="1" applyNumberFormat="1" applyFont="1" applyFill="1" applyBorder="1" applyAlignment="1">
      <alignment horizontal="center" vertical="center" shrinkToFit="1"/>
    </xf>
    <xf numFmtId="176" fontId="5" fillId="26" borderId="12" xfId="1" applyNumberFormat="1" applyFont="1" applyFill="1" applyBorder="1" applyAlignment="1">
      <alignment vertical="center"/>
    </xf>
    <xf numFmtId="41" fontId="5" fillId="26" borderId="0" xfId="1" applyFont="1" applyFill="1" applyAlignment="1">
      <alignment vertical="center"/>
    </xf>
    <xf numFmtId="10" fontId="5" fillId="26" borderId="0" xfId="57" applyNumberFormat="1" applyFont="1" applyFill="1" applyAlignment="1">
      <alignment vertical="center"/>
    </xf>
    <xf numFmtId="41" fontId="5" fillId="26" borderId="10" xfId="1" applyFont="1" applyFill="1" applyBorder="1" applyAlignment="1">
      <alignment horizontal="left" vertical="center" shrinkToFit="1"/>
    </xf>
    <xf numFmtId="14" fontId="5" fillId="26" borderId="10" xfId="1" applyNumberFormat="1" applyFont="1" applyFill="1" applyBorder="1" applyAlignment="1">
      <alignment horizontal="center" vertical="center" shrinkToFit="1"/>
    </xf>
    <xf numFmtId="176" fontId="5" fillId="26" borderId="10" xfId="1" applyNumberFormat="1" applyFont="1" applyFill="1" applyBorder="1" applyAlignment="1">
      <alignment vertical="center"/>
    </xf>
    <xf numFmtId="10" fontId="5" fillId="26" borderId="0" xfId="57" applyNumberFormat="1" applyFont="1" applyFill="1" applyBorder="1" applyAlignment="1">
      <alignment vertical="center"/>
    </xf>
    <xf numFmtId="41" fontId="5" fillId="26" borderId="0" xfId="1" applyFont="1" applyFill="1" applyBorder="1" applyAlignment="1">
      <alignment vertical="center"/>
    </xf>
    <xf numFmtId="41" fontId="5" fillId="26" borderId="9" xfId="1" applyFont="1" applyFill="1" applyBorder="1" applyAlignment="1">
      <alignment horizontal="left" vertical="center" shrinkToFit="1"/>
    </xf>
    <xf numFmtId="14" fontId="5" fillId="26" borderId="9" xfId="1" applyNumberFormat="1" applyFont="1" applyFill="1" applyBorder="1" applyAlignment="1">
      <alignment horizontal="center" vertical="center" shrinkToFit="1"/>
    </xf>
    <xf numFmtId="176" fontId="5" fillId="26" borderId="9" xfId="1" applyNumberFormat="1" applyFont="1" applyFill="1" applyBorder="1" applyAlignment="1">
      <alignment vertical="center"/>
    </xf>
  </cellXfs>
  <cellStyles count="3983">
    <cellStyle name="20% - 강조색1 10" xfId="2629"/>
    <cellStyle name="20% - 강조색1 11" xfId="2782"/>
    <cellStyle name="20% - 강조색1 12" xfId="2883"/>
    <cellStyle name="20% - 강조색1 13" xfId="2551"/>
    <cellStyle name="20% - 강조색1 14" xfId="2772"/>
    <cellStyle name="20% - 강조색1 15" xfId="1830"/>
    <cellStyle name="20% - 강조색1 16" xfId="2666"/>
    <cellStyle name="20% - 강조색1 17" xfId="1735"/>
    <cellStyle name="20% - 강조색1 18" xfId="2676"/>
    <cellStyle name="20% - 강조색1 19" xfId="2745"/>
    <cellStyle name="20% - 강조색1 2" xfId="3"/>
    <cellStyle name="20% - 강조색1 2 10" xfId="1878"/>
    <cellStyle name="20% - 강조색1 2 11" xfId="1800"/>
    <cellStyle name="20% - 강조색1 2 12" xfId="1723"/>
    <cellStyle name="20% - 강조색1 2 13" xfId="1642"/>
    <cellStyle name="20% - 강조색1 2 14" xfId="1560"/>
    <cellStyle name="20% - 강조색1 2 15" xfId="1478"/>
    <cellStyle name="20% - 강조색1 2 16" xfId="1396"/>
    <cellStyle name="20% - 강조색1 2 17" xfId="1314"/>
    <cellStyle name="20% - 강조색1 2 18" xfId="1232"/>
    <cellStyle name="20% - 강조색1 2 19" xfId="1153"/>
    <cellStyle name="20% - 강조색1 2 2" xfId="3010"/>
    <cellStyle name="20% - 강조색1 2 20" xfId="1074"/>
    <cellStyle name="20% - 강조색1 2 21" xfId="995"/>
    <cellStyle name="20% - 강조색1 2 22" xfId="916"/>
    <cellStyle name="20% - 강조색1 2 23" xfId="837"/>
    <cellStyle name="20% - 강조색1 2 24" xfId="758"/>
    <cellStyle name="20% - 강조색1 2 25" xfId="679"/>
    <cellStyle name="20% - 강조색1 2 26" xfId="600"/>
    <cellStyle name="20% - 강조색1 2 27" xfId="521"/>
    <cellStyle name="20% - 강조색1 2 28" xfId="442"/>
    <cellStyle name="20% - 강조색1 2 29" xfId="363"/>
    <cellStyle name="20% - 강조색1 2 3" xfId="2454"/>
    <cellStyle name="20% - 강조색1 2 30" xfId="284"/>
    <cellStyle name="20% - 강조색1 2 31" xfId="207"/>
    <cellStyle name="20% - 강조색1 2 32" xfId="130"/>
    <cellStyle name="20% - 강조색1 2 33" xfId="3506"/>
    <cellStyle name="20% - 강조색1 2 34" xfId="3583"/>
    <cellStyle name="20% - 강조색1 2 35" xfId="3650"/>
    <cellStyle name="20% - 강조색1 2 36" xfId="3714"/>
    <cellStyle name="20% - 강조색1 2 37" xfId="3777"/>
    <cellStyle name="20% - 강조색1 2 38" xfId="3838"/>
    <cellStyle name="20% - 강조색1 2 39" xfId="3891"/>
    <cellStyle name="20% - 강조색1 2 4" xfId="2372"/>
    <cellStyle name="20% - 강조색1 2 40" xfId="3942"/>
    <cellStyle name="20% - 강조색1 2 41" xfId="3980"/>
    <cellStyle name="20% - 강조색1 2 5" xfId="2289"/>
    <cellStyle name="20% - 강조색1 2 6" xfId="2205"/>
    <cellStyle name="20% - 강조색1 2 7" xfId="2124"/>
    <cellStyle name="20% - 강조색1 2 8" xfId="2041"/>
    <cellStyle name="20% - 강조색1 2 9" xfId="1960"/>
    <cellStyle name="20% - 강조색1 20" xfId="2684"/>
    <cellStyle name="20% - 강조색1 21" xfId="2739"/>
    <cellStyle name="20% - 강조색1 22" xfId="2764"/>
    <cellStyle name="20% - 강조색1 23" xfId="2884"/>
    <cellStyle name="20% - 강조색1 24" xfId="2755"/>
    <cellStyle name="20% - 강조색1 25" xfId="2833"/>
    <cellStyle name="20% - 강조색1 26" xfId="2747"/>
    <cellStyle name="20% - 강조색1 27" xfId="2808"/>
    <cellStyle name="20% - 강조색1 28" xfId="2741"/>
    <cellStyle name="20% - 강조색1 29" xfId="2786"/>
    <cellStyle name="20% - 강조색1 3" xfId="2984"/>
    <cellStyle name="20% - 강조색1 30" xfId="2624"/>
    <cellStyle name="20% - 강조색1 31" xfId="2776"/>
    <cellStyle name="20% - 강조색1 32" xfId="2646"/>
    <cellStyle name="20% - 강조색1 33" xfId="2703"/>
    <cellStyle name="20% - 강조색1 34" xfId="2655"/>
    <cellStyle name="20% - 강조색1 35" xfId="2710"/>
    <cellStyle name="20% - 강조색1 36" xfId="2214"/>
    <cellStyle name="20% - 강조색1 37" xfId="2302"/>
    <cellStyle name="20% - 강조색1 38" xfId="2050"/>
    <cellStyle name="20% - 강조색1 39" xfId="2137"/>
    <cellStyle name="20% - 강조색1 4" xfId="2930"/>
    <cellStyle name="20% - 강조색1 40" xfId="1887"/>
    <cellStyle name="20% - 강조색1 41" xfId="1973"/>
    <cellStyle name="20% - 강조색1 42" xfId="1732"/>
    <cellStyle name="20% - 강조색1 5" xfId="2880"/>
    <cellStyle name="20% - 강조색1 6" xfId="2554"/>
    <cellStyle name="20% - 강조색1 7" xfId="2830"/>
    <cellStyle name="20% - 강조색1 8" xfId="2604"/>
    <cellStyle name="20% - 강조색1 9" xfId="2804"/>
    <cellStyle name="20% - 강조색2 10" xfId="2383"/>
    <cellStyle name="20% - 강조색2 11" xfId="2300"/>
    <cellStyle name="20% - 강조색2 12" xfId="2217"/>
    <cellStyle name="20% - 강조색2 13" xfId="2135"/>
    <cellStyle name="20% - 강조색2 14" xfId="2285"/>
    <cellStyle name="20% - 강조색2 15" xfId="1676"/>
    <cellStyle name="20% - 강조색2 16" xfId="2760"/>
    <cellStyle name="20% - 강조색2 17" xfId="1717"/>
    <cellStyle name="20% - 강조색2 18" xfId="2751"/>
    <cellStyle name="20% - 강조색2 19" xfId="2785"/>
    <cellStyle name="20% - 강조색2 2" xfId="4"/>
    <cellStyle name="20% - 강조색2 2 10" xfId="1879"/>
    <cellStyle name="20% - 강조색2 2 11" xfId="1801"/>
    <cellStyle name="20% - 강조색2 2 12" xfId="1724"/>
    <cellStyle name="20% - 강조색2 2 13" xfId="1643"/>
    <cellStyle name="20% - 강조색2 2 14" xfId="1561"/>
    <cellStyle name="20% - 강조색2 2 15" xfId="1479"/>
    <cellStyle name="20% - 강조색2 2 16" xfId="1397"/>
    <cellStyle name="20% - 강조색2 2 17" xfId="1315"/>
    <cellStyle name="20% - 강조색2 2 18" xfId="1233"/>
    <cellStyle name="20% - 강조색2 2 19" xfId="1154"/>
    <cellStyle name="20% - 강조색2 2 2" xfId="3011"/>
    <cellStyle name="20% - 강조색2 2 20" xfId="1075"/>
    <cellStyle name="20% - 강조색2 2 21" xfId="996"/>
    <cellStyle name="20% - 강조색2 2 22" xfId="917"/>
    <cellStyle name="20% - 강조색2 2 23" xfId="838"/>
    <cellStyle name="20% - 강조색2 2 24" xfId="759"/>
    <cellStyle name="20% - 강조색2 2 25" xfId="680"/>
    <cellStyle name="20% - 강조색2 2 26" xfId="601"/>
    <cellStyle name="20% - 강조색2 2 27" xfId="522"/>
    <cellStyle name="20% - 강조색2 2 28" xfId="443"/>
    <cellStyle name="20% - 강조색2 2 29" xfId="364"/>
    <cellStyle name="20% - 강조색2 2 3" xfId="2455"/>
    <cellStyle name="20% - 강조색2 2 30" xfId="285"/>
    <cellStyle name="20% - 강조색2 2 31" xfId="208"/>
    <cellStyle name="20% - 강조색2 2 32" xfId="131"/>
    <cellStyle name="20% - 강조색2 2 33" xfId="3505"/>
    <cellStyle name="20% - 강조색2 2 34" xfId="3582"/>
    <cellStyle name="20% - 강조색2 2 35" xfId="3649"/>
    <cellStyle name="20% - 강조색2 2 36" xfId="3713"/>
    <cellStyle name="20% - 강조색2 2 37" xfId="3776"/>
    <cellStyle name="20% - 강조색2 2 38" xfId="3837"/>
    <cellStyle name="20% - 강조색2 2 39" xfId="3890"/>
    <cellStyle name="20% - 강조색2 2 4" xfId="2373"/>
    <cellStyle name="20% - 강조색2 2 40" xfId="3941"/>
    <cellStyle name="20% - 강조색2 2 41" xfId="3979"/>
    <cellStyle name="20% - 강조색2 2 5" xfId="2290"/>
    <cellStyle name="20% - 강조색2 2 6" xfId="2206"/>
    <cellStyle name="20% - 강조색2 2 7" xfId="2125"/>
    <cellStyle name="20% - 강조색2 2 8" xfId="2042"/>
    <cellStyle name="20% - 강조색2 2 9" xfId="1961"/>
    <cellStyle name="20% - 강조색2 20" xfId="1572"/>
    <cellStyle name="20% - 강조색2 21" xfId="1490"/>
    <cellStyle name="20% - 강조색2 22" xfId="1408"/>
    <cellStyle name="20% - 강조색2 23" xfId="1326"/>
    <cellStyle name="20% - 강조색2 24" xfId="1244"/>
    <cellStyle name="20% - 강조색2 25" xfId="1164"/>
    <cellStyle name="20% - 강조색2 26" xfId="1085"/>
    <cellStyle name="20% - 강조색2 27" xfId="1006"/>
    <cellStyle name="20% - 강조색2 28" xfId="927"/>
    <cellStyle name="20% - 강조색2 29" xfId="848"/>
    <cellStyle name="20% - 강조색2 3" xfId="2983"/>
    <cellStyle name="20% - 강조색2 30" xfId="769"/>
    <cellStyle name="20% - 강조색2 31" xfId="690"/>
    <cellStyle name="20% - 강조색2 32" xfId="611"/>
    <cellStyle name="20% - 강조색2 33" xfId="532"/>
    <cellStyle name="20% - 강조색2 34" xfId="453"/>
    <cellStyle name="20% - 강조색2 35" xfId="374"/>
    <cellStyle name="20% - 강조색2 36" xfId="295"/>
    <cellStyle name="20% - 강조색2 37" xfId="218"/>
    <cellStyle name="20% - 강조색2 38" xfId="141"/>
    <cellStyle name="20% - 강조색2 39" xfId="64"/>
    <cellStyle name="20% - 강조색2 4" xfId="2929"/>
    <cellStyle name="20% - 강조색2 40" xfId="3572"/>
    <cellStyle name="20% - 강조색2 41" xfId="3639"/>
    <cellStyle name="20% - 강조색2 42" xfId="3703"/>
    <cellStyle name="20% - 강조색2 5" xfId="2504"/>
    <cellStyle name="20% - 강조색2 6" xfId="2865"/>
    <cellStyle name="20% - 강조색2 7" xfId="2569"/>
    <cellStyle name="20% - 강조색2 8" xfId="2827"/>
    <cellStyle name="20% - 강조색2 9" xfId="2607"/>
    <cellStyle name="20% - 강조색3 10" xfId="2803"/>
    <cellStyle name="20% - 강조색3 11" xfId="2630"/>
    <cellStyle name="20% - 강조색3 12" xfId="2781"/>
    <cellStyle name="20% - 강조색3 13" xfId="2650"/>
    <cellStyle name="20% - 강조색3 14" xfId="1740"/>
    <cellStyle name="20% - 강조색3 15" xfId="1875"/>
    <cellStyle name="20% - 강조색3 16" xfId="2435"/>
    <cellStyle name="20% - 강조색3 17" xfId="1720"/>
    <cellStyle name="20% - 강조색3 18" xfId="2270"/>
    <cellStyle name="20% - 강조색3 19" xfId="2678"/>
    <cellStyle name="20% - 강조색3 2" xfId="5"/>
    <cellStyle name="20% - 강조색3 2 10" xfId="1880"/>
    <cellStyle name="20% - 강조색3 2 11" xfId="1802"/>
    <cellStyle name="20% - 강조색3 2 12" xfId="1725"/>
    <cellStyle name="20% - 강조색3 2 13" xfId="1644"/>
    <cellStyle name="20% - 강조색3 2 14" xfId="1562"/>
    <cellStyle name="20% - 강조색3 2 15" xfId="1480"/>
    <cellStyle name="20% - 강조색3 2 16" xfId="1398"/>
    <cellStyle name="20% - 강조색3 2 17" xfId="1316"/>
    <cellStyle name="20% - 강조색3 2 18" xfId="1234"/>
    <cellStyle name="20% - 강조색3 2 19" xfId="1155"/>
    <cellStyle name="20% - 강조색3 2 2" xfId="3012"/>
    <cellStyle name="20% - 강조색3 2 20" xfId="1076"/>
    <cellStyle name="20% - 강조색3 2 21" xfId="997"/>
    <cellStyle name="20% - 강조색3 2 22" xfId="918"/>
    <cellStyle name="20% - 강조색3 2 23" xfId="839"/>
    <cellStyle name="20% - 강조색3 2 24" xfId="760"/>
    <cellStyle name="20% - 강조색3 2 25" xfId="681"/>
    <cellStyle name="20% - 강조색3 2 26" xfId="602"/>
    <cellStyle name="20% - 강조색3 2 27" xfId="523"/>
    <cellStyle name="20% - 강조색3 2 28" xfId="444"/>
    <cellStyle name="20% - 강조색3 2 29" xfId="365"/>
    <cellStyle name="20% - 강조색3 2 3" xfId="2456"/>
    <cellStyle name="20% - 강조색3 2 30" xfId="286"/>
    <cellStyle name="20% - 강조색3 2 31" xfId="209"/>
    <cellStyle name="20% - 강조색3 2 32" xfId="132"/>
    <cellStyle name="20% - 강조색3 2 33" xfId="3504"/>
    <cellStyle name="20% - 강조색3 2 34" xfId="3581"/>
    <cellStyle name="20% - 강조색3 2 35" xfId="3648"/>
    <cellStyle name="20% - 강조색3 2 36" xfId="3712"/>
    <cellStyle name="20% - 강조색3 2 37" xfId="3775"/>
    <cellStyle name="20% - 강조색3 2 38" xfId="3836"/>
    <cellStyle name="20% - 강조색3 2 39" xfId="3889"/>
    <cellStyle name="20% - 강조색3 2 4" xfId="2374"/>
    <cellStyle name="20% - 강조색3 2 40" xfId="3940"/>
    <cellStyle name="20% - 강조색3 2 41" xfId="3978"/>
    <cellStyle name="20% - 강조색3 2 5" xfId="2291"/>
    <cellStyle name="20% - 강조색3 2 6" xfId="2207"/>
    <cellStyle name="20% - 강조색3 2 7" xfId="2126"/>
    <cellStyle name="20% - 강조색3 2 8" xfId="2043"/>
    <cellStyle name="20% - 강조색3 2 9" xfId="1962"/>
    <cellStyle name="20% - 강조색3 20" xfId="2105"/>
    <cellStyle name="20% - 강조색3 21" xfId="2685"/>
    <cellStyle name="20% - 강조색3 22" xfId="2648"/>
    <cellStyle name="20% - 강조색3 23" xfId="2691"/>
    <cellStyle name="20% - 강조색3 24" xfId="2733"/>
    <cellStyle name="20% - 강조색3 25" xfId="2698"/>
    <cellStyle name="20% - 강조색3 26" xfId="2727"/>
    <cellStyle name="20% - 강조색3 27" xfId="2705"/>
    <cellStyle name="20% - 강조색3 28" xfId="2386"/>
    <cellStyle name="20% - 강조색3 29" xfId="2712"/>
    <cellStyle name="20% - 강조색3 3" xfId="2982"/>
    <cellStyle name="20% - 강조색3 30" xfId="2385"/>
    <cellStyle name="20% - 강조색3 31" xfId="2873"/>
    <cellStyle name="20% - 강조색3 32" xfId="2219"/>
    <cellStyle name="20% - 강조색3 33" xfId="2497"/>
    <cellStyle name="20% - 강조색3 34" xfId="2054"/>
    <cellStyle name="20% - 강조색3 35" xfId="2562"/>
    <cellStyle name="20% - 강조색3 36" xfId="1892"/>
    <cellStyle name="20% - 강조색3 37" xfId="2867"/>
    <cellStyle name="20% - 강조색3 38" xfId="1577"/>
    <cellStyle name="20% - 강조색3 39" xfId="1495"/>
    <cellStyle name="20% - 강조색3 4" xfId="2928"/>
    <cellStyle name="20% - 강조색3 40" xfId="1413"/>
    <cellStyle name="20% - 강조색3 41" xfId="1331"/>
    <cellStyle name="20% - 강조색3 42" xfId="1249"/>
    <cellStyle name="20% - 강조색3 5" xfId="2505"/>
    <cellStyle name="20% - 강조색3 6" xfId="2864"/>
    <cellStyle name="20% - 강조색3 7" xfId="2570"/>
    <cellStyle name="20% - 강조색3 8" xfId="2826"/>
    <cellStyle name="20% - 강조색3 9" xfId="2608"/>
    <cellStyle name="20% - 강조색4 10" xfId="2802"/>
    <cellStyle name="20% - 강조색4 11" xfId="2631"/>
    <cellStyle name="20% - 강조색4 12" xfId="2780"/>
    <cellStyle name="20% - 강조색4 13" xfId="2651"/>
    <cellStyle name="20% - 강조색4 14" xfId="1734"/>
    <cellStyle name="20% - 강조색4 15" xfId="1870"/>
    <cellStyle name="20% - 강조색4 16" xfId="2069"/>
    <cellStyle name="20% - 강조색4 17" xfId="1715"/>
    <cellStyle name="20% - 강조색4 18" xfId="1907"/>
    <cellStyle name="20% - 강조색4 19" xfId="1704"/>
    <cellStyle name="20% - 강조색4 2" xfId="6"/>
    <cellStyle name="20% - 강조색4 2 10" xfId="1881"/>
    <cellStyle name="20% - 강조색4 2 11" xfId="1803"/>
    <cellStyle name="20% - 강조색4 2 12" xfId="1726"/>
    <cellStyle name="20% - 강조색4 2 13" xfId="1645"/>
    <cellStyle name="20% - 강조색4 2 14" xfId="1563"/>
    <cellStyle name="20% - 강조색4 2 15" xfId="1481"/>
    <cellStyle name="20% - 강조색4 2 16" xfId="1399"/>
    <cellStyle name="20% - 강조색4 2 17" xfId="1317"/>
    <cellStyle name="20% - 강조색4 2 18" xfId="1235"/>
    <cellStyle name="20% - 강조색4 2 19" xfId="1156"/>
    <cellStyle name="20% - 강조색4 2 2" xfId="3013"/>
    <cellStyle name="20% - 강조색4 2 20" xfId="1077"/>
    <cellStyle name="20% - 강조색4 2 21" xfId="998"/>
    <cellStyle name="20% - 강조색4 2 22" xfId="919"/>
    <cellStyle name="20% - 강조색4 2 23" xfId="840"/>
    <cellStyle name="20% - 강조색4 2 24" xfId="761"/>
    <cellStyle name="20% - 강조색4 2 25" xfId="682"/>
    <cellStyle name="20% - 강조색4 2 26" xfId="603"/>
    <cellStyle name="20% - 강조색4 2 27" xfId="524"/>
    <cellStyle name="20% - 강조색4 2 28" xfId="445"/>
    <cellStyle name="20% - 강조색4 2 29" xfId="366"/>
    <cellStyle name="20% - 강조색4 2 3" xfId="2457"/>
    <cellStyle name="20% - 강조색4 2 30" xfId="287"/>
    <cellStyle name="20% - 강조색4 2 31" xfId="210"/>
    <cellStyle name="20% - 강조색4 2 32" xfId="133"/>
    <cellStyle name="20% - 강조색4 2 33" xfId="3503"/>
    <cellStyle name="20% - 강조색4 2 34" xfId="3580"/>
    <cellStyle name="20% - 강조색4 2 35" xfId="3647"/>
    <cellStyle name="20% - 강조색4 2 36" xfId="3711"/>
    <cellStyle name="20% - 강조색4 2 37" xfId="3774"/>
    <cellStyle name="20% - 강조색4 2 38" xfId="3835"/>
    <cellStyle name="20% - 강조색4 2 39" xfId="3888"/>
    <cellStyle name="20% - 강조색4 2 4" xfId="2375"/>
    <cellStyle name="20% - 강조색4 2 40" xfId="3939"/>
    <cellStyle name="20% - 강조색4 2 41" xfId="3977"/>
    <cellStyle name="20% - 강조색4 2 5" xfId="2292"/>
    <cellStyle name="20% - 강조색4 2 6" xfId="2208"/>
    <cellStyle name="20% - 강조색4 2 7" xfId="2127"/>
    <cellStyle name="20% - 강조색4 2 8" xfId="2044"/>
    <cellStyle name="20% - 강조색4 2 9" xfId="1963"/>
    <cellStyle name="20% - 강조색4 20" xfId="1750"/>
    <cellStyle name="20% - 강조색4 21" xfId="2774"/>
    <cellStyle name="20% - 강조색4 22" xfId="2647"/>
    <cellStyle name="20% - 강조색4 23" xfId="2692"/>
    <cellStyle name="20% - 강조색4 24" xfId="2657"/>
    <cellStyle name="20% - 강조색4 25" xfId="2699"/>
    <cellStyle name="20% - 강조색4 26" xfId="2726"/>
    <cellStyle name="20% - 강조색4 27" xfId="2706"/>
    <cellStyle name="20% - 강조색4 28" xfId="2721"/>
    <cellStyle name="20% - 강조색4 29" xfId="2765"/>
    <cellStyle name="20% - 강조색4 3" xfId="2981"/>
    <cellStyle name="20% - 강조색4 30" xfId="1866"/>
    <cellStyle name="20% - 강조색4 31" xfId="2756"/>
    <cellStyle name="20% - 강조색4 32" xfId="1711"/>
    <cellStyle name="20% - 강조색4 33" xfId="2748"/>
    <cellStyle name="20% - 강조색4 34" xfId="1817"/>
    <cellStyle name="20% - 강조색4 35" xfId="2742"/>
    <cellStyle name="20% - 강조색4 36" xfId="1663"/>
    <cellStyle name="20% - 강조색4 37" xfId="2735"/>
    <cellStyle name="20% - 강조색4 38" xfId="2695"/>
    <cellStyle name="20% - 강조색4 39" xfId="2729"/>
    <cellStyle name="20% - 강조색4 4" xfId="2927"/>
    <cellStyle name="20% - 강조색4 40" xfId="2787"/>
    <cellStyle name="20% - 강조색4 41" xfId="2722"/>
    <cellStyle name="20% - 강조색4 42" xfId="2777"/>
    <cellStyle name="20% - 강조색4 5" xfId="2506"/>
    <cellStyle name="20% - 강조색4 6" xfId="2863"/>
    <cellStyle name="20% - 강조색4 7" xfId="2571"/>
    <cellStyle name="20% - 강조색4 8" xfId="2825"/>
    <cellStyle name="20% - 강조색4 9" xfId="2609"/>
    <cellStyle name="20% - 강조색5 10" xfId="2801"/>
    <cellStyle name="20% - 강조색5 11" xfId="2632"/>
    <cellStyle name="20% - 강조색5 12" xfId="2779"/>
    <cellStyle name="20% - 강조색5 13" xfId="2652"/>
    <cellStyle name="20% - 강조색5 14" xfId="1738"/>
    <cellStyle name="20% - 강조색5 15" xfId="1873"/>
    <cellStyle name="20% - 강조색5 16" xfId="2068"/>
    <cellStyle name="20% - 강조색5 17" xfId="1718"/>
    <cellStyle name="20% - 강조색5 18" xfId="1906"/>
    <cellStyle name="20% - 강조색5 19" xfId="1671"/>
    <cellStyle name="20% - 강조색5 2" xfId="7"/>
    <cellStyle name="20% - 강조색5 2 10" xfId="1882"/>
    <cellStyle name="20% - 강조색5 2 11" xfId="1804"/>
    <cellStyle name="20% - 강조색5 2 12" xfId="1727"/>
    <cellStyle name="20% - 강조색5 2 13" xfId="1646"/>
    <cellStyle name="20% - 강조색5 2 14" xfId="1564"/>
    <cellStyle name="20% - 강조색5 2 15" xfId="1482"/>
    <cellStyle name="20% - 강조색5 2 16" xfId="1400"/>
    <cellStyle name="20% - 강조색5 2 17" xfId="1318"/>
    <cellStyle name="20% - 강조색5 2 18" xfId="1236"/>
    <cellStyle name="20% - 강조색5 2 19" xfId="1157"/>
    <cellStyle name="20% - 강조색5 2 2" xfId="3014"/>
    <cellStyle name="20% - 강조색5 2 20" xfId="1078"/>
    <cellStyle name="20% - 강조색5 2 21" xfId="999"/>
    <cellStyle name="20% - 강조색5 2 22" xfId="920"/>
    <cellStyle name="20% - 강조색5 2 23" xfId="841"/>
    <cellStyle name="20% - 강조색5 2 24" xfId="762"/>
    <cellStyle name="20% - 강조색5 2 25" xfId="683"/>
    <cellStyle name="20% - 강조색5 2 26" xfId="604"/>
    <cellStyle name="20% - 강조색5 2 27" xfId="525"/>
    <cellStyle name="20% - 강조색5 2 28" xfId="446"/>
    <cellStyle name="20% - 강조색5 2 29" xfId="367"/>
    <cellStyle name="20% - 강조색5 2 3" xfId="2458"/>
    <cellStyle name="20% - 강조색5 2 30" xfId="288"/>
    <cellStyle name="20% - 강조색5 2 31" xfId="211"/>
    <cellStyle name="20% - 강조색5 2 32" xfId="134"/>
    <cellStyle name="20% - 강조색5 2 33" xfId="3502"/>
    <cellStyle name="20% - 강조색5 2 34" xfId="3579"/>
    <cellStyle name="20% - 강조색5 2 35" xfId="3646"/>
    <cellStyle name="20% - 강조색5 2 36" xfId="3710"/>
    <cellStyle name="20% - 강조색5 2 37" xfId="3773"/>
    <cellStyle name="20% - 강조색5 2 38" xfId="3834"/>
    <cellStyle name="20% - 강조색5 2 39" xfId="3887"/>
    <cellStyle name="20% - 강조색5 2 4" xfId="2376"/>
    <cellStyle name="20% - 강조색5 2 40" xfId="3938"/>
    <cellStyle name="20% - 강조색5 2 41" xfId="3976"/>
    <cellStyle name="20% - 강조색5 2 5" xfId="2293"/>
    <cellStyle name="20% - 강조색5 2 6" xfId="2209"/>
    <cellStyle name="20% - 강조색5 2 7" xfId="2128"/>
    <cellStyle name="20% - 강조색5 2 8" xfId="2045"/>
    <cellStyle name="20% - 강조색5 2 9" xfId="1964"/>
    <cellStyle name="20% - 강조색5 20" xfId="1749"/>
    <cellStyle name="20% - 강조색5 21" xfId="2775"/>
    <cellStyle name="20% - 강조색5 22" xfId="2738"/>
    <cellStyle name="20% - 강조색5 23" xfId="2693"/>
    <cellStyle name="20% - 강조색5 24" xfId="2732"/>
    <cellStyle name="20% - 강조색5 25" xfId="2701"/>
    <cellStyle name="20% - 강조색5 26" xfId="2724"/>
    <cellStyle name="20% - 강조색5 27" xfId="2708"/>
    <cellStyle name="20% - 강조색5 28" xfId="2496"/>
    <cellStyle name="20% - 강조색5 29" xfId="2713"/>
    <cellStyle name="20% - 강조색5 3" xfId="2980"/>
    <cellStyle name="20% - 강조색5 30" xfId="2561"/>
    <cellStyle name="20% - 강조색5 31" xfId="2716"/>
    <cellStyle name="20% - 강조색5 32" xfId="2872"/>
    <cellStyle name="20% - 강조색5 33" xfId="2717"/>
    <cellStyle name="20% - 강조색5 34" xfId="2502"/>
    <cellStyle name="20% - 강조색5 35" xfId="2546"/>
    <cellStyle name="20% - 강조색5 36" xfId="2567"/>
    <cellStyle name="20% - 강조색5 37" xfId="2597"/>
    <cellStyle name="20% - 강조색5 38" xfId="1569"/>
    <cellStyle name="20% - 강조색5 39" xfId="1487"/>
    <cellStyle name="20% - 강조색5 4" xfId="2926"/>
    <cellStyle name="20% - 강조색5 40" xfId="1405"/>
    <cellStyle name="20% - 강조색5 41" xfId="1323"/>
    <cellStyle name="20% - 강조색5 42" xfId="1241"/>
    <cellStyle name="20% - 강조색5 5" xfId="2507"/>
    <cellStyle name="20% - 강조색5 6" xfId="2862"/>
    <cellStyle name="20% - 강조색5 7" xfId="2572"/>
    <cellStyle name="20% - 강조색5 8" xfId="2824"/>
    <cellStyle name="20% - 강조색5 9" xfId="2610"/>
    <cellStyle name="20% - 강조색6 10" xfId="2868"/>
    <cellStyle name="20% - 강조색6 11" xfId="2566"/>
    <cellStyle name="20% - 강조색6 12" xfId="2449"/>
    <cellStyle name="20% - 강조색6 13" xfId="2368"/>
    <cellStyle name="20% - 강조색6 14" xfId="1784"/>
    <cellStyle name="20% - 강조색6 15" xfId="1971"/>
    <cellStyle name="20% - 강조색6 16" xfId="1986"/>
    <cellStyle name="20% - 강조색6 17" xfId="1794"/>
    <cellStyle name="20% - 강조색6 18" xfId="1825"/>
    <cellStyle name="20% - 강조색6 19" xfId="2114"/>
    <cellStyle name="20% - 강조색6 2" xfId="8"/>
    <cellStyle name="20% - 강조색6 2 10" xfId="1883"/>
    <cellStyle name="20% - 강조색6 2 11" xfId="1805"/>
    <cellStyle name="20% - 강조색6 2 12" xfId="1728"/>
    <cellStyle name="20% - 강조색6 2 13" xfId="1647"/>
    <cellStyle name="20% - 강조색6 2 14" xfId="1565"/>
    <cellStyle name="20% - 강조색6 2 15" xfId="1483"/>
    <cellStyle name="20% - 강조색6 2 16" xfId="1401"/>
    <cellStyle name="20% - 강조색6 2 17" xfId="1319"/>
    <cellStyle name="20% - 강조색6 2 18" xfId="1237"/>
    <cellStyle name="20% - 강조색6 2 19" xfId="1158"/>
    <cellStyle name="20% - 강조색6 2 2" xfId="3015"/>
    <cellStyle name="20% - 강조색6 2 20" xfId="1079"/>
    <cellStyle name="20% - 강조색6 2 21" xfId="1000"/>
    <cellStyle name="20% - 강조색6 2 22" xfId="921"/>
    <cellStyle name="20% - 강조색6 2 23" xfId="842"/>
    <cellStyle name="20% - 강조색6 2 24" xfId="763"/>
    <cellStyle name="20% - 강조색6 2 25" xfId="684"/>
    <cellStyle name="20% - 강조색6 2 26" xfId="605"/>
    <cellStyle name="20% - 강조색6 2 27" xfId="526"/>
    <cellStyle name="20% - 강조색6 2 28" xfId="447"/>
    <cellStyle name="20% - 강조색6 2 29" xfId="368"/>
    <cellStyle name="20% - 강조색6 2 3" xfId="2459"/>
    <cellStyle name="20% - 강조색6 2 30" xfId="289"/>
    <cellStyle name="20% - 강조색6 2 31" xfId="212"/>
    <cellStyle name="20% - 강조색6 2 32" xfId="135"/>
    <cellStyle name="20% - 강조색6 2 33" xfId="3501"/>
    <cellStyle name="20% - 강조색6 2 34" xfId="3578"/>
    <cellStyle name="20% - 강조색6 2 35" xfId="3645"/>
    <cellStyle name="20% - 강조색6 2 36" xfId="3709"/>
    <cellStyle name="20% - 강조색6 2 37" xfId="3772"/>
    <cellStyle name="20% - 강조색6 2 38" xfId="3833"/>
    <cellStyle name="20% - 강조색6 2 39" xfId="3886"/>
    <cellStyle name="20% - 강조색6 2 4" xfId="2377"/>
    <cellStyle name="20% - 강조색6 2 40" xfId="3937"/>
    <cellStyle name="20% - 강조색6 2 41" xfId="3975"/>
    <cellStyle name="20% - 강조색6 2 5" xfId="2294"/>
    <cellStyle name="20% - 강조색6 2 6" xfId="2210"/>
    <cellStyle name="20% - 강조색6 2 7" xfId="2129"/>
    <cellStyle name="20% - 강조색6 2 8" xfId="2046"/>
    <cellStyle name="20% - 강조색6 2 9" xfId="1965"/>
    <cellStyle name="20% - 강조색6 20" xfId="2763"/>
    <cellStyle name="20% - 강조색6 21" xfId="1950"/>
    <cellStyle name="20% - 강조색6 22" xfId="1638"/>
    <cellStyle name="20% - 강조색6 23" xfId="1556"/>
    <cellStyle name="20% - 강조색6 24" xfId="1474"/>
    <cellStyle name="20% - 강조색6 25" xfId="1392"/>
    <cellStyle name="20% - 강조색6 26" xfId="1310"/>
    <cellStyle name="20% - 강조색6 27" xfId="1228"/>
    <cellStyle name="20% - 강조색6 28" xfId="1149"/>
    <cellStyle name="20% - 강조색6 29" xfId="1070"/>
    <cellStyle name="20% - 강조색6 3" xfId="2979"/>
    <cellStyle name="20% - 강조색6 30" xfId="991"/>
    <cellStyle name="20% - 강조색6 31" xfId="912"/>
    <cellStyle name="20% - 강조색6 32" xfId="833"/>
    <cellStyle name="20% - 강조색6 33" xfId="754"/>
    <cellStyle name="20% - 강조색6 34" xfId="675"/>
    <cellStyle name="20% - 강조색6 35" xfId="596"/>
    <cellStyle name="20% - 강조색6 36" xfId="517"/>
    <cellStyle name="20% - 강조색6 37" xfId="438"/>
    <cellStyle name="20% - 강조색6 38" xfId="359"/>
    <cellStyle name="20% - 강조색6 39" xfId="280"/>
    <cellStyle name="20% - 강조색6 4" xfId="2925"/>
    <cellStyle name="20% - 강조색6 40" xfId="203"/>
    <cellStyle name="20% - 강조색6 41" xfId="126"/>
    <cellStyle name="20% - 강조색6 42" xfId="3510"/>
    <cellStyle name="20% - 강조색6 5" xfId="2508"/>
    <cellStyle name="20% - 강조색6 6" xfId="2495"/>
    <cellStyle name="20% - 강조색6 7" xfId="2874"/>
    <cellStyle name="20% - 강조색6 8" xfId="2560"/>
    <cellStyle name="20% - 강조색6 9" xfId="2501"/>
    <cellStyle name="40% - 강조색1 10" xfId="2059"/>
    <cellStyle name="40% - 강조색1 11" xfId="1977"/>
    <cellStyle name="40% - 강조색1 12" xfId="1897"/>
    <cellStyle name="40% - 강조색1 13" xfId="1816"/>
    <cellStyle name="40% - 강조색1 14" xfId="1755"/>
    <cellStyle name="40% - 강조색1 15" xfId="2659"/>
    <cellStyle name="40% - 강조색1 16" xfId="1579"/>
    <cellStyle name="40% - 강조색1 17" xfId="1497"/>
    <cellStyle name="40% - 강조색1 18" xfId="1415"/>
    <cellStyle name="40% - 강조색1 19" xfId="1333"/>
    <cellStyle name="40% - 강조색1 2" xfId="9"/>
    <cellStyle name="40% - 강조색1 2 10" xfId="1884"/>
    <cellStyle name="40% - 강조색1 2 11" xfId="1806"/>
    <cellStyle name="40% - 강조색1 2 12" xfId="1729"/>
    <cellStyle name="40% - 강조색1 2 13" xfId="1648"/>
    <cellStyle name="40% - 강조색1 2 14" xfId="1566"/>
    <cellStyle name="40% - 강조색1 2 15" xfId="1484"/>
    <cellStyle name="40% - 강조색1 2 16" xfId="1402"/>
    <cellStyle name="40% - 강조색1 2 17" xfId="1320"/>
    <cellStyle name="40% - 강조색1 2 18" xfId="1238"/>
    <cellStyle name="40% - 강조색1 2 19" xfId="1159"/>
    <cellStyle name="40% - 강조색1 2 2" xfId="3016"/>
    <cellStyle name="40% - 강조색1 2 20" xfId="1080"/>
    <cellStyle name="40% - 강조색1 2 21" xfId="1001"/>
    <cellStyle name="40% - 강조색1 2 22" xfId="922"/>
    <cellStyle name="40% - 강조색1 2 23" xfId="843"/>
    <cellStyle name="40% - 강조색1 2 24" xfId="764"/>
    <cellStyle name="40% - 강조색1 2 25" xfId="685"/>
    <cellStyle name="40% - 강조색1 2 26" xfId="606"/>
    <cellStyle name="40% - 강조색1 2 27" xfId="527"/>
    <cellStyle name="40% - 강조색1 2 28" xfId="448"/>
    <cellStyle name="40% - 강조색1 2 29" xfId="369"/>
    <cellStyle name="40% - 강조색1 2 3" xfId="2460"/>
    <cellStyle name="40% - 강조색1 2 30" xfId="290"/>
    <cellStyle name="40% - 강조색1 2 31" xfId="213"/>
    <cellStyle name="40% - 강조색1 2 32" xfId="136"/>
    <cellStyle name="40% - 강조색1 2 33" xfId="3500"/>
    <cellStyle name="40% - 강조색1 2 34" xfId="3577"/>
    <cellStyle name="40% - 강조색1 2 35" xfId="3644"/>
    <cellStyle name="40% - 강조색1 2 36" xfId="3708"/>
    <cellStyle name="40% - 강조색1 2 37" xfId="3771"/>
    <cellStyle name="40% - 강조색1 2 38" xfId="3832"/>
    <cellStyle name="40% - 강조색1 2 39" xfId="3885"/>
    <cellStyle name="40% - 강조색1 2 4" xfId="2378"/>
    <cellStyle name="40% - 강조색1 2 40" xfId="3936"/>
    <cellStyle name="40% - 강조색1 2 41" xfId="3974"/>
    <cellStyle name="40% - 강조색1 2 5" xfId="2295"/>
    <cellStyle name="40% - 강조색1 2 6" xfId="2211"/>
    <cellStyle name="40% - 강조색1 2 7" xfId="2130"/>
    <cellStyle name="40% - 강조색1 2 8" xfId="2047"/>
    <cellStyle name="40% - 강조색1 2 9" xfId="1966"/>
    <cellStyle name="40% - 강조색1 20" xfId="1251"/>
    <cellStyle name="40% - 강조색1 21" xfId="1169"/>
    <cellStyle name="40% - 강조색1 22" xfId="1090"/>
    <cellStyle name="40% - 강조색1 23" xfId="1011"/>
    <cellStyle name="40% - 강조색1 24" xfId="932"/>
    <cellStyle name="40% - 강조색1 25" xfId="853"/>
    <cellStyle name="40% - 강조색1 26" xfId="774"/>
    <cellStyle name="40% - 강조색1 27" xfId="695"/>
    <cellStyle name="40% - 강조색1 28" xfId="616"/>
    <cellStyle name="40% - 강조색1 29" xfId="537"/>
    <cellStyle name="40% - 강조색1 3" xfId="2978"/>
    <cellStyle name="40% - 강조색1 30" xfId="458"/>
    <cellStyle name="40% - 강조색1 31" xfId="379"/>
    <cellStyle name="40% - 강조색1 32" xfId="300"/>
    <cellStyle name="40% - 강조색1 33" xfId="223"/>
    <cellStyle name="40% - 강조색1 34" xfId="146"/>
    <cellStyle name="40% - 강조색1 35" xfId="69"/>
    <cellStyle name="40% - 강조색1 36" xfId="3567"/>
    <cellStyle name="40% - 강조색1 37" xfId="3634"/>
    <cellStyle name="40% - 강조색1 38" xfId="3698"/>
    <cellStyle name="40% - 강조색1 39" xfId="3762"/>
    <cellStyle name="40% - 강조색1 4" xfId="2924"/>
    <cellStyle name="40% - 강조색1 40" xfId="3823"/>
    <cellStyle name="40% - 강조색1 41" xfId="3876"/>
    <cellStyle name="40% - 강조색1 42" xfId="3927"/>
    <cellStyle name="40% - 강조색1 5" xfId="2509"/>
    <cellStyle name="40% - 강조색1 6" xfId="2390"/>
    <cellStyle name="40% - 강조색1 7" xfId="2306"/>
    <cellStyle name="40% - 강조색1 8" xfId="2224"/>
    <cellStyle name="40% - 강조색1 9" xfId="2141"/>
    <cellStyle name="40% - 강조색2 10" xfId="2052"/>
    <cellStyle name="40% - 강조색2 11" xfId="1970"/>
    <cellStyle name="40% - 강조색2 12" xfId="1889"/>
    <cellStyle name="40% - 강조색2 13" xfId="1810"/>
    <cellStyle name="40% - 강조색2 14" xfId="1736"/>
    <cellStyle name="40% - 강조색2 15" xfId="2660"/>
    <cellStyle name="40% - 강조색2 16" xfId="1571"/>
    <cellStyle name="40% - 강조색2 17" xfId="1489"/>
    <cellStyle name="40% - 강조색2 18" xfId="1407"/>
    <cellStyle name="40% - 강조색2 19" xfId="1325"/>
    <cellStyle name="40% - 강조색2 2" xfId="10"/>
    <cellStyle name="40% - 강조색2 2 10" xfId="1885"/>
    <cellStyle name="40% - 강조색2 2 11" xfId="1807"/>
    <cellStyle name="40% - 강조색2 2 12" xfId="1730"/>
    <cellStyle name="40% - 강조색2 2 13" xfId="1649"/>
    <cellStyle name="40% - 강조색2 2 14" xfId="1567"/>
    <cellStyle name="40% - 강조색2 2 15" xfId="1485"/>
    <cellStyle name="40% - 강조색2 2 16" xfId="1403"/>
    <cellStyle name="40% - 강조색2 2 17" xfId="1321"/>
    <cellStyle name="40% - 강조색2 2 18" xfId="1239"/>
    <cellStyle name="40% - 강조색2 2 19" xfId="1160"/>
    <cellStyle name="40% - 강조색2 2 2" xfId="3017"/>
    <cellStyle name="40% - 강조색2 2 20" xfId="1081"/>
    <cellStyle name="40% - 강조색2 2 21" xfId="1002"/>
    <cellStyle name="40% - 강조색2 2 22" xfId="923"/>
    <cellStyle name="40% - 강조색2 2 23" xfId="844"/>
    <cellStyle name="40% - 강조색2 2 24" xfId="765"/>
    <cellStyle name="40% - 강조색2 2 25" xfId="686"/>
    <cellStyle name="40% - 강조색2 2 26" xfId="607"/>
    <cellStyle name="40% - 강조색2 2 27" xfId="528"/>
    <cellStyle name="40% - 강조색2 2 28" xfId="449"/>
    <cellStyle name="40% - 강조색2 2 29" xfId="370"/>
    <cellStyle name="40% - 강조색2 2 3" xfId="2461"/>
    <cellStyle name="40% - 강조색2 2 30" xfId="291"/>
    <cellStyle name="40% - 강조색2 2 31" xfId="214"/>
    <cellStyle name="40% - 강조색2 2 32" xfId="137"/>
    <cellStyle name="40% - 강조색2 2 33" xfId="3499"/>
    <cellStyle name="40% - 강조색2 2 34" xfId="3576"/>
    <cellStyle name="40% - 강조색2 2 35" xfId="3643"/>
    <cellStyle name="40% - 강조색2 2 36" xfId="3707"/>
    <cellStyle name="40% - 강조색2 2 37" xfId="3770"/>
    <cellStyle name="40% - 강조색2 2 38" xfId="3831"/>
    <cellStyle name="40% - 강조색2 2 39" xfId="3884"/>
    <cellStyle name="40% - 강조색2 2 4" xfId="2379"/>
    <cellStyle name="40% - 강조색2 2 40" xfId="3935"/>
    <cellStyle name="40% - 강조색2 2 41" xfId="3973"/>
    <cellStyle name="40% - 강조색2 2 5" xfId="2296"/>
    <cellStyle name="40% - 강조색2 2 6" xfId="2212"/>
    <cellStyle name="40% - 강조색2 2 7" xfId="2131"/>
    <cellStyle name="40% - 강조색2 2 8" xfId="2048"/>
    <cellStyle name="40% - 강조색2 2 9" xfId="1967"/>
    <cellStyle name="40% - 강조색2 20" xfId="1243"/>
    <cellStyle name="40% - 강조색2 21" xfId="1163"/>
    <cellStyle name="40% - 강조색2 22" xfId="1084"/>
    <cellStyle name="40% - 강조색2 23" xfId="1005"/>
    <cellStyle name="40% - 강조색2 24" xfId="926"/>
    <cellStyle name="40% - 강조색2 25" xfId="847"/>
    <cellStyle name="40% - 강조색2 26" xfId="768"/>
    <cellStyle name="40% - 강조색2 27" xfId="689"/>
    <cellStyle name="40% - 강조색2 28" xfId="610"/>
    <cellStyle name="40% - 강조색2 29" xfId="531"/>
    <cellStyle name="40% - 강조색2 3" xfId="2977"/>
    <cellStyle name="40% - 강조색2 30" xfId="452"/>
    <cellStyle name="40% - 강조색2 31" xfId="373"/>
    <cellStyle name="40% - 강조색2 32" xfId="294"/>
    <cellStyle name="40% - 강조색2 33" xfId="217"/>
    <cellStyle name="40% - 강조색2 34" xfId="140"/>
    <cellStyle name="40% - 강조색2 35" xfId="63"/>
    <cellStyle name="40% - 강조색2 36" xfId="3573"/>
    <cellStyle name="40% - 강조색2 37" xfId="3640"/>
    <cellStyle name="40% - 강조색2 38" xfId="3704"/>
    <cellStyle name="40% - 강조색2 39" xfId="3767"/>
    <cellStyle name="40% - 강조색2 4" xfId="2923"/>
    <cellStyle name="40% - 강조색2 40" xfId="3828"/>
    <cellStyle name="40% - 강조색2 41" xfId="3881"/>
    <cellStyle name="40% - 강조색2 42" xfId="3932"/>
    <cellStyle name="40% - 강조색2 5" xfId="2510"/>
    <cellStyle name="40% - 강조색2 6" xfId="2382"/>
    <cellStyle name="40% - 강조색2 7" xfId="2299"/>
    <cellStyle name="40% - 강조색2 8" xfId="2216"/>
    <cellStyle name="40% - 강조색2 9" xfId="2134"/>
    <cellStyle name="40% - 강조색3 10" xfId="2057"/>
    <cellStyle name="40% - 강조색3 11" xfId="1975"/>
    <cellStyle name="40% - 강조색3 12" xfId="1895"/>
    <cellStyle name="40% - 강조색3 13" xfId="1814"/>
    <cellStyle name="40% - 강조색3 14" xfId="1754"/>
    <cellStyle name="40% - 강조색3 15" xfId="2662"/>
    <cellStyle name="40% - 강조색3 16" xfId="1576"/>
    <cellStyle name="40% - 강조색3 17" xfId="1494"/>
    <cellStyle name="40% - 강조색3 18" xfId="1412"/>
    <cellStyle name="40% - 강조색3 19" xfId="1330"/>
    <cellStyle name="40% - 강조색3 2" xfId="11"/>
    <cellStyle name="40% - 강조색3 2 10" xfId="1886"/>
    <cellStyle name="40% - 강조색3 2 11" xfId="1808"/>
    <cellStyle name="40% - 강조색3 2 12" xfId="1731"/>
    <cellStyle name="40% - 강조색3 2 13" xfId="1650"/>
    <cellStyle name="40% - 강조색3 2 14" xfId="1568"/>
    <cellStyle name="40% - 강조색3 2 15" xfId="1486"/>
    <cellStyle name="40% - 강조색3 2 16" xfId="1404"/>
    <cellStyle name="40% - 강조색3 2 17" xfId="1322"/>
    <cellStyle name="40% - 강조색3 2 18" xfId="1240"/>
    <cellStyle name="40% - 강조색3 2 19" xfId="1161"/>
    <cellStyle name="40% - 강조색3 2 2" xfId="3018"/>
    <cellStyle name="40% - 강조색3 2 20" xfId="1082"/>
    <cellStyle name="40% - 강조색3 2 21" xfId="1003"/>
    <cellStyle name="40% - 강조색3 2 22" xfId="924"/>
    <cellStyle name="40% - 강조색3 2 23" xfId="845"/>
    <cellStyle name="40% - 강조색3 2 24" xfId="766"/>
    <cellStyle name="40% - 강조색3 2 25" xfId="687"/>
    <cellStyle name="40% - 강조색3 2 26" xfId="608"/>
    <cellStyle name="40% - 강조색3 2 27" xfId="529"/>
    <cellStyle name="40% - 강조색3 2 28" xfId="450"/>
    <cellStyle name="40% - 강조색3 2 29" xfId="371"/>
    <cellStyle name="40% - 강조색3 2 3" xfId="2462"/>
    <cellStyle name="40% - 강조색3 2 30" xfId="292"/>
    <cellStyle name="40% - 강조색3 2 31" xfId="215"/>
    <cellStyle name="40% - 강조색3 2 32" xfId="138"/>
    <cellStyle name="40% - 강조색3 2 33" xfId="3498"/>
    <cellStyle name="40% - 강조색3 2 34" xfId="3575"/>
    <cellStyle name="40% - 강조색3 2 35" xfId="3642"/>
    <cellStyle name="40% - 강조색3 2 36" xfId="3706"/>
    <cellStyle name="40% - 강조색3 2 37" xfId="3769"/>
    <cellStyle name="40% - 강조색3 2 38" xfId="3830"/>
    <cellStyle name="40% - 강조색3 2 39" xfId="3883"/>
    <cellStyle name="40% - 강조색3 2 4" xfId="2380"/>
    <cellStyle name="40% - 강조색3 2 40" xfId="3934"/>
    <cellStyle name="40% - 강조색3 2 41" xfId="3972"/>
    <cellStyle name="40% - 강조색3 2 5" xfId="2297"/>
    <cellStyle name="40% - 강조색3 2 6" xfId="2213"/>
    <cellStyle name="40% - 강조색3 2 7" xfId="2132"/>
    <cellStyle name="40% - 강조색3 2 8" xfId="2049"/>
    <cellStyle name="40% - 강조색3 2 9" xfId="1968"/>
    <cellStyle name="40% - 강조색3 20" xfId="1248"/>
    <cellStyle name="40% - 강조색3 21" xfId="1167"/>
    <cellStyle name="40% - 강조색3 22" xfId="1088"/>
    <cellStyle name="40% - 강조색3 23" xfId="1009"/>
    <cellStyle name="40% - 강조색3 24" xfId="930"/>
    <cellStyle name="40% - 강조색3 25" xfId="851"/>
    <cellStyle name="40% - 강조색3 26" xfId="772"/>
    <cellStyle name="40% - 강조색3 27" xfId="693"/>
    <cellStyle name="40% - 강조색3 28" xfId="614"/>
    <cellStyle name="40% - 강조색3 29" xfId="535"/>
    <cellStyle name="40% - 강조색3 3" xfId="2976"/>
    <cellStyle name="40% - 강조색3 30" xfId="456"/>
    <cellStyle name="40% - 강조색3 31" xfId="377"/>
    <cellStyle name="40% - 강조색3 32" xfId="298"/>
    <cellStyle name="40% - 강조색3 33" xfId="221"/>
    <cellStyle name="40% - 강조색3 34" xfId="144"/>
    <cellStyle name="40% - 강조색3 35" xfId="67"/>
    <cellStyle name="40% - 강조색3 36" xfId="3569"/>
    <cellStyle name="40% - 강조색3 37" xfId="3636"/>
    <cellStyle name="40% - 강조색3 38" xfId="3700"/>
    <cellStyle name="40% - 강조색3 39" xfId="3764"/>
    <cellStyle name="40% - 강조색3 4" xfId="2922"/>
    <cellStyle name="40% - 강조색3 40" xfId="3825"/>
    <cellStyle name="40% - 강조색3 41" xfId="3878"/>
    <cellStyle name="40% - 강조색3 42" xfId="3929"/>
    <cellStyle name="40% - 강조색3 5" xfId="2511"/>
    <cellStyle name="40% - 강조색3 6" xfId="2388"/>
    <cellStyle name="40% - 강조색3 7" xfId="2304"/>
    <cellStyle name="40% - 강조색3 8" xfId="2222"/>
    <cellStyle name="40% - 강조색3 9" xfId="2139"/>
    <cellStyle name="40% - 강조색4 10" xfId="2104"/>
    <cellStyle name="40% - 강조색4 11" xfId="2020"/>
    <cellStyle name="40% - 강조색4 12" xfId="1941"/>
    <cellStyle name="40% - 강조색4 13" xfId="1859"/>
    <cellStyle name="40% - 강조색4 14" xfId="1753"/>
    <cellStyle name="40% - 강조색4 15" xfId="2201"/>
    <cellStyle name="40% - 강조색4 16" xfId="1623"/>
    <cellStyle name="40% - 강조색4 17" xfId="1541"/>
    <cellStyle name="40% - 강조색4 18" xfId="1459"/>
    <cellStyle name="40% - 강조색4 19" xfId="1377"/>
    <cellStyle name="40% - 강조색4 2" xfId="12"/>
    <cellStyle name="40% - 강조색4 2 10" xfId="1939"/>
    <cellStyle name="40% - 강조색4 2 11" xfId="1857"/>
    <cellStyle name="40% - 강조색4 2 12" xfId="1782"/>
    <cellStyle name="40% - 강조색4 2 13" xfId="1651"/>
    <cellStyle name="40% - 강조색4 2 14" xfId="1621"/>
    <cellStyle name="40% - 강조색4 2 15" xfId="1539"/>
    <cellStyle name="40% - 강조색4 2 16" xfId="1457"/>
    <cellStyle name="40% - 강조색4 2 17" xfId="1375"/>
    <cellStyle name="40% - 강조색4 2 18" xfId="1293"/>
    <cellStyle name="40% - 강조색4 2 19" xfId="1211"/>
    <cellStyle name="40% - 강조색4 2 2" xfId="3019"/>
    <cellStyle name="40% - 강조색4 2 20" xfId="1132"/>
    <cellStyle name="40% - 강조색4 2 21" xfId="1053"/>
    <cellStyle name="40% - 강조색4 2 22" xfId="974"/>
    <cellStyle name="40% - 강조색4 2 23" xfId="895"/>
    <cellStyle name="40% - 강조색4 2 24" xfId="816"/>
    <cellStyle name="40% - 강조색4 2 25" xfId="737"/>
    <cellStyle name="40% - 강조색4 2 26" xfId="658"/>
    <cellStyle name="40% - 강조색4 2 27" xfId="579"/>
    <cellStyle name="40% - 강조색4 2 28" xfId="500"/>
    <cellStyle name="40% - 강조색4 2 29" xfId="421"/>
    <cellStyle name="40% - 강조색4 2 3" xfId="2463"/>
    <cellStyle name="40% - 강조색4 2 30" xfId="342"/>
    <cellStyle name="40% - 강조색4 2 31" xfId="265"/>
    <cellStyle name="40% - 강조색4 2 32" xfId="188"/>
    <cellStyle name="40% - 강조색4 2 33" xfId="111"/>
    <cellStyle name="40% - 강조색4 2 34" xfId="3525"/>
    <cellStyle name="40% - 강조색4 2 35" xfId="3601"/>
    <cellStyle name="40% - 강조색4 2 36" xfId="3665"/>
    <cellStyle name="40% - 강조색4 2 37" xfId="3729"/>
    <cellStyle name="40% - 강조색4 2 38" xfId="3791"/>
    <cellStyle name="40% - 강조색4 2 39" xfId="3845"/>
    <cellStyle name="40% - 강조색4 2 4" xfId="2432"/>
    <cellStyle name="40% - 강조색4 2 40" xfId="3896"/>
    <cellStyle name="40% - 강조색4 2 41" xfId="3945"/>
    <cellStyle name="40% - 강조색4 2 5" xfId="2348"/>
    <cellStyle name="40% - 강조색4 2 6" xfId="2267"/>
    <cellStyle name="40% - 강조색4 2 7" xfId="2182"/>
    <cellStyle name="40% - 강조색4 2 8" xfId="2102"/>
    <cellStyle name="40% - 강조색4 2 9" xfId="2018"/>
    <cellStyle name="40% - 강조색4 20" xfId="1295"/>
    <cellStyle name="40% - 강조색4 21" xfId="1213"/>
    <cellStyle name="40% - 강조색4 22" xfId="1134"/>
    <cellStyle name="40% - 강조색4 23" xfId="1055"/>
    <cellStyle name="40% - 강조색4 24" xfId="976"/>
    <cellStyle name="40% - 강조색4 25" xfId="897"/>
    <cellStyle name="40% - 강조색4 26" xfId="818"/>
    <cellStyle name="40% - 강조색4 27" xfId="739"/>
    <cellStyle name="40% - 강조색4 28" xfId="660"/>
    <cellStyle name="40% - 강조색4 29" xfId="581"/>
    <cellStyle name="40% - 강조색4 3" xfId="2975"/>
    <cellStyle name="40% - 강조색4 30" xfId="502"/>
    <cellStyle name="40% - 강조색4 31" xfId="423"/>
    <cellStyle name="40% - 강조색4 32" xfId="344"/>
    <cellStyle name="40% - 강조색4 33" xfId="267"/>
    <cellStyle name="40% - 강조색4 34" xfId="190"/>
    <cellStyle name="40% - 강조색4 35" xfId="113"/>
    <cellStyle name="40% - 강조색4 36" xfId="3523"/>
    <cellStyle name="40% - 강조색4 37" xfId="3599"/>
    <cellStyle name="40% - 강조색4 38" xfId="3663"/>
    <cellStyle name="40% - 강조색4 39" xfId="3727"/>
    <cellStyle name="40% - 강조색4 4" xfId="2921"/>
    <cellStyle name="40% - 강조색4 40" xfId="3790"/>
    <cellStyle name="40% - 강조색4 41" xfId="3844"/>
    <cellStyle name="40% - 강조색4 42" xfId="3895"/>
    <cellStyle name="40% - 강조색4 5" xfId="2512"/>
    <cellStyle name="40% - 강조색4 6" xfId="2434"/>
    <cellStyle name="40% - 강조색4 7" xfId="2351"/>
    <cellStyle name="40% - 강조색4 8" xfId="2269"/>
    <cellStyle name="40% - 강조색4 9" xfId="2184"/>
    <cellStyle name="40% - 강조색5 10" xfId="2074"/>
    <cellStyle name="40% - 강조색5 11" xfId="1990"/>
    <cellStyle name="40% - 강조색5 12" xfId="1912"/>
    <cellStyle name="40% - 강조색5 13" xfId="1829"/>
    <cellStyle name="40% - 강조색5 14" xfId="1752"/>
    <cellStyle name="40% - 강조색5 15" xfId="1662"/>
    <cellStyle name="40% - 강조색5 16" xfId="1593"/>
    <cellStyle name="40% - 강조색5 17" xfId="1511"/>
    <cellStyle name="40% - 강조색5 18" xfId="1429"/>
    <cellStyle name="40% - 강조색5 19" xfId="1347"/>
    <cellStyle name="40% - 강조색5 2" xfId="13"/>
    <cellStyle name="40% - 강조색5 2 10" xfId="1938"/>
    <cellStyle name="40% - 강조색5 2 11" xfId="1856"/>
    <cellStyle name="40% - 강조색5 2 12" xfId="1781"/>
    <cellStyle name="40% - 강조색5 2 13" xfId="1652"/>
    <cellStyle name="40% - 강조색5 2 14" xfId="1620"/>
    <cellStyle name="40% - 강조색5 2 15" xfId="1538"/>
    <cellStyle name="40% - 강조색5 2 16" xfId="1456"/>
    <cellStyle name="40% - 강조색5 2 17" xfId="1374"/>
    <cellStyle name="40% - 강조색5 2 18" xfId="1292"/>
    <cellStyle name="40% - 강조색5 2 19" xfId="1210"/>
    <cellStyle name="40% - 강조색5 2 2" xfId="3020"/>
    <cellStyle name="40% - 강조색5 2 20" xfId="1131"/>
    <cellStyle name="40% - 강조색5 2 21" xfId="1052"/>
    <cellStyle name="40% - 강조색5 2 22" xfId="973"/>
    <cellStyle name="40% - 강조색5 2 23" xfId="894"/>
    <cellStyle name="40% - 강조색5 2 24" xfId="815"/>
    <cellStyle name="40% - 강조색5 2 25" xfId="736"/>
    <cellStyle name="40% - 강조색5 2 26" xfId="657"/>
    <cellStyle name="40% - 강조색5 2 27" xfId="578"/>
    <cellStyle name="40% - 강조색5 2 28" xfId="499"/>
    <cellStyle name="40% - 강조색5 2 29" xfId="420"/>
    <cellStyle name="40% - 강조색5 2 3" xfId="2464"/>
    <cellStyle name="40% - 강조색5 2 30" xfId="341"/>
    <cellStyle name="40% - 강조색5 2 31" xfId="264"/>
    <cellStyle name="40% - 강조색5 2 32" xfId="187"/>
    <cellStyle name="40% - 강조색5 2 33" xfId="110"/>
    <cellStyle name="40% - 강조색5 2 34" xfId="3526"/>
    <cellStyle name="40% - 강조색5 2 35" xfId="3602"/>
    <cellStyle name="40% - 강조색5 2 36" xfId="3666"/>
    <cellStyle name="40% - 강조색5 2 37" xfId="3730"/>
    <cellStyle name="40% - 강조색5 2 38" xfId="3792"/>
    <cellStyle name="40% - 강조색5 2 39" xfId="3846"/>
    <cellStyle name="40% - 강조색5 2 4" xfId="2431"/>
    <cellStyle name="40% - 강조색5 2 40" xfId="3897"/>
    <cellStyle name="40% - 강조색5 2 41" xfId="3946"/>
    <cellStyle name="40% - 강조색5 2 5" xfId="2347"/>
    <cellStyle name="40% - 강조색5 2 6" xfId="2266"/>
    <cellStyle name="40% - 강조색5 2 7" xfId="2181"/>
    <cellStyle name="40% - 강조색5 2 8" xfId="2101"/>
    <cellStyle name="40% - 강조색5 2 9" xfId="2017"/>
    <cellStyle name="40% - 강조색5 20" xfId="1265"/>
    <cellStyle name="40% - 강조색5 21" xfId="1183"/>
    <cellStyle name="40% - 강조색5 22" xfId="1104"/>
    <cellStyle name="40% - 강조색5 23" xfId="1025"/>
    <cellStyle name="40% - 강조색5 24" xfId="946"/>
    <cellStyle name="40% - 강조색5 25" xfId="867"/>
    <cellStyle name="40% - 강조색5 26" xfId="788"/>
    <cellStyle name="40% - 강조색5 27" xfId="709"/>
    <cellStyle name="40% - 강조색5 28" xfId="630"/>
    <cellStyle name="40% - 강조색5 29" xfId="551"/>
    <cellStyle name="40% - 강조색5 3" xfId="2974"/>
    <cellStyle name="40% - 강조색5 30" xfId="472"/>
    <cellStyle name="40% - 강조색5 31" xfId="393"/>
    <cellStyle name="40% - 강조색5 32" xfId="314"/>
    <cellStyle name="40% - 강조색5 33" xfId="237"/>
    <cellStyle name="40% - 강조색5 34" xfId="160"/>
    <cellStyle name="40% - 강조색5 35" xfId="83"/>
    <cellStyle name="40% - 강조색5 36" xfId="3553"/>
    <cellStyle name="40% - 강조색5 37" xfId="3629"/>
    <cellStyle name="40% - 강조색5 38" xfId="3693"/>
    <cellStyle name="40% - 강조색5 39" xfId="3757"/>
    <cellStyle name="40% - 강조색5 4" xfId="2920"/>
    <cellStyle name="40% - 강조색5 40" xfId="3819"/>
    <cellStyle name="40% - 강조색5 41" xfId="3872"/>
    <cellStyle name="40% - 강조색5 42" xfId="3923"/>
    <cellStyle name="40% - 강조색5 5" xfId="2513"/>
    <cellStyle name="40% - 강조색5 6" xfId="2404"/>
    <cellStyle name="40% - 강조색5 7" xfId="2320"/>
    <cellStyle name="40% - 강조색5 8" xfId="2239"/>
    <cellStyle name="40% - 강조색5 9" xfId="2154"/>
    <cellStyle name="40% - 강조색6 10" xfId="2053"/>
    <cellStyle name="40% - 강조색6 11" xfId="1972"/>
    <cellStyle name="40% - 강조색6 12" xfId="1891"/>
    <cellStyle name="40% - 강조색6 13" xfId="1812"/>
    <cellStyle name="40% - 강조색6 14" xfId="2771"/>
    <cellStyle name="40% - 강조색6 15" xfId="1656"/>
    <cellStyle name="40% - 강조색6 16" xfId="1573"/>
    <cellStyle name="40% - 강조색6 17" xfId="1491"/>
    <cellStyle name="40% - 강조색6 18" xfId="1409"/>
    <cellStyle name="40% - 강조색6 19" xfId="1327"/>
    <cellStyle name="40% - 강조색6 2" xfId="14"/>
    <cellStyle name="40% - 강조색6 2 10" xfId="1937"/>
    <cellStyle name="40% - 강조색6 2 11" xfId="1855"/>
    <cellStyle name="40% - 강조색6 2 12" xfId="1780"/>
    <cellStyle name="40% - 강조색6 2 13" xfId="1653"/>
    <cellStyle name="40% - 강조색6 2 14" xfId="1619"/>
    <cellStyle name="40% - 강조색6 2 15" xfId="1537"/>
    <cellStyle name="40% - 강조색6 2 16" xfId="1455"/>
    <cellStyle name="40% - 강조색6 2 17" xfId="1373"/>
    <cellStyle name="40% - 강조색6 2 18" xfId="1291"/>
    <cellStyle name="40% - 강조색6 2 19" xfId="1209"/>
    <cellStyle name="40% - 강조색6 2 2" xfId="3021"/>
    <cellStyle name="40% - 강조색6 2 20" xfId="1130"/>
    <cellStyle name="40% - 강조색6 2 21" xfId="1051"/>
    <cellStyle name="40% - 강조색6 2 22" xfId="972"/>
    <cellStyle name="40% - 강조색6 2 23" xfId="893"/>
    <cellStyle name="40% - 강조색6 2 24" xfId="814"/>
    <cellStyle name="40% - 강조색6 2 25" xfId="735"/>
    <cellStyle name="40% - 강조색6 2 26" xfId="656"/>
    <cellStyle name="40% - 강조색6 2 27" xfId="577"/>
    <cellStyle name="40% - 강조색6 2 28" xfId="498"/>
    <cellStyle name="40% - 강조색6 2 29" xfId="419"/>
    <cellStyle name="40% - 강조색6 2 3" xfId="2465"/>
    <cellStyle name="40% - 강조색6 2 30" xfId="340"/>
    <cellStyle name="40% - 강조색6 2 31" xfId="263"/>
    <cellStyle name="40% - 강조색6 2 32" xfId="186"/>
    <cellStyle name="40% - 강조색6 2 33" xfId="109"/>
    <cellStyle name="40% - 강조색6 2 34" xfId="3527"/>
    <cellStyle name="40% - 강조색6 2 35" xfId="3603"/>
    <cellStyle name="40% - 강조색6 2 36" xfId="3667"/>
    <cellStyle name="40% - 강조색6 2 37" xfId="3731"/>
    <cellStyle name="40% - 강조색6 2 38" xfId="3793"/>
    <cellStyle name="40% - 강조색6 2 39" xfId="3847"/>
    <cellStyle name="40% - 강조색6 2 4" xfId="2430"/>
    <cellStyle name="40% - 강조색6 2 40" xfId="3898"/>
    <cellStyle name="40% - 강조색6 2 41" xfId="3947"/>
    <cellStyle name="40% - 강조색6 2 5" xfId="2346"/>
    <cellStyle name="40% - 강조색6 2 6" xfId="2265"/>
    <cellStyle name="40% - 강조색6 2 7" xfId="2180"/>
    <cellStyle name="40% - 강조색6 2 8" xfId="2100"/>
    <cellStyle name="40% - 강조색6 2 9" xfId="2016"/>
    <cellStyle name="40% - 강조색6 20" xfId="1245"/>
    <cellStyle name="40% - 강조색6 21" xfId="1165"/>
    <cellStyle name="40% - 강조색6 22" xfId="1086"/>
    <cellStyle name="40% - 강조색6 23" xfId="1007"/>
    <cellStyle name="40% - 강조색6 24" xfId="928"/>
    <cellStyle name="40% - 강조색6 25" xfId="849"/>
    <cellStyle name="40% - 강조색6 26" xfId="770"/>
    <cellStyle name="40% - 강조색6 27" xfId="691"/>
    <cellStyle name="40% - 강조색6 28" xfId="612"/>
    <cellStyle name="40% - 강조색6 29" xfId="533"/>
    <cellStyle name="40% - 강조색6 3" xfId="2973"/>
    <cellStyle name="40% - 강조색6 30" xfId="454"/>
    <cellStyle name="40% - 강조색6 31" xfId="375"/>
    <cellStyle name="40% - 강조색6 32" xfId="296"/>
    <cellStyle name="40% - 강조색6 33" xfId="219"/>
    <cellStyle name="40% - 강조색6 34" xfId="142"/>
    <cellStyle name="40% - 강조색6 35" xfId="65"/>
    <cellStyle name="40% - 강조색6 36" xfId="3571"/>
    <cellStyle name="40% - 강조색6 37" xfId="3638"/>
    <cellStyle name="40% - 강조색6 38" xfId="3702"/>
    <cellStyle name="40% - 강조색6 39" xfId="3766"/>
    <cellStyle name="40% - 강조색6 4" xfId="2919"/>
    <cellStyle name="40% - 강조색6 40" xfId="3827"/>
    <cellStyle name="40% - 강조색6 41" xfId="3880"/>
    <cellStyle name="40% - 강조색6 42" xfId="3931"/>
    <cellStyle name="40% - 강조색6 5" xfId="2514"/>
    <cellStyle name="40% - 강조색6 6" xfId="2384"/>
    <cellStyle name="40% - 강조색6 7" xfId="2301"/>
    <cellStyle name="40% - 강조색6 8" xfId="2218"/>
    <cellStyle name="40% - 강조색6 9" xfId="2136"/>
    <cellStyle name="60% - 강조색1 10" xfId="2073"/>
    <cellStyle name="60% - 강조색1 11" xfId="1989"/>
    <cellStyle name="60% - 강조색1 12" xfId="1911"/>
    <cellStyle name="60% - 강조색1 13" xfId="1828"/>
    <cellStyle name="60% - 강조색1 14" xfId="2845"/>
    <cellStyle name="60% - 강조색1 15" xfId="1660"/>
    <cellStyle name="60% - 강조색1 16" xfId="1592"/>
    <cellStyle name="60% - 강조색1 17" xfId="1510"/>
    <cellStyle name="60% - 강조색1 18" xfId="1428"/>
    <cellStyle name="60% - 강조색1 19" xfId="1346"/>
    <cellStyle name="60% - 강조색1 2" xfId="15"/>
    <cellStyle name="60% - 강조색1 2 10" xfId="1936"/>
    <cellStyle name="60% - 강조색1 2 11" xfId="1854"/>
    <cellStyle name="60% - 강조색1 2 12" xfId="1779"/>
    <cellStyle name="60% - 강조색1 2 13" xfId="1654"/>
    <cellStyle name="60% - 강조색1 2 14" xfId="1618"/>
    <cellStyle name="60% - 강조색1 2 15" xfId="1536"/>
    <cellStyle name="60% - 강조색1 2 16" xfId="1454"/>
    <cellStyle name="60% - 강조색1 2 17" xfId="1372"/>
    <cellStyle name="60% - 강조색1 2 18" xfId="1290"/>
    <cellStyle name="60% - 강조색1 2 19" xfId="1208"/>
    <cellStyle name="60% - 강조색1 2 2" xfId="3022"/>
    <cellStyle name="60% - 강조색1 2 20" xfId="1129"/>
    <cellStyle name="60% - 강조색1 2 21" xfId="1050"/>
    <cellStyle name="60% - 강조색1 2 22" xfId="971"/>
    <cellStyle name="60% - 강조색1 2 23" xfId="892"/>
    <cellStyle name="60% - 강조색1 2 24" xfId="813"/>
    <cellStyle name="60% - 강조색1 2 25" xfId="734"/>
    <cellStyle name="60% - 강조색1 2 26" xfId="655"/>
    <cellStyle name="60% - 강조색1 2 27" xfId="576"/>
    <cellStyle name="60% - 강조색1 2 28" xfId="497"/>
    <cellStyle name="60% - 강조색1 2 29" xfId="418"/>
    <cellStyle name="60% - 강조색1 2 3" xfId="2466"/>
    <cellStyle name="60% - 강조색1 2 30" xfId="339"/>
    <cellStyle name="60% - 강조색1 2 31" xfId="262"/>
    <cellStyle name="60% - 강조색1 2 32" xfId="185"/>
    <cellStyle name="60% - 강조색1 2 33" xfId="108"/>
    <cellStyle name="60% - 강조색1 2 34" xfId="3528"/>
    <cellStyle name="60% - 강조색1 2 35" xfId="3604"/>
    <cellStyle name="60% - 강조색1 2 36" xfId="3668"/>
    <cellStyle name="60% - 강조색1 2 37" xfId="3732"/>
    <cellStyle name="60% - 강조색1 2 38" xfId="3794"/>
    <cellStyle name="60% - 강조색1 2 39" xfId="3848"/>
    <cellStyle name="60% - 강조색1 2 4" xfId="2429"/>
    <cellStyle name="60% - 강조색1 2 40" xfId="3899"/>
    <cellStyle name="60% - 강조색1 2 41" xfId="3948"/>
    <cellStyle name="60% - 강조색1 2 5" xfId="2345"/>
    <cellStyle name="60% - 강조색1 2 6" xfId="2264"/>
    <cellStyle name="60% - 강조색1 2 7" xfId="2179"/>
    <cellStyle name="60% - 강조색1 2 8" xfId="2099"/>
    <cellStyle name="60% - 강조색1 2 9" xfId="2015"/>
    <cellStyle name="60% - 강조색1 20" xfId="1264"/>
    <cellStyle name="60% - 강조색1 21" xfId="1182"/>
    <cellStyle name="60% - 강조색1 22" xfId="1103"/>
    <cellStyle name="60% - 강조색1 23" xfId="1024"/>
    <cellStyle name="60% - 강조색1 24" xfId="945"/>
    <cellStyle name="60% - 강조색1 25" xfId="866"/>
    <cellStyle name="60% - 강조색1 26" xfId="787"/>
    <cellStyle name="60% - 강조색1 27" xfId="708"/>
    <cellStyle name="60% - 강조색1 28" xfId="629"/>
    <cellStyle name="60% - 강조색1 29" xfId="550"/>
    <cellStyle name="60% - 강조색1 3" xfId="2972"/>
    <cellStyle name="60% - 강조색1 30" xfId="471"/>
    <cellStyle name="60% - 강조색1 31" xfId="392"/>
    <cellStyle name="60% - 강조색1 32" xfId="313"/>
    <cellStyle name="60% - 강조색1 33" xfId="236"/>
    <cellStyle name="60% - 강조색1 34" xfId="159"/>
    <cellStyle name="60% - 강조색1 35" xfId="82"/>
    <cellStyle name="60% - 강조색1 36" xfId="3554"/>
    <cellStyle name="60% - 강조색1 37" xfId="3630"/>
    <cellStyle name="60% - 강조색1 38" xfId="3694"/>
    <cellStyle name="60% - 강조색1 39" xfId="3758"/>
    <cellStyle name="60% - 강조색1 4" xfId="2918"/>
    <cellStyle name="60% - 강조색1 40" xfId="3820"/>
    <cellStyle name="60% - 강조색1 41" xfId="3873"/>
    <cellStyle name="60% - 강조색1 42" xfId="3924"/>
    <cellStyle name="60% - 강조색1 5" xfId="2515"/>
    <cellStyle name="60% - 강조색1 6" xfId="2403"/>
    <cellStyle name="60% - 강조색1 7" xfId="2319"/>
    <cellStyle name="60% - 강조색1 8" xfId="2238"/>
    <cellStyle name="60% - 강조색1 9" xfId="2153"/>
    <cellStyle name="60% - 강조색2 10" xfId="2072"/>
    <cellStyle name="60% - 강조색2 11" xfId="1988"/>
    <cellStyle name="60% - 강조색2 12" xfId="1910"/>
    <cellStyle name="60% - 강조색2 13" xfId="1827"/>
    <cellStyle name="60% - 강조색2 14" xfId="2234"/>
    <cellStyle name="60% - 강조색2 15" xfId="1705"/>
    <cellStyle name="60% - 강조색2 16" xfId="1591"/>
    <cellStyle name="60% - 강조색2 17" xfId="1509"/>
    <cellStyle name="60% - 강조색2 18" xfId="1427"/>
    <cellStyle name="60% - 강조색2 19" xfId="1345"/>
    <cellStyle name="60% - 강조색2 2" xfId="16"/>
    <cellStyle name="60% - 강조색2 2 10" xfId="1935"/>
    <cellStyle name="60% - 강조색2 2 11" xfId="1853"/>
    <cellStyle name="60% - 강조색2 2 12" xfId="1778"/>
    <cellStyle name="60% - 강조색2 2 13" xfId="1703"/>
    <cellStyle name="60% - 강조색2 2 14" xfId="1617"/>
    <cellStyle name="60% - 강조색2 2 15" xfId="1535"/>
    <cellStyle name="60% - 강조색2 2 16" xfId="1453"/>
    <cellStyle name="60% - 강조색2 2 17" xfId="1371"/>
    <cellStyle name="60% - 강조색2 2 18" xfId="1289"/>
    <cellStyle name="60% - 강조색2 2 19" xfId="1207"/>
    <cellStyle name="60% - 강조색2 2 2" xfId="3023"/>
    <cellStyle name="60% - 강조색2 2 20" xfId="1128"/>
    <cellStyle name="60% - 강조색2 2 21" xfId="1049"/>
    <cellStyle name="60% - 강조색2 2 22" xfId="970"/>
    <cellStyle name="60% - 강조색2 2 23" xfId="891"/>
    <cellStyle name="60% - 강조색2 2 24" xfId="812"/>
    <cellStyle name="60% - 강조색2 2 25" xfId="733"/>
    <cellStyle name="60% - 강조색2 2 26" xfId="654"/>
    <cellStyle name="60% - 강조색2 2 27" xfId="575"/>
    <cellStyle name="60% - 강조색2 2 28" xfId="496"/>
    <cellStyle name="60% - 강조색2 2 29" xfId="417"/>
    <cellStyle name="60% - 강조색2 2 3" xfId="2467"/>
    <cellStyle name="60% - 강조색2 2 30" xfId="338"/>
    <cellStyle name="60% - 강조색2 2 31" xfId="261"/>
    <cellStyle name="60% - 강조색2 2 32" xfId="184"/>
    <cellStyle name="60% - 강조색2 2 33" xfId="107"/>
    <cellStyle name="60% - 강조색2 2 34" xfId="3529"/>
    <cellStyle name="60% - 강조색2 2 35" xfId="3605"/>
    <cellStyle name="60% - 강조색2 2 36" xfId="3669"/>
    <cellStyle name="60% - 강조색2 2 37" xfId="3733"/>
    <cellStyle name="60% - 강조색2 2 38" xfId="3795"/>
    <cellStyle name="60% - 강조색2 2 39" xfId="3849"/>
    <cellStyle name="60% - 강조색2 2 4" xfId="2428"/>
    <cellStyle name="60% - 강조색2 2 40" xfId="3900"/>
    <cellStyle name="60% - 강조색2 2 41" xfId="3949"/>
    <cellStyle name="60% - 강조색2 2 5" xfId="2344"/>
    <cellStyle name="60% - 강조색2 2 6" xfId="2263"/>
    <cellStyle name="60% - 강조색2 2 7" xfId="2178"/>
    <cellStyle name="60% - 강조색2 2 8" xfId="2098"/>
    <cellStyle name="60% - 강조색2 2 9" xfId="2014"/>
    <cellStyle name="60% - 강조색2 20" xfId="1263"/>
    <cellStyle name="60% - 강조색2 21" xfId="1181"/>
    <cellStyle name="60% - 강조색2 22" xfId="1102"/>
    <cellStyle name="60% - 강조색2 23" xfId="1023"/>
    <cellStyle name="60% - 강조색2 24" xfId="944"/>
    <cellStyle name="60% - 강조색2 25" xfId="865"/>
    <cellStyle name="60% - 강조색2 26" xfId="786"/>
    <cellStyle name="60% - 강조색2 27" xfId="707"/>
    <cellStyle name="60% - 강조색2 28" xfId="628"/>
    <cellStyle name="60% - 강조색2 29" xfId="549"/>
    <cellStyle name="60% - 강조색2 3" xfId="2971"/>
    <cellStyle name="60% - 강조색2 30" xfId="470"/>
    <cellStyle name="60% - 강조색2 31" xfId="391"/>
    <cellStyle name="60% - 강조색2 32" xfId="312"/>
    <cellStyle name="60% - 강조색2 33" xfId="235"/>
    <cellStyle name="60% - 강조색2 34" xfId="158"/>
    <cellStyle name="60% - 강조색2 35" xfId="81"/>
    <cellStyle name="60% - 강조색2 36" xfId="3555"/>
    <cellStyle name="60% - 강조색2 37" xfId="3631"/>
    <cellStyle name="60% - 강조색2 38" xfId="3695"/>
    <cellStyle name="60% - 강조색2 39" xfId="3759"/>
    <cellStyle name="60% - 강조색2 4" xfId="2917"/>
    <cellStyle name="60% - 강조색2 40" xfId="3821"/>
    <cellStyle name="60% - 강조색2 41" xfId="3874"/>
    <cellStyle name="60% - 강조색2 42" xfId="3925"/>
    <cellStyle name="60% - 강조색2 5" xfId="2516"/>
    <cellStyle name="60% - 강조색2 6" xfId="2402"/>
    <cellStyle name="60% - 강조색2 7" xfId="2318"/>
    <cellStyle name="60% - 강조색2 8" xfId="2237"/>
    <cellStyle name="60% - 강조색2 9" xfId="2152"/>
    <cellStyle name="60% - 강조색3 10" xfId="2071"/>
    <cellStyle name="60% - 강조색3 11" xfId="1987"/>
    <cellStyle name="60% - 강조색3 12" xfId="1909"/>
    <cellStyle name="60% - 강조색3 13" xfId="1826"/>
    <cellStyle name="60% - 강조색3 14" xfId="2233"/>
    <cellStyle name="60% - 강조색3 15" xfId="1675"/>
    <cellStyle name="60% - 강조색3 16" xfId="1590"/>
    <cellStyle name="60% - 강조색3 17" xfId="1508"/>
    <cellStyle name="60% - 강조색3 18" xfId="1426"/>
    <cellStyle name="60% - 강조색3 19" xfId="1344"/>
    <cellStyle name="60% - 강조색3 2" xfId="17"/>
    <cellStyle name="60% - 강조색3 2 10" xfId="1934"/>
    <cellStyle name="60% - 강조색3 2 11" xfId="1852"/>
    <cellStyle name="60% - 강조색3 2 12" xfId="1777"/>
    <cellStyle name="60% - 강조색3 2 13" xfId="1702"/>
    <cellStyle name="60% - 강조색3 2 14" xfId="1616"/>
    <cellStyle name="60% - 강조색3 2 15" xfId="1534"/>
    <cellStyle name="60% - 강조색3 2 16" xfId="1452"/>
    <cellStyle name="60% - 강조색3 2 17" xfId="1370"/>
    <cellStyle name="60% - 강조색3 2 18" xfId="1288"/>
    <cellStyle name="60% - 강조색3 2 19" xfId="1206"/>
    <cellStyle name="60% - 강조색3 2 2" xfId="3024"/>
    <cellStyle name="60% - 강조색3 2 20" xfId="1127"/>
    <cellStyle name="60% - 강조색3 2 21" xfId="1048"/>
    <cellStyle name="60% - 강조색3 2 22" xfId="969"/>
    <cellStyle name="60% - 강조색3 2 23" xfId="890"/>
    <cellStyle name="60% - 강조색3 2 24" xfId="811"/>
    <cellStyle name="60% - 강조색3 2 25" xfId="732"/>
    <cellStyle name="60% - 강조색3 2 26" xfId="653"/>
    <cellStyle name="60% - 강조색3 2 27" xfId="574"/>
    <cellStyle name="60% - 강조색3 2 28" xfId="495"/>
    <cellStyle name="60% - 강조색3 2 29" xfId="416"/>
    <cellStyle name="60% - 강조색3 2 3" xfId="2468"/>
    <cellStyle name="60% - 강조색3 2 30" xfId="337"/>
    <cellStyle name="60% - 강조색3 2 31" xfId="260"/>
    <cellStyle name="60% - 강조색3 2 32" xfId="183"/>
    <cellStyle name="60% - 강조색3 2 33" xfId="106"/>
    <cellStyle name="60% - 강조색3 2 34" xfId="3530"/>
    <cellStyle name="60% - 강조색3 2 35" xfId="3606"/>
    <cellStyle name="60% - 강조색3 2 36" xfId="3670"/>
    <cellStyle name="60% - 강조색3 2 37" xfId="3734"/>
    <cellStyle name="60% - 강조색3 2 38" xfId="3796"/>
    <cellStyle name="60% - 강조색3 2 39" xfId="3850"/>
    <cellStyle name="60% - 강조색3 2 4" xfId="2427"/>
    <cellStyle name="60% - 강조색3 2 40" xfId="3901"/>
    <cellStyle name="60% - 강조색3 2 41" xfId="3950"/>
    <cellStyle name="60% - 강조색3 2 5" xfId="2343"/>
    <cellStyle name="60% - 강조색3 2 6" xfId="2262"/>
    <cellStyle name="60% - 강조색3 2 7" xfId="2177"/>
    <cellStyle name="60% - 강조색3 2 8" xfId="2097"/>
    <cellStyle name="60% - 강조색3 2 9" xfId="2013"/>
    <cellStyle name="60% - 강조색3 20" xfId="1262"/>
    <cellStyle name="60% - 강조색3 21" xfId="1180"/>
    <cellStyle name="60% - 강조색3 22" xfId="1101"/>
    <cellStyle name="60% - 강조색3 23" xfId="1022"/>
    <cellStyle name="60% - 강조색3 24" xfId="943"/>
    <cellStyle name="60% - 강조색3 25" xfId="864"/>
    <cellStyle name="60% - 강조색3 26" xfId="785"/>
    <cellStyle name="60% - 강조색3 27" xfId="706"/>
    <cellStyle name="60% - 강조색3 28" xfId="627"/>
    <cellStyle name="60% - 강조색3 29" xfId="548"/>
    <cellStyle name="60% - 강조색3 3" xfId="2970"/>
    <cellStyle name="60% - 강조색3 30" xfId="469"/>
    <cellStyle name="60% - 강조색3 31" xfId="390"/>
    <cellStyle name="60% - 강조색3 32" xfId="311"/>
    <cellStyle name="60% - 강조색3 33" xfId="234"/>
    <cellStyle name="60% - 강조색3 34" xfId="157"/>
    <cellStyle name="60% - 강조색3 35" xfId="80"/>
    <cellStyle name="60% - 강조색3 36" xfId="3556"/>
    <cellStyle name="60% - 강조색3 37" xfId="3632"/>
    <cellStyle name="60% - 강조색3 38" xfId="3696"/>
    <cellStyle name="60% - 강조색3 39" xfId="3760"/>
    <cellStyle name="60% - 강조색3 4" xfId="2916"/>
    <cellStyle name="60% - 강조색3 40" xfId="3822"/>
    <cellStyle name="60% - 강조색3 41" xfId="3875"/>
    <cellStyle name="60% - 강조색3 42" xfId="3926"/>
    <cellStyle name="60% - 강조색3 5" xfId="2517"/>
    <cellStyle name="60% - 강조색3 6" xfId="2401"/>
    <cellStyle name="60% - 강조색3 7" xfId="2317"/>
    <cellStyle name="60% - 강조색3 8" xfId="2236"/>
    <cellStyle name="60% - 강조색3 9" xfId="2151"/>
    <cellStyle name="60% - 강조색4 10" xfId="2800"/>
    <cellStyle name="60% - 강조색4 11" xfId="2633"/>
    <cellStyle name="60% - 강조색4 12" xfId="2778"/>
    <cellStyle name="60% - 강조색4 13" xfId="2653"/>
    <cellStyle name="60% - 강조색4 14" xfId="2232"/>
    <cellStyle name="60% - 강조색4 15" xfId="1658"/>
    <cellStyle name="60% - 강조색4 16" xfId="2067"/>
    <cellStyle name="60% - 강조색4 17" xfId="1811"/>
    <cellStyle name="60% - 강조색4 18" xfId="1905"/>
    <cellStyle name="60% - 강조색4 19" xfId="1657"/>
    <cellStyle name="60% - 강조색4 2" xfId="18"/>
    <cellStyle name="60% - 강조색4 2 10" xfId="1933"/>
    <cellStyle name="60% - 강조색4 2 11" xfId="1851"/>
    <cellStyle name="60% - 강조색4 2 12" xfId="1776"/>
    <cellStyle name="60% - 강조색4 2 13" xfId="1701"/>
    <cellStyle name="60% - 강조색4 2 14" xfId="1615"/>
    <cellStyle name="60% - 강조색4 2 15" xfId="1533"/>
    <cellStyle name="60% - 강조색4 2 16" xfId="1451"/>
    <cellStyle name="60% - 강조색4 2 17" xfId="1369"/>
    <cellStyle name="60% - 강조색4 2 18" xfId="1287"/>
    <cellStyle name="60% - 강조색4 2 19" xfId="1205"/>
    <cellStyle name="60% - 강조색4 2 2" xfId="3025"/>
    <cellStyle name="60% - 강조색4 2 20" xfId="1126"/>
    <cellStyle name="60% - 강조색4 2 21" xfId="1047"/>
    <cellStyle name="60% - 강조색4 2 22" xfId="968"/>
    <cellStyle name="60% - 강조색4 2 23" xfId="889"/>
    <cellStyle name="60% - 강조색4 2 24" xfId="810"/>
    <cellStyle name="60% - 강조색4 2 25" xfId="731"/>
    <cellStyle name="60% - 강조색4 2 26" xfId="652"/>
    <cellStyle name="60% - 강조색4 2 27" xfId="573"/>
    <cellStyle name="60% - 강조색4 2 28" xfId="494"/>
    <cellStyle name="60% - 강조색4 2 29" xfId="415"/>
    <cellStyle name="60% - 강조색4 2 3" xfId="2469"/>
    <cellStyle name="60% - 강조색4 2 30" xfId="336"/>
    <cellStyle name="60% - 강조색4 2 31" xfId="259"/>
    <cellStyle name="60% - 강조색4 2 32" xfId="182"/>
    <cellStyle name="60% - 강조색4 2 33" xfId="105"/>
    <cellStyle name="60% - 강조색4 2 34" xfId="3531"/>
    <cellStyle name="60% - 강조색4 2 35" xfId="3607"/>
    <cellStyle name="60% - 강조색4 2 36" xfId="3671"/>
    <cellStyle name="60% - 강조색4 2 37" xfId="3735"/>
    <cellStyle name="60% - 강조색4 2 38" xfId="3797"/>
    <cellStyle name="60% - 강조색4 2 39" xfId="3851"/>
    <cellStyle name="60% - 강조색4 2 4" xfId="2426"/>
    <cellStyle name="60% - 강조색4 2 40" xfId="3902"/>
    <cellStyle name="60% - 강조색4 2 41" xfId="3951"/>
    <cellStyle name="60% - 강조색4 2 5" xfId="2342"/>
    <cellStyle name="60% - 강조색4 2 6" xfId="2261"/>
    <cellStyle name="60% - 강조색4 2 7" xfId="2176"/>
    <cellStyle name="60% - 강조색4 2 8" xfId="2096"/>
    <cellStyle name="60% - 강조색4 2 9" xfId="2012"/>
    <cellStyle name="60% - 강조색4 20" xfId="1748"/>
    <cellStyle name="60% - 강조색4 21" xfId="2686"/>
    <cellStyle name="60% - 강조색4 22" xfId="2737"/>
    <cellStyle name="60% - 강조색4 23" xfId="2694"/>
    <cellStyle name="60% - 강조색4 24" xfId="2731"/>
    <cellStyle name="60% - 강조색4 25" xfId="2702"/>
    <cellStyle name="60% - 강조색4 26" xfId="2723"/>
    <cellStyle name="60% - 강조색4 27" xfId="2709"/>
    <cellStyle name="60% - 강조색4 28" xfId="2719"/>
    <cellStyle name="60% - 강조색4 29" xfId="2714"/>
    <cellStyle name="60% - 강조색4 3" xfId="2969"/>
    <cellStyle name="60% - 강조색4 30" xfId="2718"/>
    <cellStyle name="60% - 강조색4 31" xfId="2352"/>
    <cellStyle name="60% - 강조색4 32" xfId="2887"/>
    <cellStyle name="60% - 강조색4 33" xfId="2185"/>
    <cellStyle name="60% - 강조색4 34" xfId="2836"/>
    <cellStyle name="60% - 강조색4 35" xfId="2021"/>
    <cellStyle name="60% - 강조색4 36" xfId="2811"/>
    <cellStyle name="60% - 강조색4 37" xfId="1860"/>
    <cellStyle name="60% - 강조색4 38" xfId="1574"/>
    <cellStyle name="60% - 강조색4 39" xfId="1492"/>
    <cellStyle name="60% - 강조색4 4" xfId="2915"/>
    <cellStyle name="60% - 강조색4 40" xfId="1410"/>
    <cellStyle name="60% - 강조색4 41" xfId="1328"/>
    <cellStyle name="60% - 강조색4 42" xfId="1246"/>
    <cellStyle name="60% - 강조색4 5" xfId="2518"/>
    <cellStyle name="60% - 강조색4 6" xfId="2861"/>
    <cellStyle name="60% - 강조색4 7" xfId="2573"/>
    <cellStyle name="60% - 강조색4 8" xfId="2823"/>
    <cellStyle name="60% - 강조색4 9" xfId="2611"/>
    <cellStyle name="60% - 강조색5 10" xfId="2799"/>
    <cellStyle name="60% - 강조색5 11" xfId="2634"/>
    <cellStyle name="60% - 강조색5 12" xfId="2899"/>
    <cellStyle name="60% - 강조색5 13" xfId="2534"/>
    <cellStyle name="60% - 강조색5 14" xfId="2202"/>
    <cellStyle name="60% - 강조색5 15" xfId="1674"/>
    <cellStyle name="60% - 강조색5 16" xfId="2038"/>
    <cellStyle name="60% - 강조색5 17" xfId="2669"/>
    <cellStyle name="60% - 강조색5 18" xfId="1903"/>
    <cellStyle name="60% - 강조색5 19" xfId="2679"/>
    <cellStyle name="60% - 강조색5 2" xfId="19"/>
    <cellStyle name="60% - 강조색5 2 10" xfId="1932"/>
    <cellStyle name="60% - 강조색5 2 11" xfId="1850"/>
    <cellStyle name="60% - 강조색5 2 12" xfId="1775"/>
    <cellStyle name="60% - 강조색5 2 13" xfId="1700"/>
    <cellStyle name="60% - 강조색5 2 14" xfId="1614"/>
    <cellStyle name="60% - 강조색5 2 15" xfId="1532"/>
    <cellStyle name="60% - 강조색5 2 16" xfId="1450"/>
    <cellStyle name="60% - 강조색5 2 17" xfId="1368"/>
    <cellStyle name="60% - 강조색5 2 18" xfId="1286"/>
    <cellStyle name="60% - 강조색5 2 19" xfId="1204"/>
    <cellStyle name="60% - 강조색5 2 2" xfId="3026"/>
    <cellStyle name="60% - 강조색5 2 20" xfId="1125"/>
    <cellStyle name="60% - 강조색5 2 21" xfId="1046"/>
    <cellStyle name="60% - 강조색5 2 22" xfId="967"/>
    <cellStyle name="60% - 강조색5 2 23" xfId="888"/>
    <cellStyle name="60% - 강조색5 2 24" xfId="809"/>
    <cellStyle name="60% - 강조색5 2 25" xfId="730"/>
    <cellStyle name="60% - 강조색5 2 26" xfId="651"/>
    <cellStyle name="60% - 강조색5 2 27" xfId="572"/>
    <cellStyle name="60% - 강조색5 2 28" xfId="493"/>
    <cellStyle name="60% - 강조색5 2 29" xfId="414"/>
    <cellStyle name="60% - 강조색5 2 3" xfId="2470"/>
    <cellStyle name="60% - 강조색5 2 30" xfId="335"/>
    <cellStyle name="60% - 강조색5 2 31" xfId="258"/>
    <cellStyle name="60% - 강조색5 2 32" xfId="181"/>
    <cellStyle name="60% - 강조색5 2 33" xfId="104"/>
    <cellStyle name="60% - 강조색5 2 34" xfId="3532"/>
    <cellStyle name="60% - 강조색5 2 35" xfId="3608"/>
    <cellStyle name="60% - 강조색5 2 36" xfId="3672"/>
    <cellStyle name="60% - 강조색5 2 37" xfId="3736"/>
    <cellStyle name="60% - 강조색5 2 38" xfId="3798"/>
    <cellStyle name="60% - 강조색5 2 39" xfId="3852"/>
    <cellStyle name="60% - 강조색5 2 4" xfId="2425"/>
    <cellStyle name="60% - 강조색5 2 40" xfId="3903"/>
    <cellStyle name="60% - 강조색5 2 41" xfId="3952"/>
    <cellStyle name="60% - 강조색5 2 5" xfId="2341"/>
    <cellStyle name="60% - 강조색5 2 6" xfId="2260"/>
    <cellStyle name="60% - 강조색5 2 7" xfId="2175"/>
    <cellStyle name="60% - 강조색5 2 8" xfId="2095"/>
    <cellStyle name="60% - 강조색5 2 9" xfId="2011"/>
    <cellStyle name="60% - 강조색5 20" xfId="1746"/>
    <cellStyle name="60% - 강조색5 21" xfId="2687"/>
    <cellStyle name="60% - 강조색5 22" xfId="1739"/>
    <cellStyle name="60% - 강조색5 23" xfId="2596"/>
    <cellStyle name="60% - 강조색5 24" xfId="1792"/>
    <cellStyle name="60% - 강조색5 25" xfId="2356"/>
    <cellStyle name="60% - 강조색5 26" xfId="1624"/>
    <cellStyle name="60% - 강조색5 27" xfId="1542"/>
    <cellStyle name="60% - 강조색5 28" xfId="1460"/>
    <cellStyle name="60% - 강조색5 29" xfId="1378"/>
    <cellStyle name="60% - 강조색5 3" xfId="2968"/>
    <cellStyle name="60% - 강조색5 30" xfId="1296"/>
    <cellStyle name="60% - 강조색5 31" xfId="1214"/>
    <cellStyle name="60% - 강조색5 32" xfId="1135"/>
    <cellStyle name="60% - 강조색5 33" xfId="1056"/>
    <cellStyle name="60% - 강조색5 34" xfId="977"/>
    <cellStyle name="60% - 강조색5 35" xfId="898"/>
    <cellStyle name="60% - 강조색5 36" xfId="819"/>
    <cellStyle name="60% - 강조색5 37" xfId="740"/>
    <cellStyle name="60% - 강조색5 38" xfId="661"/>
    <cellStyle name="60% - 강조색5 39" xfId="582"/>
    <cellStyle name="60% - 강조색5 4" xfId="2914"/>
    <cellStyle name="60% - 강조색5 40" xfId="503"/>
    <cellStyle name="60% - 강조색5 41" xfId="424"/>
    <cellStyle name="60% - 강조색5 42" xfId="345"/>
    <cellStyle name="60% - 강조색5 5" xfId="2519"/>
    <cellStyle name="60% - 강조색5 6" xfId="2860"/>
    <cellStyle name="60% - 강조색5 7" xfId="2574"/>
    <cellStyle name="60% - 강조색5 8" xfId="2822"/>
    <cellStyle name="60% - 강조색5 9" xfId="2612"/>
    <cellStyle name="60% - 강조색6 10" xfId="2798"/>
    <cellStyle name="60% - 강조색6 11" xfId="2635"/>
    <cellStyle name="60% - 강조색6 12" xfId="2399"/>
    <cellStyle name="60% - 강조색6 13" xfId="2315"/>
    <cellStyle name="60% - 강조색6 14" xfId="2230"/>
    <cellStyle name="60% - 강조색6 15" xfId="1673"/>
    <cellStyle name="60% - 강조색6 16" xfId="2065"/>
    <cellStyle name="60% - 강조색6 17" xfId="2670"/>
    <cellStyle name="60% - 강조색6 18" xfId="1902"/>
    <cellStyle name="60% - 강조색6 19" xfId="2885"/>
    <cellStyle name="60% - 강조색6 2" xfId="20"/>
    <cellStyle name="60% - 강조색6 2 10" xfId="1931"/>
    <cellStyle name="60% - 강조색6 2 11" xfId="1849"/>
    <cellStyle name="60% - 강조색6 2 12" xfId="1774"/>
    <cellStyle name="60% - 강조색6 2 13" xfId="1699"/>
    <cellStyle name="60% - 강조색6 2 14" xfId="1613"/>
    <cellStyle name="60% - 강조색6 2 15" xfId="1531"/>
    <cellStyle name="60% - 강조색6 2 16" xfId="1449"/>
    <cellStyle name="60% - 강조색6 2 17" xfId="1367"/>
    <cellStyle name="60% - 강조색6 2 18" xfId="1285"/>
    <cellStyle name="60% - 강조색6 2 19" xfId="1203"/>
    <cellStyle name="60% - 강조색6 2 2" xfId="3027"/>
    <cellStyle name="60% - 강조색6 2 20" xfId="1124"/>
    <cellStyle name="60% - 강조색6 2 21" xfId="1045"/>
    <cellStyle name="60% - 강조색6 2 22" xfId="966"/>
    <cellStyle name="60% - 강조색6 2 23" xfId="887"/>
    <cellStyle name="60% - 강조색6 2 24" xfId="808"/>
    <cellStyle name="60% - 강조색6 2 25" xfId="729"/>
    <cellStyle name="60% - 강조색6 2 26" xfId="650"/>
    <cellStyle name="60% - 강조색6 2 27" xfId="571"/>
    <cellStyle name="60% - 강조색6 2 28" xfId="492"/>
    <cellStyle name="60% - 강조색6 2 29" xfId="413"/>
    <cellStyle name="60% - 강조색6 2 3" xfId="2471"/>
    <cellStyle name="60% - 강조색6 2 30" xfId="334"/>
    <cellStyle name="60% - 강조색6 2 31" xfId="257"/>
    <cellStyle name="60% - 강조색6 2 32" xfId="180"/>
    <cellStyle name="60% - 강조색6 2 33" xfId="103"/>
    <cellStyle name="60% - 강조색6 2 34" xfId="3533"/>
    <cellStyle name="60% - 강조색6 2 35" xfId="3609"/>
    <cellStyle name="60% - 강조색6 2 36" xfId="3673"/>
    <cellStyle name="60% - 강조색6 2 37" xfId="3737"/>
    <cellStyle name="60% - 강조색6 2 38" xfId="3799"/>
    <cellStyle name="60% - 강조색6 2 39" xfId="3853"/>
    <cellStyle name="60% - 강조색6 2 4" xfId="2424"/>
    <cellStyle name="60% - 강조색6 2 40" xfId="3904"/>
    <cellStyle name="60% - 강조색6 2 41" xfId="3953"/>
    <cellStyle name="60% - 강조색6 2 5" xfId="2340"/>
    <cellStyle name="60% - 강조색6 2 6" xfId="2259"/>
    <cellStyle name="60% - 강조색6 2 7" xfId="2174"/>
    <cellStyle name="60% - 강조색6 2 8" xfId="2094"/>
    <cellStyle name="60% - 강조색6 2 9" xfId="2010"/>
    <cellStyle name="60% - 강조색6 20" xfId="1745"/>
    <cellStyle name="60% - 강조색6 21" xfId="2834"/>
    <cellStyle name="60% - 강조색6 22" xfId="1588"/>
    <cellStyle name="60% - 강조색6 23" xfId="1506"/>
    <cellStyle name="60% - 강조색6 24" xfId="1424"/>
    <cellStyle name="60% - 강조색6 25" xfId="1342"/>
    <cellStyle name="60% - 강조색6 26" xfId="1260"/>
    <cellStyle name="60% - 강조색6 27" xfId="1178"/>
    <cellStyle name="60% - 강조색6 28" xfId="1099"/>
    <cellStyle name="60% - 강조색6 29" xfId="1020"/>
    <cellStyle name="60% - 강조색6 3" xfId="2967"/>
    <cellStyle name="60% - 강조색6 30" xfId="941"/>
    <cellStyle name="60% - 강조색6 31" xfId="862"/>
    <cellStyle name="60% - 강조색6 32" xfId="783"/>
    <cellStyle name="60% - 강조색6 33" xfId="704"/>
    <cellStyle name="60% - 강조색6 34" xfId="625"/>
    <cellStyle name="60% - 강조색6 35" xfId="546"/>
    <cellStyle name="60% - 강조색6 36" xfId="467"/>
    <cellStyle name="60% - 강조색6 37" xfId="388"/>
    <cellStyle name="60% - 강조색6 38" xfId="309"/>
    <cellStyle name="60% - 강조색6 39" xfId="232"/>
    <cellStyle name="60% - 강조색6 4" xfId="2913"/>
    <cellStyle name="60% - 강조색6 40" xfId="155"/>
    <cellStyle name="60% - 강조색6 41" xfId="78"/>
    <cellStyle name="60% - 강조색6 42" xfId="3558"/>
    <cellStyle name="60% - 강조색6 5" xfId="2520"/>
    <cellStyle name="60% - 강조색6 6" xfId="2859"/>
    <cellStyle name="60% - 강조색6 7" xfId="2575"/>
    <cellStyle name="60% - 강조색6 8" xfId="2821"/>
    <cellStyle name="60% - 강조색6 9" xfId="2613"/>
    <cellStyle name="Blue" xfId="47"/>
    <cellStyle name="Date" xfId="48"/>
    <cellStyle name="Date 10" xfId="3253"/>
    <cellStyle name="Date 11" xfId="3252"/>
    <cellStyle name="Date 12" xfId="3251"/>
    <cellStyle name="Date 13" xfId="3250"/>
    <cellStyle name="Date 14" xfId="3249"/>
    <cellStyle name="Date 15" xfId="3248"/>
    <cellStyle name="Date 16" xfId="3247"/>
    <cellStyle name="Date 17" xfId="3246"/>
    <cellStyle name="Date 18" xfId="3245"/>
    <cellStyle name="Date 19" xfId="3244"/>
    <cellStyle name="Date 2" xfId="3243"/>
    <cellStyle name="Date 3" xfId="3242"/>
    <cellStyle name="Date 4" xfId="3241"/>
    <cellStyle name="Date 5" xfId="3240"/>
    <cellStyle name="Date 6" xfId="3239"/>
    <cellStyle name="Date 7" xfId="3238"/>
    <cellStyle name="Date 8" xfId="3237"/>
    <cellStyle name="Date 9" xfId="3236"/>
    <cellStyle name="Input" xfId="49"/>
    <cellStyle name="m" xfId="50"/>
    <cellStyle name="m 10" xfId="3235"/>
    <cellStyle name="m 11" xfId="3234"/>
    <cellStyle name="m 12" xfId="3233"/>
    <cellStyle name="m 13" xfId="3232"/>
    <cellStyle name="m 14" xfId="3231"/>
    <cellStyle name="m 15" xfId="3230"/>
    <cellStyle name="m 16" xfId="3229"/>
    <cellStyle name="m 17" xfId="3228"/>
    <cellStyle name="m 18" xfId="3227"/>
    <cellStyle name="m 19" xfId="3226"/>
    <cellStyle name="m 2" xfId="3225"/>
    <cellStyle name="m 3" xfId="3224"/>
    <cellStyle name="m 4" xfId="3223"/>
    <cellStyle name="m 5" xfId="3222"/>
    <cellStyle name="m 6" xfId="3221"/>
    <cellStyle name="m 7" xfId="3220"/>
    <cellStyle name="m 8" xfId="3219"/>
    <cellStyle name="m 9" xfId="3218"/>
    <cellStyle name="multiple" xfId="51"/>
    <cellStyle name="Normal" xfId="52"/>
    <cellStyle name="Normal 10" xfId="3217"/>
    <cellStyle name="Normal 11" xfId="3216"/>
    <cellStyle name="Normal 12" xfId="3215"/>
    <cellStyle name="Normal 13" xfId="3214"/>
    <cellStyle name="Normal 14" xfId="3213"/>
    <cellStyle name="Normal 15" xfId="3212"/>
    <cellStyle name="Normal 16" xfId="3211"/>
    <cellStyle name="Normal 17" xfId="3210"/>
    <cellStyle name="Normal 18" xfId="3209"/>
    <cellStyle name="Normal 19" xfId="3208"/>
    <cellStyle name="Normal 2" xfId="3207"/>
    <cellStyle name="Normal 20" xfId="3206"/>
    <cellStyle name="Normal 21" xfId="3205"/>
    <cellStyle name="Normal 22" xfId="3204"/>
    <cellStyle name="Normal 23" xfId="3203"/>
    <cellStyle name="Normal 24" xfId="3202"/>
    <cellStyle name="Normal 25" xfId="3201"/>
    <cellStyle name="Normal 26" xfId="3200"/>
    <cellStyle name="Normal 27" xfId="3199"/>
    <cellStyle name="Normal 28" xfId="3198"/>
    <cellStyle name="Normal 29" xfId="3197"/>
    <cellStyle name="Normal 3" xfId="3196"/>
    <cellStyle name="Normal 30" xfId="3195"/>
    <cellStyle name="Normal 31" xfId="3194"/>
    <cellStyle name="Normal 32" xfId="3193"/>
    <cellStyle name="Normal 33" xfId="3192"/>
    <cellStyle name="Normal 34" xfId="3191"/>
    <cellStyle name="Normal 35" xfId="3190"/>
    <cellStyle name="Normal 36" xfId="3189"/>
    <cellStyle name="Normal 37" xfId="3188"/>
    <cellStyle name="Normal 38" xfId="3187"/>
    <cellStyle name="Normal 39" xfId="3186"/>
    <cellStyle name="Normal 4" xfId="3185"/>
    <cellStyle name="Normal 40" xfId="3184"/>
    <cellStyle name="Normal 41" xfId="3183"/>
    <cellStyle name="Normal 42" xfId="3182"/>
    <cellStyle name="Normal 43" xfId="3181"/>
    <cellStyle name="Normal 44" xfId="3180"/>
    <cellStyle name="Normal 45" xfId="3179"/>
    <cellStyle name="Normal 46" xfId="3178"/>
    <cellStyle name="Normal 47" xfId="3177"/>
    <cellStyle name="Normal 48" xfId="3176"/>
    <cellStyle name="Normal 49" xfId="3175"/>
    <cellStyle name="Normal 5" xfId="3174"/>
    <cellStyle name="Normal 50" xfId="3173"/>
    <cellStyle name="Normal 51" xfId="3172"/>
    <cellStyle name="Normal 52" xfId="3171"/>
    <cellStyle name="Normal 53" xfId="3170"/>
    <cellStyle name="Normal 54" xfId="3169"/>
    <cellStyle name="Normal 55" xfId="3168"/>
    <cellStyle name="Normal 56" xfId="3167"/>
    <cellStyle name="Normal 57" xfId="3166"/>
    <cellStyle name="Normal 58" xfId="3165"/>
    <cellStyle name="Normal 59" xfId="3164"/>
    <cellStyle name="Normal 6" xfId="3163"/>
    <cellStyle name="Normal 60" xfId="3162"/>
    <cellStyle name="Normal 61" xfId="3161"/>
    <cellStyle name="Normal 62" xfId="3160"/>
    <cellStyle name="Normal 63" xfId="3159"/>
    <cellStyle name="Normal 64" xfId="3158"/>
    <cellStyle name="Normal 65" xfId="3157"/>
    <cellStyle name="Normal 66" xfId="3156"/>
    <cellStyle name="Normal 67" xfId="3155"/>
    <cellStyle name="Normal 68" xfId="3154"/>
    <cellStyle name="Normal 69" xfId="3153"/>
    <cellStyle name="Normal 7" xfId="3152"/>
    <cellStyle name="Normal 70" xfId="3151"/>
    <cellStyle name="Normal 71" xfId="3150"/>
    <cellStyle name="Normal 72" xfId="3149"/>
    <cellStyle name="Normal 73" xfId="3148"/>
    <cellStyle name="Normal 74" xfId="3147"/>
    <cellStyle name="Normal 75" xfId="3146"/>
    <cellStyle name="Normal 76" xfId="3145"/>
    <cellStyle name="Normal 77" xfId="3144"/>
    <cellStyle name="Normal 78" xfId="3143"/>
    <cellStyle name="Normal 79" xfId="3142"/>
    <cellStyle name="Normal 8" xfId="3141"/>
    <cellStyle name="Normal 80" xfId="3140"/>
    <cellStyle name="Normal 81" xfId="3139"/>
    <cellStyle name="Normal 9" xfId="3138"/>
    <cellStyle name="p" xfId="53"/>
    <cellStyle name="p 10" xfId="3137"/>
    <cellStyle name="p 11" xfId="3136"/>
    <cellStyle name="p 12" xfId="3135"/>
    <cellStyle name="p 13" xfId="3134"/>
    <cellStyle name="p 14" xfId="3133"/>
    <cellStyle name="p 15" xfId="3132"/>
    <cellStyle name="p 16" xfId="3131"/>
    <cellStyle name="p 17" xfId="3130"/>
    <cellStyle name="p 18" xfId="3129"/>
    <cellStyle name="p 19" xfId="3128"/>
    <cellStyle name="p 2" xfId="3127"/>
    <cellStyle name="p 20" xfId="3126"/>
    <cellStyle name="p 21" xfId="3125"/>
    <cellStyle name="p 22" xfId="3124"/>
    <cellStyle name="p 23" xfId="3123"/>
    <cellStyle name="p 24" xfId="3122"/>
    <cellStyle name="p 25" xfId="3121"/>
    <cellStyle name="p 26" xfId="3120"/>
    <cellStyle name="p 27" xfId="3119"/>
    <cellStyle name="p 28" xfId="3118"/>
    <cellStyle name="p 29" xfId="3117"/>
    <cellStyle name="p 3" xfId="3116"/>
    <cellStyle name="p 30" xfId="3115"/>
    <cellStyle name="p 31" xfId="3114"/>
    <cellStyle name="p 32" xfId="3113"/>
    <cellStyle name="p 33" xfId="3112"/>
    <cellStyle name="p 34" xfId="3111"/>
    <cellStyle name="p 35" xfId="3110"/>
    <cellStyle name="p 36" xfId="3109"/>
    <cellStyle name="p 37" xfId="3108"/>
    <cellStyle name="p 38" xfId="3107"/>
    <cellStyle name="p 39" xfId="3106"/>
    <cellStyle name="p 4" xfId="3105"/>
    <cellStyle name="p 40" xfId="3104"/>
    <cellStyle name="p 41" xfId="3103"/>
    <cellStyle name="p 42" xfId="3102"/>
    <cellStyle name="p 43" xfId="3101"/>
    <cellStyle name="p 44" xfId="3100"/>
    <cellStyle name="p 45" xfId="3099"/>
    <cellStyle name="p 46" xfId="3098"/>
    <cellStyle name="p 47" xfId="3097"/>
    <cellStyle name="p 48" xfId="3096"/>
    <cellStyle name="p 49" xfId="3095"/>
    <cellStyle name="p 5" xfId="3094"/>
    <cellStyle name="p 50" xfId="3093"/>
    <cellStyle name="p 51" xfId="3092"/>
    <cellStyle name="p 52" xfId="3091"/>
    <cellStyle name="p 53" xfId="3090"/>
    <cellStyle name="p 54" xfId="3089"/>
    <cellStyle name="p 55" xfId="3088"/>
    <cellStyle name="p 56" xfId="3087"/>
    <cellStyle name="p 57" xfId="3086"/>
    <cellStyle name="p 58" xfId="3085"/>
    <cellStyle name="p 59" xfId="3084"/>
    <cellStyle name="p 6" xfId="3083"/>
    <cellStyle name="p 60" xfId="3082"/>
    <cellStyle name="p 61" xfId="3081"/>
    <cellStyle name="p 62" xfId="3080"/>
    <cellStyle name="p 63" xfId="3079"/>
    <cellStyle name="p 64" xfId="3078"/>
    <cellStyle name="p 65" xfId="3077"/>
    <cellStyle name="p 66" xfId="3076"/>
    <cellStyle name="p 67" xfId="3075"/>
    <cellStyle name="p 68" xfId="3074"/>
    <cellStyle name="p 69" xfId="3073"/>
    <cellStyle name="p 7" xfId="3072"/>
    <cellStyle name="p 70" xfId="3071"/>
    <cellStyle name="p 71" xfId="3070"/>
    <cellStyle name="p 72" xfId="3069"/>
    <cellStyle name="p 73" xfId="3068"/>
    <cellStyle name="p 74" xfId="3067"/>
    <cellStyle name="p 75" xfId="3066"/>
    <cellStyle name="p 76" xfId="3065"/>
    <cellStyle name="p 77" xfId="3064"/>
    <cellStyle name="p 78" xfId="3063"/>
    <cellStyle name="p 79" xfId="3062"/>
    <cellStyle name="p 8" xfId="3061"/>
    <cellStyle name="p 80" xfId="3060"/>
    <cellStyle name="p 81" xfId="3059"/>
    <cellStyle name="p 9" xfId="3058"/>
    <cellStyle name="red" xfId="54"/>
    <cellStyle name="Underline" xfId="55"/>
    <cellStyle name="강조색1 10" xfId="2797"/>
    <cellStyle name="강조색1 11" xfId="2636"/>
    <cellStyle name="강조색1 12" xfId="2398"/>
    <cellStyle name="강조색1 13" xfId="2314"/>
    <cellStyle name="강조색1 14" xfId="2229"/>
    <cellStyle name="강조색1 15" xfId="1672"/>
    <cellStyle name="강조색1 16" xfId="2064"/>
    <cellStyle name="강조색1 17" xfId="2672"/>
    <cellStyle name="강조색1 18" xfId="1901"/>
    <cellStyle name="강조색1 19" xfId="2680"/>
    <cellStyle name="강조색1 2" xfId="21"/>
    <cellStyle name="강조색1 2 10" xfId="1930"/>
    <cellStyle name="강조색1 2 11" xfId="1848"/>
    <cellStyle name="강조색1 2 12" xfId="1773"/>
    <cellStyle name="강조색1 2 13" xfId="1698"/>
    <cellStyle name="강조색1 2 14" xfId="1612"/>
    <cellStyle name="강조색1 2 15" xfId="1530"/>
    <cellStyle name="강조색1 2 16" xfId="1448"/>
    <cellStyle name="강조색1 2 17" xfId="1366"/>
    <cellStyle name="강조색1 2 18" xfId="1284"/>
    <cellStyle name="강조색1 2 19" xfId="1202"/>
    <cellStyle name="강조색1 2 2" xfId="3028"/>
    <cellStyle name="강조색1 2 20" xfId="1123"/>
    <cellStyle name="강조색1 2 21" xfId="1044"/>
    <cellStyle name="강조색1 2 22" xfId="965"/>
    <cellStyle name="강조색1 2 23" xfId="886"/>
    <cellStyle name="강조색1 2 24" xfId="807"/>
    <cellStyle name="강조색1 2 25" xfId="728"/>
    <cellStyle name="강조색1 2 26" xfId="649"/>
    <cellStyle name="강조색1 2 27" xfId="570"/>
    <cellStyle name="강조색1 2 28" xfId="491"/>
    <cellStyle name="강조색1 2 29" xfId="412"/>
    <cellStyle name="강조색1 2 3" xfId="2472"/>
    <cellStyle name="강조색1 2 30" xfId="333"/>
    <cellStyle name="강조색1 2 31" xfId="256"/>
    <cellStyle name="강조색1 2 32" xfId="179"/>
    <cellStyle name="강조색1 2 33" xfId="102"/>
    <cellStyle name="강조색1 2 34" xfId="3534"/>
    <cellStyle name="강조색1 2 35" xfId="3610"/>
    <cellStyle name="강조색1 2 36" xfId="3674"/>
    <cellStyle name="강조색1 2 37" xfId="3738"/>
    <cellStyle name="강조색1 2 38" xfId="3800"/>
    <cellStyle name="강조색1 2 39" xfId="3854"/>
    <cellStyle name="강조색1 2 4" xfId="2423"/>
    <cellStyle name="강조색1 2 40" xfId="3905"/>
    <cellStyle name="강조색1 2 41" xfId="3954"/>
    <cellStyle name="강조색1 2 5" xfId="2339"/>
    <cellStyle name="강조색1 2 6" xfId="2258"/>
    <cellStyle name="강조색1 2 7" xfId="2173"/>
    <cellStyle name="강조색1 2 8" xfId="2093"/>
    <cellStyle name="강조색1 2 9" xfId="2009"/>
    <cellStyle name="강조색1 20" xfId="1744"/>
    <cellStyle name="강조색1 21" xfId="2688"/>
    <cellStyle name="강조색1 22" xfId="1587"/>
    <cellStyle name="강조색1 23" xfId="1505"/>
    <cellStyle name="강조색1 24" xfId="1423"/>
    <cellStyle name="강조색1 25" xfId="1341"/>
    <cellStyle name="강조색1 26" xfId="1259"/>
    <cellStyle name="강조색1 27" xfId="1177"/>
    <cellStyle name="강조색1 28" xfId="1098"/>
    <cellStyle name="강조색1 29" xfId="1019"/>
    <cellStyle name="강조색1 3" xfId="2966"/>
    <cellStyle name="강조색1 30" xfId="940"/>
    <cellStyle name="강조색1 31" xfId="861"/>
    <cellStyle name="강조색1 32" xfId="782"/>
    <cellStyle name="강조색1 33" xfId="703"/>
    <cellStyle name="강조색1 34" xfId="624"/>
    <cellStyle name="강조색1 35" xfId="545"/>
    <cellStyle name="강조색1 36" xfId="466"/>
    <cellStyle name="강조색1 37" xfId="387"/>
    <cellStyle name="강조색1 38" xfId="308"/>
    <cellStyle name="강조색1 39" xfId="231"/>
    <cellStyle name="강조색1 4" xfId="2912"/>
    <cellStyle name="강조색1 40" xfId="154"/>
    <cellStyle name="강조색1 41" xfId="77"/>
    <cellStyle name="강조색1 42" xfId="3559"/>
    <cellStyle name="강조색1 5" xfId="2521"/>
    <cellStyle name="강조색1 6" xfId="2858"/>
    <cellStyle name="강조색1 7" xfId="2576"/>
    <cellStyle name="강조색1 8" xfId="2820"/>
    <cellStyle name="강조색1 9" xfId="2614"/>
    <cellStyle name="강조색2 10" xfId="2796"/>
    <cellStyle name="강조색2 11" xfId="2637"/>
    <cellStyle name="강조색2 12" xfId="2397"/>
    <cellStyle name="강조색2 13" xfId="2313"/>
    <cellStyle name="강조색2 14" xfId="2882"/>
    <cellStyle name="강조색2 15" xfId="2663"/>
    <cellStyle name="강조색2 16" xfId="2832"/>
    <cellStyle name="강조색2 17" xfId="2673"/>
    <cellStyle name="강조색2 18" xfId="1900"/>
    <cellStyle name="강조색2 19" xfId="2681"/>
    <cellStyle name="강조색2 2" xfId="22"/>
    <cellStyle name="강조색2 2 10" xfId="1929"/>
    <cellStyle name="강조색2 2 11" xfId="1847"/>
    <cellStyle name="강조색2 2 12" xfId="1772"/>
    <cellStyle name="강조색2 2 13" xfId="1697"/>
    <cellStyle name="강조색2 2 14" xfId="1611"/>
    <cellStyle name="강조색2 2 15" xfId="1529"/>
    <cellStyle name="강조색2 2 16" xfId="1447"/>
    <cellStyle name="강조색2 2 17" xfId="1365"/>
    <cellStyle name="강조색2 2 18" xfId="1283"/>
    <cellStyle name="강조색2 2 19" xfId="1201"/>
    <cellStyle name="강조색2 2 2" xfId="3029"/>
    <cellStyle name="강조색2 2 20" xfId="1122"/>
    <cellStyle name="강조색2 2 21" xfId="1043"/>
    <cellStyle name="강조색2 2 22" xfId="964"/>
    <cellStyle name="강조색2 2 23" xfId="885"/>
    <cellStyle name="강조색2 2 24" xfId="806"/>
    <cellStyle name="강조색2 2 25" xfId="727"/>
    <cellStyle name="강조색2 2 26" xfId="648"/>
    <cellStyle name="강조색2 2 27" xfId="569"/>
    <cellStyle name="강조색2 2 28" xfId="490"/>
    <cellStyle name="강조색2 2 29" xfId="411"/>
    <cellStyle name="강조색2 2 3" xfId="2473"/>
    <cellStyle name="강조색2 2 30" xfId="332"/>
    <cellStyle name="강조색2 2 31" xfId="255"/>
    <cellStyle name="강조색2 2 32" xfId="178"/>
    <cellStyle name="강조색2 2 33" xfId="101"/>
    <cellStyle name="강조색2 2 34" xfId="3535"/>
    <cellStyle name="강조색2 2 35" xfId="3611"/>
    <cellStyle name="강조색2 2 36" xfId="3675"/>
    <cellStyle name="강조색2 2 37" xfId="3739"/>
    <cellStyle name="강조색2 2 38" xfId="3801"/>
    <cellStyle name="강조색2 2 39" xfId="3855"/>
    <cellStyle name="강조색2 2 4" xfId="2422"/>
    <cellStyle name="강조색2 2 40" xfId="3906"/>
    <cellStyle name="강조색2 2 41" xfId="3955"/>
    <cellStyle name="강조색2 2 5" xfId="2338"/>
    <cellStyle name="강조색2 2 6" xfId="2257"/>
    <cellStyle name="강조색2 2 7" xfId="2172"/>
    <cellStyle name="강조색2 2 8" xfId="2092"/>
    <cellStyle name="강조색2 2 9" xfId="2008"/>
    <cellStyle name="강조색2 20" xfId="1743"/>
    <cellStyle name="강조색2 21" xfId="2689"/>
    <cellStyle name="강조색2 22" xfId="1586"/>
    <cellStyle name="강조색2 23" xfId="1504"/>
    <cellStyle name="강조색2 24" xfId="1422"/>
    <cellStyle name="강조색2 25" xfId="1340"/>
    <cellStyle name="강조색2 26" xfId="1258"/>
    <cellStyle name="강조색2 27" xfId="1176"/>
    <cellStyle name="강조색2 28" xfId="1097"/>
    <cellStyle name="강조색2 29" xfId="1018"/>
    <cellStyle name="강조색2 3" xfId="2965"/>
    <cellStyle name="강조색2 30" xfId="939"/>
    <cellStyle name="강조색2 31" xfId="860"/>
    <cellStyle name="강조색2 32" xfId="781"/>
    <cellStyle name="강조색2 33" xfId="702"/>
    <cellStyle name="강조색2 34" xfId="623"/>
    <cellStyle name="강조색2 35" xfId="544"/>
    <cellStyle name="강조색2 36" xfId="465"/>
    <cellStyle name="강조색2 37" xfId="386"/>
    <cellStyle name="강조색2 38" xfId="307"/>
    <cellStyle name="강조색2 39" xfId="230"/>
    <cellStyle name="강조색2 4" xfId="2911"/>
    <cellStyle name="강조색2 40" xfId="153"/>
    <cellStyle name="강조색2 41" xfId="76"/>
    <cellStyle name="강조색2 42" xfId="3560"/>
    <cellStyle name="강조색2 5" xfId="2522"/>
    <cellStyle name="강조색2 6" xfId="2857"/>
    <cellStyle name="강조색2 7" xfId="2577"/>
    <cellStyle name="강조색2 8" xfId="2819"/>
    <cellStyle name="강조색2 9" xfId="2615"/>
    <cellStyle name="강조색3 10" xfId="2563"/>
    <cellStyle name="강조색3 11" xfId="2450"/>
    <cellStyle name="강조색3 12" xfId="2369"/>
    <cellStyle name="강조색3 13" xfId="2286"/>
    <cellStyle name="강조색3 14" xfId="2228"/>
    <cellStyle name="강조색3 15" xfId="2588"/>
    <cellStyle name="강조색3 16" xfId="2063"/>
    <cellStyle name="강조색3 17" xfId="2353"/>
    <cellStyle name="강조색3 18" xfId="1874"/>
    <cellStyle name="강조색3 19" xfId="1793"/>
    <cellStyle name="강조색3 2" xfId="23"/>
    <cellStyle name="강조색3 2 10" xfId="1928"/>
    <cellStyle name="강조색3 2 11" xfId="1846"/>
    <cellStyle name="강조색3 2 12" xfId="1771"/>
    <cellStyle name="강조색3 2 13" xfId="1696"/>
    <cellStyle name="강조색3 2 14" xfId="1610"/>
    <cellStyle name="강조색3 2 15" xfId="1528"/>
    <cellStyle name="강조색3 2 16" xfId="1446"/>
    <cellStyle name="강조색3 2 17" xfId="1364"/>
    <cellStyle name="강조색3 2 18" xfId="1282"/>
    <cellStyle name="강조색3 2 19" xfId="1200"/>
    <cellStyle name="강조색3 2 2" xfId="3030"/>
    <cellStyle name="강조색3 2 20" xfId="1121"/>
    <cellStyle name="강조색3 2 21" xfId="1042"/>
    <cellStyle name="강조색3 2 22" xfId="963"/>
    <cellStyle name="강조색3 2 23" xfId="884"/>
    <cellStyle name="강조색3 2 24" xfId="805"/>
    <cellStyle name="강조색3 2 25" xfId="726"/>
    <cellStyle name="강조색3 2 26" xfId="647"/>
    <cellStyle name="강조색3 2 27" xfId="568"/>
    <cellStyle name="강조색3 2 28" xfId="489"/>
    <cellStyle name="강조색3 2 29" xfId="410"/>
    <cellStyle name="강조색3 2 3" xfId="2474"/>
    <cellStyle name="강조색3 2 30" xfId="331"/>
    <cellStyle name="강조색3 2 31" xfId="254"/>
    <cellStyle name="강조색3 2 32" xfId="177"/>
    <cellStyle name="강조색3 2 33" xfId="100"/>
    <cellStyle name="강조색3 2 34" xfId="3536"/>
    <cellStyle name="강조색3 2 35" xfId="3612"/>
    <cellStyle name="강조색3 2 36" xfId="3676"/>
    <cellStyle name="강조색3 2 37" xfId="3740"/>
    <cellStyle name="강조색3 2 38" xfId="3802"/>
    <cellStyle name="강조색3 2 39" xfId="3856"/>
    <cellStyle name="강조색3 2 4" xfId="2421"/>
    <cellStyle name="강조색3 2 40" xfId="3907"/>
    <cellStyle name="강조색3 2 41" xfId="3956"/>
    <cellStyle name="강조색3 2 5" xfId="2337"/>
    <cellStyle name="강조색3 2 6" xfId="2256"/>
    <cellStyle name="강조색3 2 7" xfId="2171"/>
    <cellStyle name="강조색3 2 8" xfId="2091"/>
    <cellStyle name="강조색3 2 9" xfId="2007"/>
    <cellStyle name="강조색3 20" xfId="1719"/>
    <cellStyle name="강조색3 21" xfId="1639"/>
    <cellStyle name="강조색3 22" xfId="1557"/>
    <cellStyle name="강조색3 23" xfId="1475"/>
    <cellStyle name="강조색3 24" xfId="1393"/>
    <cellStyle name="강조색3 25" xfId="1311"/>
    <cellStyle name="강조색3 26" xfId="1229"/>
    <cellStyle name="강조색3 27" xfId="1150"/>
    <cellStyle name="강조색3 28" xfId="1071"/>
    <cellStyle name="강조색3 29" xfId="992"/>
    <cellStyle name="강조색3 3" xfId="2964"/>
    <cellStyle name="강조색3 30" xfId="913"/>
    <cellStyle name="강조색3 31" xfId="834"/>
    <cellStyle name="강조색3 32" xfId="755"/>
    <cellStyle name="강조색3 33" xfId="676"/>
    <cellStyle name="강조색3 34" xfId="597"/>
    <cellStyle name="강조색3 35" xfId="518"/>
    <cellStyle name="강조색3 36" xfId="439"/>
    <cellStyle name="강조색3 37" xfId="360"/>
    <cellStyle name="강조색3 38" xfId="281"/>
    <cellStyle name="강조색3 39" xfId="204"/>
    <cellStyle name="강조색3 4" xfId="2910"/>
    <cellStyle name="강조색3 40" xfId="127"/>
    <cellStyle name="강조색3 41" xfId="3509"/>
    <cellStyle name="강조색3 42" xfId="3586"/>
    <cellStyle name="강조색3 5" xfId="2523"/>
    <cellStyle name="강조색3 6" xfId="2856"/>
    <cellStyle name="강조색3 7" xfId="2578"/>
    <cellStyle name="강조색3 8" xfId="2498"/>
    <cellStyle name="강조색3 9" xfId="2871"/>
    <cellStyle name="강조색4 10" xfId="2795"/>
    <cellStyle name="강조색4 11" xfId="2638"/>
    <cellStyle name="강조색4 12" xfId="2395"/>
    <cellStyle name="강조색4 13" xfId="2311"/>
    <cellStyle name="강조색4 14" xfId="2227"/>
    <cellStyle name="강조색4 15" xfId="2149"/>
    <cellStyle name="강조색4 16" xfId="2062"/>
    <cellStyle name="강조색4 17" xfId="1985"/>
    <cellStyle name="강조색4 18" xfId="1904"/>
    <cellStyle name="강조색4 19" xfId="2186"/>
    <cellStyle name="강조색4 2" xfId="24"/>
    <cellStyle name="강조색4 2 10" xfId="1927"/>
    <cellStyle name="강조색4 2 11" xfId="1845"/>
    <cellStyle name="강조색4 2 12" xfId="1770"/>
    <cellStyle name="강조색4 2 13" xfId="1695"/>
    <cellStyle name="강조색4 2 14" xfId="1609"/>
    <cellStyle name="강조색4 2 15" xfId="1527"/>
    <cellStyle name="강조색4 2 16" xfId="1445"/>
    <cellStyle name="강조색4 2 17" xfId="1363"/>
    <cellStyle name="강조색4 2 18" xfId="1281"/>
    <cellStyle name="강조색4 2 19" xfId="1199"/>
    <cellStyle name="강조색4 2 2" xfId="3031"/>
    <cellStyle name="강조색4 2 20" xfId="1120"/>
    <cellStyle name="강조색4 2 21" xfId="1041"/>
    <cellStyle name="강조색4 2 22" xfId="962"/>
    <cellStyle name="강조색4 2 23" xfId="883"/>
    <cellStyle name="강조색4 2 24" xfId="804"/>
    <cellStyle name="강조색4 2 25" xfId="725"/>
    <cellStyle name="강조색4 2 26" xfId="646"/>
    <cellStyle name="강조색4 2 27" xfId="567"/>
    <cellStyle name="강조색4 2 28" xfId="488"/>
    <cellStyle name="강조색4 2 29" xfId="409"/>
    <cellStyle name="강조색4 2 3" xfId="2475"/>
    <cellStyle name="강조색4 2 30" xfId="330"/>
    <cellStyle name="강조색4 2 31" xfId="253"/>
    <cellStyle name="강조색4 2 32" xfId="176"/>
    <cellStyle name="강조색4 2 33" xfId="99"/>
    <cellStyle name="강조색4 2 34" xfId="3537"/>
    <cellStyle name="강조색4 2 35" xfId="3613"/>
    <cellStyle name="강조색4 2 36" xfId="3677"/>
    <cellStyle name="강조색4 2 37" xfId="3741"/>
    <cellStyle name="강조색4 2 38" xfId="3803"/>
    <cellStyle name="강조색4 2 39" xfId="3857"/>
    <cellStyle name="강조색4 2 4" xfId="2420"/>
    <cellStyle name="강조색4 2 40" xfId="3908"/>
    <cellStyle name="강조색4 2 41" xfId="3957"/>
    <cellStyle name="강조색4 2 5" xfId="2336"/>
    <cellStyle name="강조색4 2 6" xfId="2255"/>
    <cellStyle name="강조색4 2 7" xfId="2170"/>
    <cellStyle name="강조색4 2 8" xfId="2090"/>
    <cellStyle name="강조색4 2 9" xfId="2006"/>
    <cellStyle name="강조색4 20" xfId="1747"/>
    <cellStyle name="강조색4 21" xfId="2022"/>
    <cellStyle name="강조색4 22" xfId="1584"/>
    <cellStyle name="강조색4 23" xfId="1502"/>
    <cellStyle name="강조색4 24" xfId="1420"/>
    <cellStyle name="강조색4 25" xfId="1338"/>
    <cellStyle name="강조색4 26" xfId="1256"/>
    <cellStyle name="강조색4 27" xfId="1174"/>
    <cellStyle name="강조색4 28" xfId="1095"/>
    <cellStyle name="강조색4 29" xfId="1016"/>
    <cellStyle name="강조색4 3" xfId="2963"/>
    <cellStyle name="강조색4 30" xfId="937"/>
    <cellStyle name="강조색4 31" xfId="858"/>
    <cellStyle name="강조색4 32" xfId="779"/>
    <cellStyle name="강조색4 33" xfId="700"/>
    <cellStyle name="강조색4 34" xfId="621"/>
    <cellStyle name="강조색4 35" xfId="542"/>
    <cellStyle name="강조색4 36" xfId="463"/>
    <cellStyle name="강조색4 37" xfId="384"/>
    <cellStyle name="강조색4 38" xfId="305"/>
    <cellStyle name="강조색4 39" xfId="228"/>
    <cellStyle name="강조색4 4" xfId="2909"/>
    <cellStyle name="강조색4 40" xfId="151"/>
    <cellStyle name="강조색4 41" xfId="74"/>
    <cellStyle name="강조색4 42" xfId="3562"/>
    <cellStyle name="강조색4 5" xfId="2524"/>
    <cellStyle name="강조색4 6" xfId="2855"/>
    <cellStyle name="강조색4 7" xfId="2579"/>
    <cellStyle name="강조색4 8" xfId="2818"/>
    <cellStyle name="강조색4 9" xfId="2616"/>
    <cellStyle name="강조색5 10" xfId="2794"/>
    <cellStyle name="강조색5 11" xfId="2639"/>
    <cellStyle name="강조색5 12" xfId="2394"/>
    <cellStyle name="강조색5 13" xfId="2310"/>
    <cellStyle name="강조색5 14" xfId="2231"/>
    <cellStyle name="강조색5 15" xfId="2148"/>
    <cellStyle name="강조색5 16" xfId="2066"/>
    <cellStyle name="강조색5 17" xfId="1984"/>
    <cellStyle name="강조색5 18" xfId="1899"/>
    <cellStyle name="강조색5 19" xfId="1824"/>
    <cellStyle name="강조색5 2" xfId="25"/>
    <cellStyle name="강조색5 2 10" xfId="1926"/>
    <cellStyle name="강조색5 2 11" xfId="1844"/>
    <cellStyle name="강조색5 2 12" xfId="1769"/>
    <cellStyle name="강조색5 2 13" xfId="1694"/>
    <cellStyle name="강조색5 2 14" xfId="1608"/>
    <cellStyle name="강조색5 2 15" xfId="1526"/>
    <cellStyle name="강조색5 2 16" xfId="1444"/>
    <cellStyle name="강조색5 2 17" xfId="1362"/>
    <cellStyle name="강조색5 2 18" xfId="1280"/>
    <cellStyle name="강조색5 2 19" xfId="1198"/>
    <cellStyle name="강조색5 2 2" xfId="3032"/>
    <cellStyle name="강조색5 2 20" xfId="1119"/>
    <cellStyle name="강조색5 2 21" xfId="1040"/>
    <cellStyle name="강조색5 2 22" xfId="961"/>
    <cellStyle name="강조색5 2 23" xfId="882"/>
    <cellStyle name="강조색5 2 24" xfId="803"/>
    <cellStyle name="강조색5 2 25" xfId="724"/>
    <cellStyle name="강조색5 2 26" xfId="645"/>
    <cellStyle name="강조색5 2 27" xfId="566"/>
    <cellStyle name="강조색5 2 28" xfId="487"/>
    <cellStyle name="강조색5 2 29" xfId="408"/>
    <cellStyle name="강조색5 2 3" xfId="2476"/>
    <cellStyle name="강조색5 2 30" xfId="329"/>
    <cellStyle name="강조색5 2 31" xfId="252"/>
    <cellStyle name="강조색5 2 32" xfId="175"/>
    <cellStyle name="강조색5 2 33" xfId="98"/>
    <cellStyle name="강조색5 2 34" xfId="3538"/>
    <cellStyle name="강조색5 2 35" xfId="3614"/>
    <cellStyle name="강조색5 2 36" xfId="3678"/>
    <cellStyle name="강조색5 2 37" xfId="3742"/>
    <cellStyle name="강조색5 2 38" xfId="3804"/>
    <cellStyle name="강조색5 2 39" xfId="3858"/>
    <cellStyle name="강조색5 2 4" xfId="2419"/>
    <cellStyle name="강조색5 2 40" xfId="3909"/>
    <cellStyle name="강조색5 2 41" xfId="3958"/>
    <cellStyle name="강조색5 2 5" xfId="2335"/>
    <cellStyle name="강조색5 2 6" xfId="2254"/>
    <cellStyle name="강조색5 2 7" xfId="2169"/>
    <cellStyle name="강조색5 2 8" xfId="2089"/>
    <cellStyle name="강조색5 2 9" xfId="2005"/>
    <cellStyle name="강조색5 20" xfId="1742"/>
    <cellStyle name="강조색5 21" xfId="1670"/>
    <cellStyle name="강조색5 22" xfId="1583"/>
    <cellStyle name="강조색5 23" xfId="1501"/>
    <cellStyle name="강조색5 24" xfId="1419"/>
    <cellStyle name="강조색5 25" xfId="1337"/>
    <cellStyle name="강조색5 26" xfId="1255"/>
    <cellStyle name="강조색5 27" xfId="1173"/>
    <cellStyle name="강조색5 28" xfId="1094"/>
    <cellStyle name="강조색5 29" xfId="1015"/>
    <cellStyle name="강조색5 3" xfId="2962"/>
    <cellStyle name="강조색5 30" xfId="936"/>
    <cellStyle name="강조색5 31" xfId="857"/>
    <cellStyle name="강조색5 32" xfId="778"/>
    <cellStyle name="강조색5 33" xfId="699"/>
    <cellStyle name="강조색5 34" xfId="620"/>
    <cellStyle name="강조색5 35" xfId="541"/>
    <cellStyle name="강조색5 36" xfId="462"/>
    <cellStyle name="강조색5 37" xfId="383"/>
    <cellStyle name="강조색5 38" xfId="304"/>
    <cellStyle name="강조색5 39" xfId="227"/>
    <cellStyle name="강조색5 4" xfId="2908"/>
    <cellStyle name="강조색5 40" xfId="150"/>
    <cellStyle name="강조색5 41" xfId="73"/>
    <cellStyle name="강조색5 42" xfId="3563"/>
    <cellStyle name="강조색5 5" xfId="2525"/>
    <cellStyle name="강조색5 6" xfId="2854"/>
    <cellStyle name="강조색5 7" xfId="2580"/>
    <cellStyle name="강조색5 8" xfId="2817"/>
    <cellStyle name="강조색5 9" xfId="2617"/>
    <cellStyle name="강조색6 10" xfId="2603"/>
    <cellStyle name="강조색6 11" xfId="2805"/>
    <cellStyle name="강조색6 12" xfId="2628"/>
    <cellStyle name="강조색6 13" xfId="2783"/>
    <cellStyle name="강조색6 14" xfId="2226"/>
    <cellStyle name="강조색6 15" xfId="2147"/>
    <cellStyle name="강조색6 16" xfId="2061"/>
    <cellStyle name="강조색6 17" xfId="1908"/>
    <cellStyle name="강조색6 18" xfId="2665"/>
    <cellStyle name="강조색6 19" xfId="1751"/>
    <cellStyle name="강조색6 2" xfId="26"/>
    <cellStyle name="강조색6 2 10" xfId="1925"/>
    <cellStyle name="강조색6 2 11" xfId="1843"/>
    <cellStyle name="강조색6 2 12" xfId="1768"/>
    <cellStyle name="강조색6 2 13" xfId="1693"/>
    <cellStyle name="강조색6 2 14" xfId="1607"/>
    <cellStyle name="강조색6 2 15" xfId="1525"/>
    <cellStyle name="강조색6 2 16" xfId="1443"/>
    <cellStyle name="강조색6 2 17" xfId="1361"/>
    <cellStyle name="강조색6 2 18" xfId="1279"/>
    <cellStyle name="강조색6 2 19" xfId="1197"/>
    <cellStyle name="강조색6 2 2" xfId="3033"/>
    <cellStyle name="강조색6 2 20" xfId="1118"/>
    <cellStyle name="강조색6 2 21" xfId="1039"/>
    <cellStyle name="강조색6 2 22" xfId="960"/>
    <cellStyle name="강조색6 2 23" xfId="881"/>
    <cellStyle name="강조색6 2 24" xfId="802"/>
    <cellStyle name="강조색6 2 25" xfId="723"/>
    <cellStyle name="강조색6 2 26" xfId="644"/>
    <cellStyle name="강조색6 2 27" xfId="565"/>
    <cellStyle name="강조색6 2 28" xfId="486"/>
    <cellStyle name="강조색6 2 29" xfId="407"/>
    <cellStyle name="강조색6 2 3" xfId="2477"/>
    <cellStyle name="강조색6 2 30" xfId="328"/>
    <cellStyle name="강조색6 2 31" xfId="251"/>
    <cellStyle name="강조색6 2 32" xfId="174"/>
    <cellStyle name="강조색6 2 33" xfId="97"/>
    <cellStyle name="강조색6 2 34" xfId="3539"/>
    <cellStyle name="강조색6 2 35" xfId="3615"/>
    <cellStyle name="강조색6 2 36" xfId="3679"/>
    <cellStyle name="강조색6 2 37" xfId="3743"/>
    <cellStyle name="강조색6 2 38" xfId="3805"/>
    <cellStyle name="강조색6 2 39" xfId="3859"/>
    <cellStyle name="강조색6 2 4" xfId="2418"/>
    <cellStyle name="강조색6 2 40" xfId="3910"/>
    <cellStyle name="강조색6 2 41" xfId="3959"/>
    <cellStyle name="강조색6 2 5" xfId="2334"/>
    <cellStyle name="강조색6 2 6" xfId="2253"/>
    <cellStyle name="강조색6 2 7" xfId="2168"/>
    <cellStyle name="강조색6 2 8" xfId="2088"/>
    <cellStyle name="강조색6 2 9" xfId="2004"/>
    <cellStyle name="강조색6 20" xfId="2675"/>
    <cellStyle name="강조색6 21" xfId="2548"/>
    <cellStyle name="강조색6 22" xfId="2683"/>
    <cellStyle name="강조색6 23" xfId="2599"/>
    <cellStyle name="강조색6 24" xfId="1940"/>
    <cellStyle name="강조색6 25" xfId="2664"/>
    <cellStyle name="강조색6 26" xfId="1783"/>
    <cellStyle name="강조색6 27" xfId="2674"/>
    <cellStyle name="강조색6 28" xfId="2746"/>
    <cellStyle name="강조색6 29" xfId="2682"/>
    <cellStyle name="강조색6 3" xfId="2961"/>
    <cellStyle name="강조색6 30" xfId="2740"/>
    <cellStyle name="강조색6 31" xfId="2690"/>
    <cellStyle name="강조색6 32" xfId="2623"/>
    <cellStyle name="강조색6 33" xfId="2697"/>
    <cellStyle name="강조색6 34" xfId="2645"/>
    <cellStyle name="강조색6 35" xfId="2704"/>
    <cellStyle name="강조색6 36" xfId="2654"/>
    <cellStyle name="강조색6 37" xfId="2711"/>
    <cellStyle name="강조색6 38" xfId="2220"/>
    <cellStyle name="강조색6 39" xfId="2715"/>
    <cellStyle name="강조색6 4" xfId="2907"/>
    <cellStyle name="강조색6 40" xfId="2055"/>
    <cellStyle name="강조색6 41" xfId="2349"/>
    <cellStyle name="강조색6 42" xfId="1893"/>
    <cellStyle name="강조색6 5" xfId="2526"/>
    <cellStyle name="강조색6 6" xfId="2853"/>
    <cellStyle name="강조색6 7" xfId="2881"/>
    <cellStyle name="강조색6 8" xfId="2553"/>
    <cellStyle name="강조색6 9" xfId="2831"/>
    <cellStyle name="경고문 10" xfId="2793"/>
    <cellStyle name="경고문 11" xfId="2640"/>
    <cellStyle name="경고문 12" xfId="2393"/>
    <cellStyle name="경고문 13" xfId="2309"/>
    <cellStyle name="경고문 14" xfId="2225"/>
    <cellStyle name="경고문 15" xfId="2121"/>
    <cellStyle name="경고문 16" xfId="2060"/>
    <cellStyle name="경고문 17" xfId="1983"/>
    <cellStyle name="경고문 18" xfId="1898"/>
    <cellStyle name="경고문 19" xfId="1823"/>
    <cellStyle name="경고문 2" xfId="27"/>
    <cellStyle name="경고문 2 10" xfId="1924"/>
    <cellStyle name="경고문 2 11" xfId="1842"/>
    <cellStyle name="경고문 2 12" xfId="1767"/>
    <cellStyle name="경고문 2 13" xfId="1692"/>
    <cellStyle name="경고문 2 14" xfId="1606"/>
    <cellStyle name="경고문 2 15" xfId="1524"/>
    <cellStyle name="경고문 2 16" xfId="1442"/>
    <cellStyle name="경고문 2 17" xfId="1360"/>
    <cellStyle name="경고문 2 18" xfId="1278"/>
    <cellStyle name="경고문 2 19" xfId="1196"/>
    <cellStyle name="경고문 2 2" xfId="3034"/>
    <cellStyle name="경고문 2 20" xfId="1117"/>
    <cellStyle name="경고문 2 21" xfId="1038"/>
    <cellStyle name="경고문 2 22" xfId="959"/>
    <cellStyle name="경고문 2 23" xfId="880"/>
    <cellStyle name="경고문 2 24" xfId="801"/>
    <cellStyle name="경고문 2 25" xfId="722"/>
    <cellStyle name="경고문 2 26" xfId="643"/>
    <cellStyle name="경고문 2 27" xfId="564"/>
    <cellStyle name="경고문 2 28" xfId="485"/>
    <cellStyle name="경고문 2 29" xfId="406"/>
    <cellStyle name="경고문 2 3" xfId="2478"/>
    <cellStyle name="경고문 2 30" xfId="327"/>
    <cellStyle name="경고문 2 31" xfId="250"/>
    <cellStyle name="경고문 2 32" xfId="173"/>
    <cellStyle name="경고문 2 33" xfId="96"/>
    <cellStyle name="경고문 2 34" xfId="3540"/>
    <cellStyle name="경고문 2 35" xfId="3616"/>
    <cellStyle name="경고문 2 36" xfId="3680"/>
    <cellStyle name="경고문 2 37" xfId="3744"/>
    <cellStyle name="경고문 2 38" xfId="3806"/>
    <cellStyle name="경고문 2 39" xfId="3860"/>
    <cellStyle name="경고문 2 4" xfId="2417"/>
    <cellStyle name="경고문 2 40" xfId="3911"/>
    <cellStyle name="경고문 2 41" xfId="3960"/>
    <cellStyle name="경고문 2 5" xfId="2333"/>
    <cellStyle name="경고문 2 6" xfId="2252"/>
    <cellStyle name="경고문 2 7" xfId="2167"/>
    <cellStyle name="경고문 2 8" xfId="2087"/>
    <cellStyle name="경고문 2 9" xfId="2003"/>
    <cellStyle name="경고문 20" xfId="1741"/>
    <cellStyle name="경고문 21" xfId="1669"/>
    <cellStyle name="경고문 22" xfId="1582"/>
    <cellStyle name="경고문 23" xfId="1500"/>
    <cellStyle name="경고문 24" xfId="1418"/>
    <cellStyle name="경고문 25" xfId="1336"/>
    <cellStyle name="경고문 26" xfId="1254"/>
    <cellStyle name="경고문 27" xfId="1172"/>
    <cellStyle name="경고문 28" xfId="1093"/>
    <cellStyle name="경고문 29" xfId="1014"/>
    <cellStyle name="경고문 3" xfId="2960"/>
    <cellStyle name="경고문 30" xfId="935"/>
    <cellStyle name="경고문 31" xfId="856"/>
    <cellStyle name="경고문 32" xfId="777"/>
    <cellStyle name="경고문 33" xfId="698"/>
    <cellStyle name="경고문 34" xfId="619"/>
    <cellStyle name="경고문 35" xfId="540"/>
    <cellStyle name="경고문 36" xfId="461"/>
    <cellStyle name="경고문 37" xfId="382"/>
    <cellStyle name="경고문 38" xfId="303"/>
    <cellStyle name="경고문 39" xfId="226"/>
    <cellStyle name="경고문 4" xfId="2906"/>
    <cellStyle name="경고문 40" xfId="149"/>
    <cellStyle name="경고문 41" xfId="72"/>
    <cellStyle name="경고문 42" xfId="3564"/>
    <cellStyle name="경고문 5" xfId="2527"/>
    <cellStyle name="경고문 6" xfId="2852"/>
    <cellStyle name="경고문 7" xfId="2581"/>
    <cellStyle name="경고문 8" xfId="2816"/>
    <cellStyle name="경고문 9" xfId="2618"/>
    <cellStyle name="계산 10" xfId="2792"/>
    <cellStyle name="계산 11" xfId="2641"/>
    <cellStyle name="계산 12" xfId="2392"/>
    <cellStyle name="계산 13" xfId="2308"/>
    <cellStyle name="계산 14" xfId="2837"/>
    <cellStyle name="계산 15" xfId="2145"/>
    <cellStyle name="계산 16" xfId="2438"/>
    <cellStyle name="계산 17" xfId="1957"/>
    <cellStyle name="계산 18" xfId="2273"/>
    <cellStyle name="계산 19" xfId="1822"/>
    <cellStyle name="계산 2" xfId="28"/>
    <cellStyle name="계산 2 10" xfId="1923"/>
    <cellStyle name="계산 2 11" xfId="1841"/>
    <cellStyle name="계산 2 12" xfId="1766"/>
    <cellStyle name="계산 2 13" xfId="1691"/>
    <cellStyle name="계산 2 14" xfId="1605"/>
    <cellStyle name="계산 2 15" xfId="1523"/>
    <cellStyle name="계산 2 16" xfId="1441"/>
    <cellStyle name="계산 2 17" xfId="1359"/>
    <cellStyle name="계산 2 18" xfId="1277"/>
    <cellStyle name="계산 2 19" xfId="1195"/>
    <cellStyle name="계산 2 2" xfId="3035"/>
    <cellStyle name="계산 2 20" xfId="1116"/>
    <cellStyle name="계산 2 21" xfId="1037"/>
    <cellStyle name="계산 2 22" xfId="958"/>
    <cellStyle name="계산 2 23" xfId="879"/>
    <cellStyle name="계산 2 24" xfId="800"/>
    <cellStyle name="계산 2 25" xfId="721"/>
    <cellStyle name="계산 2 26" xfId="642"/>
    <cellStyle name="계산 2 27" xfId="563"/>
    <cellStyle name="계산 2 28" xfId="484"/>
    <cellStyle name="계산 2 29" xfId="405"/>
    <cellStyle name="계산 2 3" xfId="2479"/>
    <cellStyle name="계산 2 30" xfId="326"/>
    <cellStyle name="계산 2 31" xfId="249"/>
    <cellStyle name="계산 2 32" xfId="172"/>
    <cellStyle name="계산 2 33" xfId="95"/>
    <cellStyle name="계산 2 34" xfId="3541"/>
    <cellStyle name="계산 2 35" xfId="3617"/>
    <cellStyle name="계산 2 36" xfId="3681"/>
    <cellStyle name="계산 2 37" xfId="3745"/>
    <cellStyle name="계산 2 38" xfId="3807"/>
    <cellStyle name="계산 2 39" xfId="3861"/>
    <cellStyle name="계산 2 4" xfId="2416"/>
    <cellStyle name="계산 2 40" xfId="3912"/>
    <cellStyle name="계산 2 41" xfId="3961"/>
    <cellStyle name="계산 2 5" xfId="2332"/>
    <cellStyle name="계산 2 6" xfId="2251"/>
    <cellStyle name="계산 2 7" xfId="2166"/>
    <cellStyle name="계산 2 8" xfId="2086"/>
    <cellStyle name="계산 2 9" xfId="2002"/>
    <cellStyle name="계산 20" xfId="2108"/>
    <cellStyle name="계산 21" xfId="1668"/>
    <cellStyle name="계산 22" xfId="1581"/>
    <cellStyle name="계산 23" xfId="1499"/>
    <cellStyle name="계산 24" xfId="1417"/>
    <cellStyle name="계산 25" xfId="1335"/>
    <cellStyle name="계산 26" xfId="1253"/>
    <cellStyle name="계산 27" xfId="1171"/>
    <cellStyle name="계산 28" xfId="1092"/>
    <cellStyle name="계산 29" xfId="1013"/>
    <cellStyle name="계산 3" xfId="2959"/>
    <cellStyle name="계산 30" xfId="934"/>
    <cellStyle name="계산 31" xfId="855"/>
    <cellStyle name="계산 32" xfId="776"/>
    <cellStyle name="계산 33" xfId="697"/>
    <cellStyle name="계산 34" xfId="618"/>
    <cellStyle name="계산 35" xfId="539"/>
    <cellStyle name="계산 36" xfId="460"/>
    <cellStyle name="계산 37" xfId="381"/>
    <cellStyle name="계산 38" xfId="302"/>
    <cellStyle name="계산 39" xfId="225"/>
    <cellStyle name="계산 4" xfId="2905"/>
    <cellStyle name="계산 40" xfId="148"/>
    <cellStyle name="계산 41" xfId="71"/>
    <cellStyle name="계산 42" xfId="3565"/>
    <cellStyle name="계산 5" xfId="2528"/>
    <cellStyle name="계산 6" xfId="2851"/>
    <cellStyle name="계산 7" xfId="2582"/>
    <cellStyle name="계산 8" xfId="2815"/>
    <cellStyle name="계산 9" xfId="2619"/>
    <cellStyle name="나쁨 10" xfId="2791"/>
    <cellStyle name="나쁨 11" xfId="2642"/>
    <cellStyle name="나쁨 12" xfId="2396"/>
    <cellStyle name="나쁨 13" xfId="2312"/>
    <cellStyle name="나쁨 14" xfId="1944"/>
    <cellStyle name="나쁨 15" xfId="2144"/>
    <cellStyle name="나쁨 16" xfId="1787"/>
    <cellStyle name="나쁨 17" xfId="1981"/>
    <cellStyle name="나쁨 18" xfId="2601"/>
    <cellStyle name="나쁨 19" xfId="1821"/>
    <cellStyle name="나쁨 2" xfId="29"/>
    <cellStyle name="나쁨 2 10" xfId="1922"/>
    <cellStyle name="나쁨 2 11" xfId="1840"/>
    <cellStyle name="나쁨 2 12" xfId="1765"/>
    <cellStyle name="나쁨 2 13" xfId="1690"/>
    <cellStyle name="나쁨 2 14" xfId="1604"/>
    <cellStyle name="나쁨 2 15" xfId="1522"/>
    <cellStyle name="나쁨 2 16" xfId="1440"/>
    <cellStyle name="나쁨 2 17" xfId="1358"/>
    <cellStyle name="나쁨 2 18" xfId="1276"/>
    <cellStyle name="나쁨 2 19" xfId="1194"/>
    <cellStyle name="나쁨 2 2" xfId="3036"/>
    <cellStyle name="나쁨 2 20" xfId="1115"/>
    <cellStyle name="나쁨 2 21" xfId="1036"/>
    <cellStyle name="나쁨 2 22" xfId="957"/>
    <cellStyle name="나쁨 2 23" xfId="878"/>
    <cellStyle name="나쁨 2 24" xfId="799"/>
    <cellStyle name="나쁨 2 25" xfId="720"/>
    <cellStyle name="나쁨 2 26" xfId="641"/>
    <cellStyle name="나쁨 2 27" xfId="562"/>
    <cellStyle name="나쁨 2 28" xfId="483"/>
    <cellStyle name="나쁨 2 29" xfId="404"/>
    <cellStyle name="나쁨 2 3" xfId="2480"/>
    <cellStyle name="나쁨 2 30" xfId="325"/>
    <cellStyle name="나쁨 2 31" xfId="248"/>
    <cellStyle name="나쁨 2 32" xfId="171"/>
    <cellStyle name="나쁨 2 33" xfId="94"/>
    <cellStyle name="나쁨 2 34" xfId="3542"/>
    <cellStyle name="나쁨 2 35" xfId="3618"/>
    <cellStyle name="나쁨 2 36" xfId="3682"/>
    <cellStyle name="나쁨 2 37" xfId="3746"/>
    <cellStyle name="나쁨 2 38" xfId="3808"/>
    <cellStyle name="나쁨 2 39" xfId="3862"/>
    <cellStyle name="나쁨 2 4" xfId="2415"/>
    <cellStyle name="나쁨 2 40" xfId="3913"/>
    <cellStyle name="나쁨 2 41" xfId="3962"/>
    <cellStyle name="나쁨 2 5" xfId="2331"/>
    <cellStyle name="나쁨 2 6" xfId="2250"/>
    <cellStyle name="나쁨 2 7" xfId="2165"/>
    <cellStyle name="나쁨 2 8" xfId="2085"/>
    <cellStyle name="나쁨 2 9" xfId="2001"/>
    <cellStyle name="나쁨 20" xfId="2626"/>
    <cellStyle name="나쁨 21" xfId="1667"/>
    <cellStyle name="나쁨 22" xfId="1585"/>
    <cellStyle name="나쁨 23" xfId="1503"/>
    <cellStyle name="나쁨 24" xfId="1421"/>
    <cellStyle name="나쁨 25" xfId="1339"/>
    <cellStyle name="나쁨 26" xfId="1257"/>
    <cellStyle name="나쁨 27" xfId="1175"/>
    <cellStyle name="나쁨 28" xfId="1096"/>
    <cellStyle name="나쁨 29" xfId="1017"/>
    <cellStyle name="나쁨 3" xfId="2958"/>
    <cellStyle name="나쁨 30" xfId="938"/>
    <cellStyle name="나쁨 31" xfId="859"/>
    <cellStyle name="나쁨 32" xfId="780"/>
    <cellStyle name="나쁨 33" xfId="701"/>
    <cellStyle name="나쁨 34" xfId="622"/>
    <cellStyle name="나쁨 35" xfId="543"/>
    <cellStyle name="나쁨 36" xfId="464"/>
    <cellStyle name="나쁨 37" xfId="385"/>
    <cellStyle name="나쁨 38" xfId="306"/>
    <cellStyle name="나쁨 39" xfId="229"/>
    <cellStyle name="나쁨 4" xfId="2904"/>
    <cellStyle name="나쁨 40" xfId="152"/>
    <cellStyle name="나쁨 41" xfId="75"/>
    <cellStyle name="나쁨 42" xfId="3561"/>
    <cellStyle name="나쁨 5" xfId="2529"/>
    <cellStyle name="나쁨 6" xfId="2850"/>
    <cellStyle name="나쁨 7" xfId="2583"/>
    <cellStyle name="나쁨 8" xfId="2814"/>
    <cellStyle name="나쁨 9" xfId="2620"/>
    <cellStyle name="메모 10" xfId="3497"/>
    <cellStyle name="메모 11" xfId="3496"/>
    <cellStyle name="메모 12" xfId="3495"/>
    <cellStyle name="메모 13" xfId="3494"/>
    <cellStyle name="메모 14" xfId="3493"/>
    <cellStyle name="메모 15" xfId="3492"/>
    <cellStyle name="메모 16" xfId="3491"/>
    <cellStyle name="메모 17" xfId="3490"/>
    <cellStyle name="메모 18" xfId="3489"/>
    <cellStyle name="메모 19" xfId="3488"/>
    <cellStyle name="메모 2" xfId="30"/>
    <cellStyle name="메모 2 10" xfId="2033"/>
    <cellStyle name="메모 2 11" xfId="1952"/>
    <cellStyle name="메모 2 12" xfId="1872"/>
    <cellStyle name="메모 2 13" xfId="1890"/>
    <cellStyle name="메모 2 14" xfId="2195"/>
    <cellStyle name="메모 2 15" xfId="1634"/>
    <cellStyle name="메모 2 16" xfId="1552"/>
    <cellStyle name="메모 2 17" xfId="1470"/>
    <cellStyle name="메모 2 18" xfId="1388"/>
    <cellStyle name="메모 2 19" xfId="1306"/>
    <cellStyle name="메모 2 2" xfId="3487"/>
    <cellStyle name="메모 2 20" xfId="1224"/>
    <cellStyle name="메모 2 21" xfId="1145"/>
    <cellStyle name="메모 2 22" xfId="1066"/>
    <cellStyle name="메모 2 23" xfId="987"/>
    <cellStyle name="메모 2 24" xfId="908"/>
    <cellStyle name="메모 2 25" xfId="829"/>
    <cellStyle name="메모 2 26" xfId="750"/>
    <cellStyle name="메모 2 27" xfId="671"/>
    <cellStyle name="메모 2 28" xfId="592"/>
    <cellStyle name="메모 2 29" xfId="513"/>
    <cellStyle name="메모 2 3" xfId="2869"/>
    <cellStyle name="메모 2 30" xfId="434"/>
    <cellStyle name="메모 2 31" xfId="355"/>
    <cellStyle name="메모 2 32" xfId="276"/>
    <cellStyle name="메모 2 33" xfId="199"/>
    <cellStyle name="메모 2 34" xfId="122"/>
    <cellStyle name="메모 2 35" xfId="3514"/>
    <cellStyle name="메모 2 36" xfId="3590"/>
    <cellStyle name="메모 2 37" xfId="3655"/>
    <cellStyle name="메모 2 38" xfId="3719"/>
    <cellStyle name="메모 2 39" xfId="3782"/>
    <cellStyle name="메모 2 4" xfId="2565"/>
    <cellStyle name="메모 2 40" xfId="3843"/>
    <cellStyle name="메모 2 41" xfId="3894"/>
    <cellStyle name="메모 2 5" xfId="2445"/>
    <cellStyle name="메모 2 6" xfId="2364"/>
    <cellStyle name="메모 2 7" xfId="2281"/>
    <cellStyle name="메모 2 8" xfId="2197"/>
    <cellStyle name="메모 2 9" xfId="2116"/>
    <cellStyle name="메모 20" xfId="2957"/>
    <cellStyle name="메모 21" xfId="2903"/>
    <cellStyle name="메모 22" xfId="2530"/>
    <cellStyle name="메모 23" xfId="2849"/>
    <cellStyle name="메모 24" xfId="2584"/>
    <cellStyle name="메모 25" xfId="2813"/>
    <cellStyle name="메모 26" xfId="2621"/>
    <cellStyle name="메모 27" xfId="2790"/>
    <cellStyle name="메모 28" xfId="2643"/>
    <cellStyle name="메모 29" xfId="2391"/>
    <cellStyle name="메모 3" xfId="3486"/>
    <cellStyle name="메모 30" xfId="2307"/>
    <cellStyle name="메모 31" xfId="1943"/>
    <cellStyle name="메모 32" xfId="2552"/>
    <cellStyle name="메모 33" xfId="1786"/>
    <cellStyle name="메모 34" xfId="1980"/>
    <cellStyle name="메모 35" xfId="2600"/>
    <cellStyle name="메모 36" xfId="1820"/>
    <cellStyle name="메모 37" xfId="2625"/>
    <cellStyle name="메모 38" xfId="1666"/>
    <cellStyle name="메모 39" xfId="1580"/>
    <cellStyle name="메모 4" xfId="3485"/>
    <cellStyle name="메모 40" xfId="1498"/>
    <cellStyle name="메모 41" xfId="1416"/>
    <cellStyle name="메모 42" xfId="1334"/>
    <cellStyle name="메모 43" xfId="1252"/>
    <cellStyle name="메모 44" xfId="1170"/>
    <cellStyle name="메모 45" xfId="1091"/>
    <cellStyle name="메모 46" xfId="1012"/>
    <cellStyle name="메모 47" xfId="933"/>
    <cellStyle name="메모 48" xfId="854"/>
    <cellStyle name="메모 49" xfId="775"/>
    <cellStyle name="메모 5" xfId="3484"/>
    <cellStyle name="메모 50" xfId="696"/>
    <cellStyle name="메모 51" xfId="617"/>
    <cellStyle name="메모 52" xfId="538"/>
    <cellStyle name="메모 53" xfId="459"/>
    <cellStyle name="메모 54" xfId="380"/>
    <cellStyle name="메모 55" xfId="301"/>
    <cellStyle name="메모 56" xfId="224"/>
    <cellStyle name="메모 57" xfId="147"/>
    <cellStyle name="메모 58" xfId="70"/>
    <cellStyle name="메모 59" xfId="3566"/>
    <cellStyle name="메모 6" xfId="3483"/>
    <cellStyle name="메모 7" xfId="3482"/>
    <cellStyle name="메모 8" xfId="3481"/>
    <cellStyle name="메모 9" xfId="3480"/>
    <cellStyle name="백분율" xfId="57" builtinId="5"/>
    <cellStyle name="백분율 2" xfId="31"/>
    <cellStyle name="백분율 2 10" xfId="1921"/>
    <cellStyle name="백분율 2 11" xfId="1839"/>
    <cellStyle name="백분율 2 12" xfId="1764"/>
    <cellStyle name="백분율 2 13" xfId="1689"/>
    <cellStyle name="백분율 2 14" xfId="1603"/>
    <cellStyle name="백분율 2 15" xfId="1521"/>
    <cellStyle name="백분율 2 16" xfId="1439"/>
    <cellStyle name="백분율 2 17" xfId="1357"/>
    <cellStyle name="백분율 2 18" xfId="1275"/>
    <cellStyle name="백분율 2 19" xfId="1193"/>
    <cellStyle name="백분율 2 2" xfId="3037"/>
    <cellStyle name="백분율 2 20" xfId="1114"/>
    <cellStyle name="백분율 2 21" xfId="1035"/>
    <cellStyle name="백분율 2 22" xfId="956"/>
    <cellStyle name="백분율 2 23" xfId="877"/>
    <cellStyle name="백분율 2 24" xfId="798"/>
    <cellStyle name="백분율 2 25" xfId="719"/>
    <cellStyle name="백분율 2 26" xfId="640"/>
    <cellStyle name="백분율 2 27" xfId="561"/>
    <cellStyle name="백분율 2 28" xfId="482"/>
    <cellStyle name="백분율 2 29" xfId="403"/>
    <cellStyle name="백분율 2 3" xfId="2481"/>
    <cellStyle name="백분율 2 30" xfId="324"/>
    <cellStyle name="백분율 2 31" xfId="247"/>
    <cellStyle name="백분율 2 32" xfId="170"/>
    <cellStyle name="백분율 2 33" xfId="93"/>
    <cellStyle name="백분율 2 34" xfId="3543"/>
    <cellStyle name="백분율 2 35" xfId="3619"/>
    <cellStyle name="백분율 2 36" xfId="3683"/>
    <cellStyle name="백분율 2 37" xfId="3747"/>
    <cellStyle name="백분율 2 38" xfId="3809"/>
    <cellStyle name="백분율 2 39" xfId="3863"/>
    <cellStyle name="백분율 2 4" xfId="2414"/>
    <cellStyle name="백분율 2 40" xfId="3914"/>
    <cellStyle name="백분율 2 41" xfId="3963"/>
    <cellStyle name="백분율 2 5" xfId="2330"/>
    <cellStyle name="백분율 2 6" xfId="2249"/>
    <cellStyle name="백분율 2 7" xfId="2164"/>
    <cellStyle name="백분율 2 8" xfId="2084"/>
    <cellStyle name="백분율 2 9" xfId="2000"/>
    <cellStyle name="백분율 3" xfId="3051"/>
    <cellStyle name="백분율 3 2" xfId="2941"/>
    <cellStyle name="백분율 3 2 2" xfId="2933"/>
    <cellStyle name="백분율 3 3" xfId="2939"/>
    <cellStyle name="백분율 4" xfId="2987"/>
    <cellStyle name="백분율 4 2" xfId="2956"/>
    <cellStyle name="백분율 4 3" xfId="2935"/>
    <cellStyle name="보통 10" xfId="2789"/>
    <cellStyle name="보통 11" xfId="2644"/>
    <cellStyle name="보통 12" xfId="2888"/>
    <cellStyle name="보통 13" xfId="2545"/>
    <cellStyle name="보통 14" xfId="1942"/>
    <cellStyle name="보통 15" xfId="2143"/>
    <cellStyle name="보통 16" xfId="1785"/>
    <cellStyle name="보통 17" xfId="1979"/>
    <cellStyle name="보통 18" xfId="2750"/>
    <cellStyle name="보통 19" xfId="1819"/>
    <cellStyle name="보통 2" xfId="32"/>
    <cellStyle name="보통 2 10" xfId="1920"/>
    <cellStyle name="보통 2 11" xfId="1838"/>
    <cellStyle name="보통 2 12" xfId="1763"/>
    <cellStyle name="보통 2 13" xfId="1688"/>
    <cellStyle name="보통 2 14" xfId="1602"/>
    <cellStyle name="보통 2 15" xfId="1520"/>
    <cellStyle name="보통 2 16" xfId="1438"/>
    <cellStyle name="보통 2 17" xfId="1356"/>
    <cellStyle name="보통 2 18" xfId="1274"/>
    <cellStyle name="보통 2 19" xfId="1192"/>
    <cellStyle name="보통 2 2" xfId="3038"/>
    <cellStyle name="보통 2 20" xfId="1113"/>
    <cellStyle name="보통 2 21" xfId="1034"/>
    <cellStyle name="보통 2 22" xfId="955"/>
    <cellStyle name="보통 2 23" xfId="876"/>
    <cellStyle name="보통 2 24" xfId="797"/>
    <cellStyle name="보통 2 25" xfId="718"/>
    <cellStyle name="보통 2 26" xfId="639"/>
    <cellStyle name="보통 2 27" xfId="560"/>
    <cellStyle name="보통 2 28" xfId="481"/>
    <cellStyle name="보통 2 29" xfId="402"/>
    <cellStyle name="보통 2 3" xfId="2482"/>
    <cellStyle name="보통 2 30" xfId="323"/>
    <cellStyle name="보통 2 31" xfId="246"/>
    <cellStyle name="보통 2 32" xfId="169"/>
    <cellStyle name="보통 2 33" xfId="92"/>
    <cellStyle name="보통 2 34" xfId="3544"/>
    <cellStyle name="보통 2 35" xfId="3620"/>
    <cellStyle name="보통 2 36" xfId="3684"/>
    <cellStyle name="보통 2 37" xfId="3748"/>
    <cellStyle name="보통 2 38" xfId="3810"/>
    <cellStyle name="보통 2 39" xfId="3864"/>
    <cellStyle name="보통 2 4" xfId="2413"/>
    <cellStyle name="보통 2 40" xfId="3915"/>
    <cellStyle name="보통 2 41" xfId="3964"/>
    <cellStyle name="보통 2 5" xfId="2329"/>
    <cellStyle name="보통 2 6" xfId="2248"/>
    <cellStyle name="보통 2 7" xfId="2163"/>
    <cellStyle name="보통 2 8" xfId="2083"/>
    <cellStyle name="보통 2 9" xfId="1999"/>
    <cellStyle name="보통 20" xfId="2744"/>
    <cellStyle name="보통 21" xfId="1665"/>
    <cellStyle name="보통 22" xfId="2767"/>
    <cellStyle name="보통 23" xfId="1868"/>
    <cellStyle name="보통 24" xfId="2758"/>
    <cellStyle name="보통 25" xfId="1713"/>
    <cellStyle name="보통 26" xfId="1627"/>
    <cellStyle name="보통 27" xfId="1545"/>
    <cellStyle name="보통 28" xfId="1463"/>
    <cellStyle name="보통 29" xfId="1381"/>
    <cellStyle name="보통 3" xfId="2955"/>
    <cellStyle name="보통 30" xfId="1299"/>
    <cellStyle name="보통 31" xfId="1217"/>
    <cellStyle name="보통 32" xfId="1138"/>
    <cellStyle name="보통 33" xfId="1059"/>
    <cellStyle name="보통 34" xfId="980"/>
    <cellStyle name="보통 35" xfId="901"/>
    <cellStyle name="보통 36" xfId="822"/>
    <cellStyle name="보통 37" xfId="743"/>
    <cellStyle name="보통 38" xfId="664"/>
    <cellStyle name="보통 39" xfId="585"/>
    <cellStyle name="보통 4" xfId="2902"/>
    <cellStyle name="보통 40" xfId="506"/>
    <cellStyle name="보통 41" xfId="427"/>
    <cellStyle name="보통 42" xfId="348"/>
    <cellStyle name="보통 5" xfId="2531"/>
    <cellStyle name="보통 6" xfId="2848"/>
    <cellStyle name="보통 7" xfId="2585"/>
    <cellStyle name="보통 8" xfId="2812"/>
    <cellStyle name="보통 9" xfId="2622"/>
    <cellStyle name="설명 텍스트 10" xfId="2272"/>
    <cellStyle name="설명 텍스트 11" xfId="2188"/>
    <cellStyle name="설명 텍스트 12" xfId="2107"/>
    <cellStyle name="설명 텍스트 13" xfId="2024"/>
    <cellStyle name="설명 텍스트 14" xfId="2196"/>
    <cellStyle name="설명 텍스트 15" xfId="2146"/>
    <cellStyle name="설명 텍스트 16" xfId="2032"/>
    <cellStyle name="설명 텍스트 17" xfId="1982"/>
    <cellStyle name="설명 텍스트 18" xfId="1626"/>
    <cellStyle name="설명 텍스트 19" xfId="1544"/>
    <cellStyle name="설명 텍스트 2" xfId="33"/>
    <cellStyle name="설명 텍스트 2 10" xfId="1919"/>
    <cellStyle name="설명 텍스트 2 11" xfId="1837"/>
    <cellStyle name="설명 텍스트 2 12" xfId="1762"/>
    <cellStyle name="설명 텍스트 2 13" xfId="1687"/>
    <cellStyle name="설명 텍스트 2 14" xfId="1601"/>
    <cellStyle name="설명 텍스트 2 15" xfId="1519"/>
    <cellStyle name="설명 텍스트 2 16" xfId="1437"/>
    <cellStyle name="설명 텍스트 2 17" xfId="1355"/>
    <cellStyle name="설명 텍스트 2 18" xfId="1273"/>
    <cellStyle name="설명 텍스트 2 19" xfId="1191"/>
    <cellStyle name="설명 텍스트 2 2" xfId="3039"/>
    <cellStyle name="설명 텍스트 2 20" xfId="1112"/>
    <cellStyle name="설명 텍스트 2 21" xfId="1033"/>
    <cellStyle name="설명 텍스트 2 22" xfId="954"/>
    <cellStyle name="설명 텍스트 2 23" xfId="875"/>
    <cellStyle name="설명 텍스트 2 24" xfId="796"/>
    <cellStyle name="설명 텍스트 2 25" xfId="717"/>
    <cellStyle name="설명 텍스트 2 26" xfId="638"/>
    <cellStyle name="설명 텍스트 2 27" xfId="559"/>
    <cellStyle name="설명 텍스트 2 28" xfId="480"/>
    <cellStyle name="설명 텍스트 2 29" xfId="401"/>
    <cellStyle name="설명 텍스트 2 3" xfId="2483"/>
    <cellStyle name="설명 텍스트 2 30" xfId="322"/>
    <cellStyle name="설명 텍스트 2 31" xfId="245"/>
    <cellStyle name="설명 텍스트 2 32" xfId="168"/>
    <cellStyle name="설명 텍스트 2 33" xfId="91"/>
    <cellStyle name="설명 텍스트 2 34" xfId="3545"/>
    <cellStyle name="설명 텍스트 2 35" xfId="3621"/>
    <cellStyle name="설명 텍스트 2 36" xfId="3685"/>
    <cellStyle name="설명 텍스트 2 37" xfId="3749"/>
    <cellStyle name="설명 텍스트 2 38" xfId="3811"/>
    <cellStyle name="설명 텍스트 2 39" xfId="3865"/>
    <cellStyle name="설명 텍스트 2 4" xfId="2412"/>
    <cellStyle name="설명 텍스트 2 40" xfId="3916"/>
    <cellStyle name="설명 텍스트 2 41" xfId="3965"/>
    <cellStyle name="설명 텍스트 2 5" xfId="2328"/>
    <cellStyle name="설명 텍스트 2 6" xfId="2247"/>
    <cellStyle name="설명 텍스트 2 7" xfId="2162"/>
    <cellStyle name="설명 텍스트 2 8" xfId="2082"/>
    <cellStyle name="설명 텍스트 2 9" xfId="1998"/>
    <cellStyle name="설명 텍스트 20" xfId="1462"/>
    <cellStyle name="설명 텍스트 21" xfId="1380"/>
    <cellStyle name="설명 텍스트 22" xfId="1298"/>
    <cellStyle name="설명 텍스트 23" xfId="1216"/>
    <cellStyle name="설명 텍스트 24" xfId="1137"/>
    <cellStyle name="설명 텍스트 25" xfId="1058"/>
    <cellStyle name="설명 텍스트 26" xfId="979"/>
    <cellStyle name="설명 텍스트 27" xfId="900"/>
    <cellStyle name="설명 텍스트 28" xfId="821"/>
    <cellStyle name="설명 텍스트 29" xfId="742"/>
    <cellStyle name="설명 텍스트 3" xfId="2954"/>
    <cellStyle name="설명 텍스트 30" xfId="663"/>
    <cellStyle name="설명 텍스트 31" xfId="584"/>
    <cellStyle name="설명 텍스트 32" xfId="505"/>
    <cellStyle name="설명 텍스트 33" xfId="426"/>
    <cellStyle name="설명 텍스트 34" xfId="347"/>
    <cellStyle name="설명 텍스트 35" xfId="269"/>
    <cellStyle name="설명 텍스트 36" xfId="192"/>
    <cellStyle name="설명 텍스트 37" xfId="115"/>
    <cellStyle name="설명 텍스트 38" xfId="3521"/>
    <cellStyle name="설명 텍스트 39" xfId="3597"/>
    <cellStyle name="설명 텍스트 4" xfId="2901"/>
    <cellStyle name="설명 텍스트 40" xfId="3661"/>
    <cellStyle name="설명 텍스트 41" xfId="3725"/>
    <cellStyle name="설명 텍스트 42" xfId="3788"/>
    <cellStyle name="설명 텍스트 5" xfId="2532"/>
    <cellStyle name="설명 텍스트 6" xfId="2847"/>
    <cellStyle name="설명 텍스트 7" xfId="2586"/>
    <cellStyle name="설명 텍스트 8" xfId="2437"/>
    <cellStyle name="설명 텍스트 9" xfId="2355"/>
    <cellStyle name="셀 확인 10" xfId="2271"/>
    <cellStyle name="셀 확인 11" xfId="2187"/>
    <cellStyle name="셀 확인 12" xfId="2106"/>
    <cellStyle name="셀 확인 13" xfId="2023"/>
    <cellStyle name="셀 확인 14" xfId="2198"/>
    <cellStyle name="셀 확인 15" xfId="2142"/>
    <cellStyle name="셀 확인 16" xfId="2034"/>
    <cellStyle name="셀 확인 17" xfId="1978"/>
    <cellStyle name="셀 확인 18" xfId="1625"/>
    <cellStyle name="셀 확인 19" xfId="1543"/>
    <cellStyle name="셀 확인 2" xfId="34"/>
    <cellStyle name="셀 확인 2 10" xfId="1918"/>
    <cellStyle name="셀 확인 2 11" xfId="1836"/>
    <cellStyle name="셀 확인 2 12" xfId="1761"/>
    <cellStyle name="셀 확인 2 13" xfId="1686"/>
    <cellStyle name="셀 확인 2 14" xfId="1600"/>
    <cellStyle name="셀 확인 2 15" xfId="1518"/>
    <cellStyle name="셀 확인 2 16" xfId="1436"/>
    <cellStyle name="셀 확인 2 17" xfId="1354"/>
    <cellStyle name="셀 확인 2 18" xfId="1272"/>
    <cellStyle name="셀 확인 2 19" xfId="1190"/>
    <cellStyle name="셀 확인 2 2" xfId="3040"/>
    <cellStyle name="셀 확인 2 20" xfId="1111"/>
    <cellStyle name="셀 확인 2 21" xfId="1032"/>
    <cellStyle name="셀 확인 2 22" xfId="953"/>
    <cellStyle name="셀 확인 2 23" xfId="874"/>
    <cellStyle name="셀 확인 2 24" xfId="795"/>
    <cellStyle name="셀 확인 2 25" xfId="716"/>
    <cellStyle name="셀 확인 2 26" xfId="637"/>
    <cellStyle name="셀 확인 2 27" xfId="558"/>
    <cellStyle name="셀 확인 2 28" xfId="479"/>
    <cellStyle name="셀 확인 2 29" xfId="400"/>
    <cellStyle name="셀 확인 2 3" xfId="2484"/>
    <cellStyle name="셀 확인 2 30" xfId="321"/>
    <cellStyle name="셀 확인 2 31" xfId="244"/>
    <cellStyle name="셀 확인 2 32" xfId="167"/>
    <cellStyle name="셀 확인 2 33" xfId="90"/>
    <cellStyle name="셀 확인 2 34" xfId="3546"/>
    <cellStyle name="셀 확인 2 35" xfId="3622"/>
    <cellStyle name="셀 확인 2 36" xfId="3686"/>
    <cellStyle name="셀 확인 2 37" xfId="3750"/>
    <cellStyle name="셀 확인 2 38" xfId="3812"/>
    <cellStyle name="셀 확인 2 39" xfId="3866"/>
    <cellStyle name="셀 확인 2 4" xfId="2411"/>
    <cellStyle name="셀 확인 2 40" xfId="3917"/>
    <cellStyle name="셀 확인 2 41" xfId="3966"/>
    <cellStyle name="셀 확인 2 5" xfId="2327"/>
    <cellStyle name="셀 확인 2 6" xfId="2246"/>
    <cellStyle name="셀 확인 2 7" xfId="2161"/>
    <cellStyle name="셀 확인 2 8" xfId="2081"/>
    <cellStyle name="셀 확인 2 9" xfId="1997"/>
    <cellStyle name="셀 확인 20" xfId="1461"/>
    <cellStyle name="셀 확인 21" xfId="1379"/>
    <cellStyle name="셀 확인 22" xfId="1297"/>
    <cellStyle name="셀 확인 23" xfId="1215"/>
    <cellStyle name="셀 확인 24" xfId="1136"/>
    <cellStyle name="셀 확인 25" xfId="1057"/>
    <cellStyle name="셀 확인 26" xfId="978"/>
    <cellStyle name="셀 확인 27" xfId="899"/>
    <cellStyle name="셀 확인 28" xfId="820"/>
    <cellStyle name="셀 확인 29" xfId="741"/>
    <cellStyle name="셀 확인 3" xfId="2953"/>
    <cellStyle name="셀 확인 30" xfId="662"/>
    <cellStyle name="셀 확인 31" xfId="583"/>
    <cellStyle name="셀 확인 32" xfId="504"/>
    <cellStyle name="셀 확인 33" xfId="425"/>
    <cellStyle name="셀 확인 34" xfId="346"/>
    <cellStyle name="셀 확인 35" xfId="268"/>
    <cellStyle name="셀 확인 36" xfId="191"/>
    <cellStyle name="셀 확인 37" xfId="114"/>
    <cellStyle name="셀 확인 38" xfId="3522"/>
    <cellStyle name="셀 확인 39" xfId="3598"/>
    <cellStyle name="셀 확인 4" xfId="2900"/>
    <cellStyle name="셀 확인 40" xfId="3662"/>
    <cellStyle name="셀 확인 41" xfId="3726"/>
    <cellStyle name="셀 확인 42" xfId="3789"/>
    <cellStyle name="셀 확인 5" xfId="2533"/>
    <cellStyle name="셀 확인 6" xfId="2846"/>
    <cellStyle name="셀 확인 7" xfId="2587"/>
    <cellStyle name="셀 확인 8" xfId="2436"/>
    <cellStyle name="셀 확인 9" xfId="2354"/>
    <cellStyle name="쉼표 [0]" xfId="1" builtinId="6"/>
    <cellStyle name="쉼표 [0] 10" xfId="3479"/>
    <cellStyle name="쉼표 [0] 100" xfId="3478"/>
    <cellStyle name="쉼표 [0] 101" xfId="3477"/>
    <cellStyle name="쉼표 [0] 102" xfId="3476"/>
    <cellStyle name="쉼표 [0] 103" xfId="3475"/>
    <cellStyle name="쉼표 [0] 104" xfId="3474"/>
    <cellStyle name="쉼표 [0] 105" xfId="3473"/>
    <cellStyle name="쉼표 [0] 106" xfId="3472"/>
    <cellStyle name="쉼표 [0] 107" xfId="3471"/>
    <cellStyle name="쉼표 [0] 108" xfId="3470"/>
    <cellStyle name="쉼표 [0] 109" xfId="3469"/>
    <cellStyle name="쉼표 [0] 110" xfId="3468"/>
    <cellStyle name="쉼표 [0] 111" xfId="3467"/>
    <cellStyle name="쉼표 [0] 112" xfId="3466"/>
    <cellStyle name="쉼표 [0] 113" xfId="3465"/>
    <cellStyle name="쉼표 [0] 114" xfId="3464"/>
    <cellStyle name="쉼표 [0] 115" xfId="3463"/>
    <cellStyle name="쉼표 [0] 12" xfId="3462"/>
    <cellStyle name="쉼표 [0] 14" xfId="3461"/>
    <cellStyle name="쉼표 [0] 16" xfId="3460"/>
    <cellStyle name="쉼표 [0] 176" xfId="3459"/>
    <cellStyle name="쉼표 [0] 18" xfId="3458"/>
    <cellStyle name="쉼표 [0] 2 10" xfId="1958"/>
    <cellStyle name="쉼표 [0] 2 11" xfId="1876"/>
    <cellStyle name="쉼표 [0] 2 12" xfId="1798"/>
    <cellStyle name="쉼표 [0] 2 13" xfId="1721"/>
    <cellStyle name="쉼표 [0] 2 14" xfId="1640"/>
    <cellStyle name="쉼표 [0] 2 15" xfId="1558"/>
    <cellStyle name="쉼표 [0] 2 16" xfId="1476"/>
    <cellStyle name="쉼표 [0] 2 17" xfId="1394"/>
    <cellStyle name="쉼표 [0] 2 18" xfId="1312"/>
    <cellStyle name="쉼표 [0] 2 19" xfId="1230"/>
    <cellStyle name="쉼표 [0] 2 2" xfId="3008"/>
    <cellStyle name="쉼표 [0] 2 2 2" xfId="2932"/>
    <cellStyle name="쉼표 [0] 2 20" xfId="1151"/>
    <cellStyle name="쉼표 [0] 2 21" xfId="1072"/>
    <cellStyle name="쉼표 [0] 2 22" xfId="993"/>
    <cellStyle name="쉼표 [0] 2 23" xfId="914"/>
    <cellStyle name="쉼표 [0] 2 24" xfId="835"/>
    <cellStyle name="쉼표 [0] 2 25" xfId="756"/>
    <cellStyle name="쉼표 [0] 2 26" xfId="677"/>
    <cellStyle name="쉼표 [0] 2 27" xfId="598"/>
    <cellStyle name="쉼표 [0] 2 28" xfId="519"/>
    <cellStyle name="쉼표 [0] 2 29" xfId="440"/>
    <cellStyle name="쉼표 [0] 2 3" xfId="2938"/>
    <cellStyle name="쉼표 [0] 2 30" xfId="361"/>
    <cellStyle name="쉼표 [0] 2 31" xfId="282"/>
    <cellStyle name="쉼표 [0] 2 32" xfId="205"/>
    <cellStyle name="쉼표 [0] 2 33" xfId="128"/>
    <cellStyle name="쉼표 [0] 2 34" xfId="3508"/>
    <cellStyle name="쉼표 [0] 2 35" xfId="3585"/>
    <cellStyle name="쉼표 [0] 2 36" xfId="3652"/>
    <cellStyle name="쉼표 [0] 2 37" xfId="3716"/>
    <cellStyle name="쉼표 [0] 2 38" xfId="3779"/>
    <cellStyle name="쉼표 [0] 2 39" xfId="3840"/>
    <cellStyle name="쉼표 [0] 2 4" xfId="2452"/>
    <cellStyle name="쉼표 [0] 2 40" xfId="3893"/>
    <cellStyle name="쉼표 [0] 2 41" xfId="3944"/>
    <cellStyle name="쉼표 [0] 2 42" xfId="3982"/>
    <cellStyle name="쉼표 [0] 2 5" xfId="2370"/>
    <cellStyle name="쉼표 [0] 2 6" xfId="2287"/>
    <cellStyle name="쉼표 [0] 2 7" xfId="2203"/>
    <cellStyle name="쉼표 [0] 2 8" xfId="2122"/>
    <cellStyle name="쉼표 [0] 2 9" xfId="2039"/>
    <cellStyle name="쉼표 [0] 20" xfId="3457"/>
    <cellStyle name="쉼표 [0] 23" xfId="3456"/>
    <cellStyle name="쉼표 [0] 26" xfId="3455"/>
    <cellStyle name="쉼표 [0] 27" xfId="3454"/>
    <cellStyle name="쉼표 [0] 28" xfId="3453"/>
    <cellStyle name="쉼표 [0] 29" xfId="3452"/>
    <cellStyle name="쉼표 [0] 3" xfId="3451"/>
    <cellStyle name="쉼표 [0] 30" xfId="3450"/>
    <cellStyle name="쉼표 [0] 31" xfId="3449"/>
    <cellStyle name="쉼표 [0] 32" xfId="3448"/>
    <cellStyle name="쉼표 [0] 33" xfId="3447"/>
    <cellStyle name="쉼표 [0] 34" xfId="3446"/>
    <cellStyle name="쉼표 [0] 35" xfId="3445"/>
    <cellStyle name="쉼표 [0] 36" xfId="3444"/>
    <cellStyle name="쉼표 [0] 38" xfId="3443"/>
    <cellStyle name="쉼표 [0] 39" xfId="3442"/>
    <cellStyle name="쉼표 [0] 4" xfId="59"/>
    <cellStyle name="쉼표 [0] 4 10" xfId="3054"/>
    <cellStyle name="쉼표 [0] 4 11" xfId="3004"/>
    <cellStyle name="쉼표 [0] 4 12" xfId="3003"/>
    <cellStyle name="쉼표 [0] 4 13" xfId="3055"/>
    <cellStyle name="쉼표 [0] 4 2" xfId="3441"/>
    <cellStyle name="쉼표 [0] 4 2 2" xfId="3052"/>
    <cellStyle name="쉼표 [0] 4 3" xfId="3056"/>
    <cellStyle name="쉼표 [0] 4 4" xfId="3006"/>
    <cellStyle name="쉼표 [0] 4 5" xfId="3000"/>
    <cellStyle name="쉼표 [0] 4 6" xfId="3001"/>
    <cellStyle name="쉼표 [0] 4 7" xfId="3005"/>
    <cellStyle name="쉼표 [0] 4 8" xfId="2999"/>
    <cellStyle name="쉼표 [0] 4 9" xfId="3002"/>
    <cellStyle name="쉼표 [0] 40" xfId="3440"/>
    <cellStyle name="쉼표 [0] 41" xfId="3439"/>
    <cellStyle name="쉼표 [0] 42" xfId="3438"/>
    <cellStyle name="쉼표 [0] 43" xfId="3437"/>
    <cellStyle name="쉼표 [0] 45" xfId="3436"/>
    <cellStyle name="쉼표 [0] 46" xfId="3435"/>
    <cellStyle name="쉼표 [0] 47" xfId="3434"/>
    <cellStyle name="쉼표 [0] 48" xfId="3433"/>
    <cellStyle name="쉼표 [0] 49" xfId="3432"/>
    <cellStyle name="쉼표 [0] 5" xfId="60"/>
    <cellStyle name="쉼표 [0] 50" xfId="3431"/>
    <cellStyle name="쉼표 [0] 51" xfId="3430"/>
    <cellStyle name="쉼표 [0] 52" xfId="3429"/>
    <cellStyle name="쉼표 [0] 53" xfId="3428"/>
    <cellStyle name="쉼표 [0] 54" xfId="3427"/>
    <cellStyle name="쉼표 [0] 55" xfId="3426"/>
    <cellStyle name="쉼표 [0] 57" xfId="3425"/>
    <cellStyle name="쉼표 [0] 6" xfId="61"/>
    <cellStyle name="쉼표 [0] 6 10" xfId="2992"/>
    <cellStyle name="쉼표 [0] 6 11" xfId="2991"/>
    <cellStyle name="쉼표 [0] 6 12" xfId="2990"/>
    <cellStyle name="쉼표 [0] 6 13" xfId="2989"/>
    <cellStyle name="쉼표 [0] 6 2" xfId="3424"/>
    <cellStyle name="쉼표 [0] 6 2 2" xfId="3053"/>
    <cellStyle name="쉼표 [0] 6 3" xfId="3057"/>
    <cellStyle name="쉼표 [0] 6 4" xfId="2998"/>
    <cellStyle name="쉼표 [0] 6 5" xfId="2997"/>
    <cellStyle name="쉼표 [0] 6 6" xfId="2996"/>
    <cellStyle name="쉼표 [0] 6 7" xfId="2995"/>
    <cellStyle name="쉼표 [0] 6 8" xfId="2994"/>
    <cellStyle name="쉼표 [0] 6 9" xfId="2993"/>
    <cellStyle name="쉼표 [0] 60" xfId="3423"/>
    <cellStyle name="쉼표 [0] 61" xfId="3422"/>
    <cellStyle name="쉼표 [0] 62" xfId="3421"/>
    <cellStyle name="쉼표 [0] 63" xfId="3420"/>
    <cellStyle name="쉼표 [0] 64" xfId="3419"/>
    <cellStyle name="쉼표 [0] 65" xfId="3418"/>
    <cellStyle name="쉼표 [0] 66" xfId="3417"/>
    <cellStyle name="쉼표 [0] 67" xfId="3416"/>
    <cellStyle name="쉼표 [0] 68" xfId="3415"/>
    <cellStyle name="쉼표 [0] 69" xfId="3414"/>
    <cellStyle name="쉼표 [0] 7" xfId="2986"/>
    <cellStyle name="쉼표 [0] 7 2" xfId="2952"/>
    <cellStyle name="쉼표 [0] 7 3" xfId="2934"/>
    <cellStyle name="쉼표 [0] 70" xfId="3413"/>
    <cellStyle name="쉼표 [0] 71" xfId="3412"/>
    <cellStyle name="쉼표 [0] 72" xfId="3411"/>
    <cellStyle name="쉼표 [0] 73" xfId="3410"/>
    <cellStyle name="쉼표 [0] 74" xfId="3409"/>
    <cellStyle name="쉼표 [0] 75" xfId="3408"/>
    <cellStyle name="쉼표 [0] 76" xfId="3407"/>
    <cellStyle name="쉼표 [0] 77" xfId="3406"/>
    <cellStyle name="쉼표 [0] 78" xfId="3405"/>
    <cellStyle name="쉼표 [0] 79" xfId="3404"/>
    <cellStyle name="쉼표 [0] 8" xfId="3403"/>
    <cellStyle name="쉼표 [0] 80" xfId="3402"/>
    <cellStyle name="쉼표 [0] 81" xfId="3401"/>
    <cellStyle name="쉼표 [0] 82" xfId="3400"/>
    <cellStyle name="쉼표 [0] 83" xfId="3399"/>
    <cellStyle name="쉼표 [0] 84" xfId="3398"/>
    <cellStyle name="쉼표 [0] 85" xfId="3397"/>
    <cellStyle name="쉼표 [0] 86" xfId="3396"/>
    <cellStyle name="쉼표 [0] 87" xfId="3395"/>
    <cellStyle name="쉼표 [0] 88" xfId="3394"/>
    <cellStyle name="쉼표 [0] 89" xfId="3393"/>
    <cellStyle name="쉼표 [0] 90" xfId="3392"/>
    <cellStyle name="쉼표 [0] 91" xfId="3391"/>
    <cellStyle name="쉼표 [0] 92" xfId="3390"/>
    <cellStyle name="쉼표 [0] 93" xfId="3389"/>
    <cellStyle name="쉼표 [0] 94" xfId="3388"/>
    <cellStyle name="쉼표 [0] 95" xfId="3387"/>
    <cellStyle name="쉼표 [0] 96" xfId="3386"/>
    <cellStyle name="쉼표 [0] 98" xfId="3385"/>
    <cellStyle name="쉼표 [0] 99" xfId="3384"/>
    <cellStyle name="연결된 셀 10" xfId="2564"/>
    <cellStyle name="연결된 셀 11" xfId="2444"/>
    <cellStyle name="연결된 셀 12" xfId="2363"/>
    <cellStyle name="연결된 셀 13" xfId="2280"/>
    <cellStyle name="연결된 셀 14" xfId="1733"/>
    <cellStyle name="연결된 셀 15" xfId="1864"/>
    <cellStyle name="연결된 셀 16" xfId="1791"/>
    <cellStyle name="연결된 셀 17" xfId="1709"/>
    <cellStyle name="연결된 셀 18" xfId="2120"/>
    <cellStyle name="연결된 셀 19" xfId="1795"/>
    <cellStyle name="연결된 셀 2" xfId="36"/>
    <cellStyle name="연결된 셀 2 10" xfId="1917"/>
    <cellStyle name="연결된 셀 2 11" xfId="1835"/>
    <cellStyle name="연결된 셀 2 12" xfId="1760"/>
    <cellStyle name="연결된 셀 2 13" xfId="1685"/>
    <cellStyle name="연결된 셀 2 14" xfId="1599"/>
    <cellStyle name="연결된 셀 2 15" xfId="1517"/>
    <cellStyle name="연결된 셀 2 16" xfId="1435"/>
    <cellStyle name="연결된 셀 2 17" xfId="1353"/>
    <cellStyle name="연결된 셀 2 18" xfId="1271"/>
    <cellStyle name="연결된 셀 2 19" xfId="1189"/>
    <cellStyle name="연결된 셀 2 2" xfId="3041"/>
    <cellStyle name="연결된 셀 2 20" xfId="1110"/>
    <cellStyle name="연결된 셀 2 21" xfId="1031"/>
    <cellStyle name="연결된 셀 2 22" xfId="952"/>
    <cellStyle name="연결된 셀 2 23" xfId="873"/>
    <cellStyle name="연결된 셀 2 24" xfId="794"/>
    <cellStyle name="연결된 셀 2 25" xfId="715"/>
    <cellStyle name="연결된 셀 2 26" xfId="636"/>
    <cellStyle name="연결된 셀 2 27" xfId="557"/>
    <cellStyle name="연결된 셀 2 28" xfId="478"/>
    <cellStyle name="연결된 셀 2 29" xfId="399"/>
    <cellStyle name="연결된 셀 2 3" xfId="2485"/>
    <cellStyle name="연결된 셀 2 30" xfId="320"/>
    <cellStyle name="연결된 셀 2 31" xfId="243"/>
    <cellStyle name="연결된 셀 2 32" xfId="166"/>
    <cellStyle name="연결된 셀 2 33" xfId="89"/>
    <cellStyle name="연결된 셀 2 34" xfId="3547"/>
    <cellStyle name="연결된 셀 2 35" xfId="3623"/>
    <cellStyle name="연결된 셀 2 36" xfId="3687"/>
    <cellStyle name="연결된 셀 2 37" xfId="3751"/>
    <cellStyle name="연결된 셀 2 38" xfId="3813"/>
    <cellStyle name="연결된 셀 2 39" xfId="3867"/>
    <cellStyle name="연결된 셀 2 4" xfId="2410"/>
    <cellStyle name="연결된 셀 2 40" xfId="3918"/>
    <cellStyle name="연결된 셀 2 41" xfId="3967"/>
    <cellStyle name="연결된 셀 2 5" xfId="2326"/>
    <cellStyle name="연결된 셀 2 6" xfId="2245"/>
    <cellStyle name="연결된 셀 2 7" xfId="2160"/>
    <cellStyle name="연결된 셀 2 8" xfId="2080"/>
    <cellStyle name="연결된 셀 2 9" xfId="1996"/>
    <cellStyle name="연결된 셀 20" xfId="1956"/>
    <cellStyle name="연결된 셀 21" xfId="1633"/>
    <cellStyle name="연결된 셀 22" xfId="1551"/>
    <cellStyle name="연결된 셀 23" xfId="1469"/>
    <cellStyle name="연결된 셀 24" xfId="1387"/>
    <cellStyle name="연결된 셀 25" xfId="1305"/>
    <cellStyle name="연결된 셀 26" xfId="1223"/>
    <cellStyle name="연결된 셀 27" xfId="1144"/>
    <cellStyle name="연결된 셀 28" xfId="1065"/>
    <cellStyle name="연결된 셀 29" xfId="986"/>
    <cellStyle name="연결된 셀 3" xfId="2951"/>
    <cellStyle name="연결된 셀 30" xfId="907"/>
    <cellStyle name="연결된 셀 31" xfId="828"/>
    <cellStyle name="연결된 셀 32" xfId="749"/>
    <cellStyle name="연결된 셀 33" xfId="670"/>
    <cellStyle name="연결된 셀 34" xfId="591"/>
    <cellStyle name="연결된 셀 35" xfId="512"/>
    <cellStyle name="연결된 셀 36" xfId="433"/>
    <cellStyle name="연결된 셀 37" xfId="354"/>
    <cellStyle name="연결된 셀 38" xfId="275"/>
    <cellStyle name="연결된 셀 39" xfId="198"/>
    <cellStyle name="연결된 셀 4" xfId="2898"/>
    <cellStyle name="연결된 셀 40" xfId="121"/>
    <cellStyle name="연결된 셀 41" xfId="3515"/>
    <cellStyle name="연결된 셀 42" xfId="3591"/>
    <cellStyle name="연결된 셀 5" xfId="2535"/>
    <cellStyle name="연결된 셀 6" xfId="2844"/>
    <cellStyle name="연결된 셀 7" xfId="2589"/>
    <cellStyle name="연결된 셀 8" xfId="2499"/>
    <cellStyle name="연결된 셀 9" xfId="2870"/>
    <cellStyle name="요약 10" xfId="2568"/>
    <cellStyle name="요약 11" xfId="2446"/>
    <cellStyle name="요약 12" xfId="2365"/>
    <cellStyle name="요약 13" xfId="2282"/>
    <cellStyle name="요약 14" xfId="1737"/>
    <cellStyle name="요약 15" xfId="1863"/>
    <cellStyle name="요약 16" xfId="1790"/>
    <cellStyle name="요약 17" xfId="1708"/>
    <cellStyle name="요약 18" xfId="1871"/>
    <cellStyle name="요약 19" xfId="2761"/>
    <cellStyle name="요약 2" xfId="37"/>
    <cellStyle name="요약 2 10" xfId="1916"/>
    <cellStyle name="요약 2 11" xfId="1834"/>
    <cellStyle name="요약 2 12" xfId="1759"/>
    <cellStyle name="요약 2 13" xfId="1684"/>
    <cellStyle name="요약 2 14" xfId="1598"/>
    <cellStyle name="요약 2 15" xfId="1516"/>
    <cellStyle name="요약 2 16" xfId="1434"/>
    <cellStyle name="요약 2 17" xfId="1352"/>
    <cellStyle name="요약 2 18" xfId="1270"/>
    <cellStyle name="요약 2 19" xfId="1188"/>
    <cellStyle name="요약 2 2" xfId="3042"/>
    <cellStyle name="요약 2 20" xfId="1109"/>
    <cellStyle name="요약 2 21" xfId="1030"/>
    <cellStyle name="요약 2 22" xfId="951"/>
    <cellStyle name="요약 2 23" xfId="872"/>
    <cellStyle name="요약 2 24" xfId="793"/>
    <cellStyle name="요약 2 25" xfId="714"/>
    <cellStyle name="요약 2 26" xfId="635"/>
    <cellStyle name="요약 2 27" xfId="556"/>
    <cellStyle name="요약 2 28" xfId="477"/>
    <cellStyle name="요약 2 29" xfId="398"/>
    <cellStyle name="요약 2 3" xfId="2486"/>
    <cellStyle name="요약 2 30" xfId="319"/>
    <cellStyle name="요약 2 31" xfId="242"/>
    <cellStyle name="요약 2 32" xfId="165"/>
    <cellStyle name="요약 2 33" xfId="88"/>
    <cellStyle name="요약 2 34" xfId="3548"/>
    <cellStyle name="요약 2 35" xfId="3624"/>
    <cellStyle name="요약 2 36" xfId="3688"/>
    <cellStyle name="요약 2 37" xfId="3752"/>
    <cellStyle name="요약 2 38" xfId="3814"/>
    <cellStyle name="요약 2 39" xfId="3868"/>
    <cellStyle name="요약 2 4" xfId="2409"/>
    <cellStyle name="요약 2 40" xfId="3919"/>
    <cellStyle name="요약 2 41" xfId="3968"/>
    <cellStyle name="요약 2 5" xfId="2325"/>
    <cellStyle name="요약 2 6" xfId="2244"/>
    <cellStyle name="요약 2 7" xfId="2159"/>
    <cellStyle name="요약 2 8" xfId="2079"/>
    <cellStyle name="요약 2 9" xfId="1995"/>
    <cellStyle name="요약 20" xfId="1716"/>
    <cellStyle name="요약 21" xfId="1635"/>
    <cellStyle name="요약 22" xfId="1553"/>
    <cellStyle name="요약 23" xfId="1471"/>
    <cellStyle name="요약 24" xfId="1389"/>
    <cellStyle name="요약 25" xfId="1307"/>
    <cellStyle name="요약 26" xfId="1225"/>
    <cellStyle name="요약 27" xfId="1146"/>
    <cellStyle name="요약 28" xfId="1067"/>
    <cellStyle name="요약 29" xfId="988"/>
    <cellStyle name="요약 3" xfId="2950"/>
    <cellStyle name="요약 30" xfId="909"/>
    <cellStyle name="요약 31" xfId="830"/>
    <cellStyle name="요약 32" xfId="751"/>
    <cellStyle name="요약 33" xfId="672"/>
    <cellStyle name="요약 34" xfId="593"/>
    <cellStyle name="요약 35" xfId="514"/>
    <cellStyle name="요약 36" xfId="435"/>
    <cellStyle name="요약 37" xfId="356"/>
    <cellStyle name="요약 38" xfId="277"/>
    <cellStyle name="요약 39" xfId="200"/>
    <cellStyle name="요약 4" xfId="2897"/>
    <cellStyle name="요약 40" xfId="123"/>
    <cellStyle name="요약 41" xfId="3513"/>
    <cellStyle name="요약 42" xfId="3589"/>
    <cellStyle name="요약 5" xfId="2536"/>
    <cellStyle name="요약 6" xfId="2843"/>
    <cellStyle name="요약 7" xfId="2590"/>
    <cellStyle name="요약 8" xfId="2503"/>
    <cellStyle name="요약 9" xfId="2866"/>
    <cellStyle name="입력 10" xfId="2278"/>
    <cellStyle name="입력 11" xfId="2194"/>
    <cellStyle name="입력 12" xfId="2113"/>
    <cellStyle name="입력 13" xfId="2030"/>
    <cellStyle name="입력 14" xfId="1949"/>
    <cellStyle name="입력 15" xfId="1862"/>
    <cellStyle name="입력 16" xfId="1789"/>
    <cellStyle name="입력 17" xfId="1707"/>
    <cellStyle name="입력 18" xfId="1632"/>
    <cellStyle name="입력 19" xfId="1550"/>
    <cellStyle name="입력 2" xfId="38"/>
    <cellStyle name="입력 2 10" xfId="1915"/>
    <cellStyle name="입력 2 11" xfId="1833"/>
    <cellStyle name="입력 2 12" xfId="1758"/>
    <cellStyle name="입력 2 13" xfId="1683"/>
    <cellStyle name="입력 2 14" xfId="1597"/>
    <cellStyle name="입력 2 15" xfId="1515"/>
    <cellStyle name="입력 2 16" xfId="1433"/>
    <cellStyle name="입력 2 17" xfId="1351"/>
    <cellStyle name="입력 2 18" xfId="1269"/>
    <cellStyle name="입력 2 19" xfId="1187"/>
    <cellStyle name="입력 2 2" xfId="3043"/>
    <cellStyle name="입력 2 20" xfId="1108"/>
    <cellStyle name="입력 2 21" xfId="1029"/>
    <cellStyle name="입력 2 22" xfId="950"/>
    <cellStyle name="입력 2 23" xfId="871"/>
    <cellStyle name="입력 2 24" xfId="792"/>
    <cellStyle name="입력 2 25" xfId="713"/>
    <cellStyle name="입력 2 26" xfId="634"/>
    <cellStyle name="입력 2 27" xfId="555"/>
    <cellStyle name="입력 2 28" xfId="476"/>
    <cellStyle name="입력 2 29" xfId="397"/>
    <cellStyle name="입력 2 3" xfId="2487"/>
    <cellStyle name="입력 2 30" xfId="318"/>
    <cellStyle name="입력 2 31" xfId="241"/>
    <cellStyle name="입력 2 32" xfId="164"/>
    <cellStyle name="입력 2 33" xfId="87"/>
    <cellStyle name="입력 2 34" xfId="3549"/>
    <cellStyle name="입력 2 35" xfId="3625"/>
    <cellStyle name="입력 2 36" xfId="3689"/>
    <cellStyle name="입력 2 37" xfId="3753"/>
    <cellStyle name="입력 2 38" xfId="3815"/>
    <cellStyle name="입력 2 39" xfId="3869"/>
    <cellStyle name="입력 2 4" xfId="2408"/>
    <cellStyle name="입력 2 40" xfId="3920"/>
    <cellStyle name="입력 2 41" xfId="3969"/>
    <cellStyle name="입력 2 5" xfId="2324"/>
    <cellStyle name="입력 2 6" xfId="2243"/>
    <cellStyle name="입력 2 7" xfId="2158"/>
    <cellStyle name="입력 2 8" xfId="2078"/>
    <cellStyle name="입력 2 9" xfId="1994"/>
    <cellStyle name="입력 20" xfId="1468"/>
    <cellStyle name="입력 21" xfId="1386"/>
    <cellStyle name="입력 22" xfId="1304"/>
    <cellStyle name="입력 23" xfId="1222"/>
    <cellStyle name="입력 24" xfId="1143"/>
    <cellStyle name="입력 25" xfId="1064"/>
    <cellStyle name="입력 26" xfId="985"/>
    <cellStyle name="입력 27" xfId="906"/>
    <cellStyle name="입력 28" xfId="827"/>
    <cellStyle name="입력 29" xfId="748"/>
    <cellStyle name="입력 3" xfId="2949"/>
    <cellStyle name="입력 30" xfId="669"/>
    <cellStyle name="입력 31" xfId="590"/>
    <cellStyle name="입력 32" xfId="511"/>
    <cellStyle name="입력 33" xfId="432"/>
    <cellStyle name="입력 34" xfId="353"/>
    <cellStyle name="입력 35" xfId="274"/>
    <cellStyle name="입력 36" xfId="197"/>
    <cellStyle name="입력 37" xfId="120"/>
    <cellStyle name="입력 38" xfId="3516"/>
    <cellStyle name="입력 39" xfId="3592"/>
    <cellStyle name="입력 4" xfId="2896"/>
    <cellStyle name="입력 40" xfId="3656"/>
    <cellStyle name="입력 41" xfId="3720"/>
    <cellStyle name="입력 42" xfId="3783"/>
    <cellStyle name="입력 5" xfId="2537"/>
    <cellStyle name="입력 6" xfId="2842"/>
    <cellStyle name="입력 7" xfId="2591"/>
    <cellStyle name="입력 8" xfId="2443"/>
    <cellStyle name="입력 9" xfId="2361"/>
    <cellStyle name="제목 1 10" xfId="2051"/>
    <cellStyle name="제목 1 11" xfId="1969"/>
    <cellStyle name="제목 1 12" xfId="1888"/>
    <cellStyle name="제목 1 13" xfId="1809"/>
    <cellStyle name="제목 1 14" xfId="1947"/>
    <cellStyle name="제목 1 15" xfId="2115"/>
    <cellStyle name="제목 1 16" xfId="1570"/>
    <cellStyle name="제목 1 17" xfId="1488"/>
    <cellStyle name="제목 1 18" xfId="1406"/>
    <cellStyle name="제목 1 19" xfId="1324"/>
    <cellStyle name="제목 1 2" xfId="40"/>
    <cellStyle name="제목 1 2 10" xfId="1913"/>
    <cellStyle name="제목 1 2 11" xfId="1831"/>
    <cellStyle name="제목 1 2 12" xfId="1756"/>
    <cellStyle name="제목 1 2 13" xfId="1681"/>
    <cellStyle name="제목 1 2 14" xfId="1595"/>
    <cellStyle name="제목 1 2 15" xfId="1513"/>
    <cellStyle name="제목 1 2 16" xfId="1431"/>
    <cellStyle name="제목 1 2 17" xfId="1349"/>
    <cellStyle name="제목 1 2 18" xfId="1267"/>
    <cellStyle name="제목 1 2 19" xfId="1185"/>
    <cellStyle name="제목 1 2 2" xfId="3045"/>
    <cellStyle name="제목 1 2 20" xfId="1106"/>
    <cellStyle name="제목 1 2 21" xfId="1027"/>
    <cellStyle name="제목 1 2 22" xfId="948"/>
    <cellStyle name="제목 1 2 23" xfId="869"/>
    <cellStyle name="제목 1 2 24" xfId="790"/>
    <cellStyle name="제목 1 2 25" xfId="711"/>
    <cellStyle name="제목 1 2 26" xfId="632"/>
    <cellStyle name="제목 1 2 27" xfId="553"/>
    <cellStyle name="제목 1 2 28" xfId="474"/>
    <cellStyle name="제목 1 2 29" xfId="395"/>
    <cellStyle name="제목 1 2 3" xfId="2489"/>
    <cellStyle name="제목 1 2 30" xfId="316"/>
    <cellStyle name="제목 1 2 31" xfId="239"/>
    <cellStyle name="제목 1 2 32" xfId="162"/>
    <cellStyle name="제목 1 2 33" xfId="85"/>
    <cellStyle name="제목 1 2 34" xfId="3551"/>
    <cellStyle name="제목 1 2 35" xfId="3627"/>
    <cellStyle name="제목 1 2 36" xfId="3691"/>
    <cellStyle name="제목 1 2 37" xfId="3755"/>
    <cellStyle name="제목 1 2 38" xfId="3817"/>
    <cellStyle name="제목 1 2 39" xfId="3871"/>
    <cellStyle name="제목 1 2 4" xfId="2406"/>
    <cellStyle name="제목 1 2 40" xfId="3922"/>
    <cellStyle name="제목 1 2 41" xfId="3971"/>
    <cellStyle name="제목 1 2 5" xfId="2322"/>
    <cellStyle name="제목 1 2 6" xfId="2241"/>
    <cellStyle name="제목 1 2 7" xfId="2156"/>
    <cellStyle name="제목 1 2 8" xfId="2076"/>
    <cellStyle name="제목 1 2 9" xfId="1992"/>
    <cellStyle name="제목 1 20" xfId="1242"/>
    <cellStyle name="제목 1 21" xfId="1162"/>
    <cellStyle name="제목 1 22" xfId="1083"/>
    <cellStyle name="제목 1 23" xfId="1004"/>
    <cellStyle name="제목 1 24" xfId="925"/>
    <cellStyle name="제목 1 25" xfId="846"/>
    <cellStyle name="제목 1 26" xfId="767"/>
    <cellStyle name="제목 1 27" xfId="688"/>
    <cellStyle name="제목 1 28" xfId="609"/>
    <cellStyle name="제목 1 29" xfId="530"/>
    <cellStyle name="제목 1 3" xfId="2947"/>
    <cellStyle name="제목 1 30" xfId="451"/>
    <cellStyle name="제목 1 31" xfId="372"/>
    <cellStyle name="제목 1 32" xfId="293"/>
    <cellStyle name="제목 1 33" xfId="216"/>
    <cellStyle name="제목 1 34" xfId="139"/>
    <cellStyle name="제목 1 35" xfId="62"/>
    <cellStyle name="제목 1 36" xfId="3574"/>
    <cellStyle name="제목 1 37" xfId="3641"/>
    <cellStyle name="제목 1 38" xfId="3705"/>
    <cellStyle name="제목 1 39" xfId="3768"/>
    <cellStyle name="제목 1 4" xfId="2894"/>
    <cellStyle name="제목 1 40" xfId="3829"/>
    <cellStyle name="제목 1 41" xfId="3882"/>
    <cellStyle name="제목 1 42" xfId="3933"/>
    <cellStyle name="제목 1 5" xfId="2539"/>
    <cellStyle name="제목 1 6" xfId="2381"/>
    <cellStyle name="제목 1 7" xfId="2298"/>
    <cellStyle name="제목 1 8" xfId="2215"/>
    <cellStyle name="제목 1 9" xfId="2133"/>
    <cellStyle name="제목 10" xfId="2305"/>
    <cellStyle name="제목 11" xfId="2223"/>
    <cellStyle name="제목 12" xfId="2140"/>
    <cellStyle name="제목 13" xfId="2058"/>
    <cellStyle name="제목 14" xfId="1976"/>
    <cellStyle name="제목 15" xfId="1896"/>
    <cellStyle name="제목 16" xfId="1815"/>
    <cellStyle name="제목 17" xfId="1948"/>
    <cellStyle name="제목 18" xfId="1861"/>
    <cellStyle name="제목 19" xfId="1578"/>
    <cellStyle name="제목 2 10" xfId="2056"/>
    <cellStyle name="제목 2 11" xfId="1974"/>
    <cellStyle name="제목 2 12" xfId="1894"/>
    <cellStyle name="제목 2 13" xfId="1813"/>
    <cellStyle name="제목 2 14" xfId="1946"/>
    <cellStyle name="제목 2 15" xfId="2117"/>
    <cellStyle name="제목 2 16" xfId="1575"/>
    <cellStyle name="제목 2 17" xfId="1493"/>
    <cellStyle name="제목 2 18" xfId="1411"/>
    <cellStyle name="제목 2 19" xfId="1329"/>
    <cellStyle name="제목 2 2" xfId="41"/>
    <cellStyle name="제목 2 2 10" xfId="2268"/>
    <cellStyle name="제목 2 2 11" xfId="2183"/>
    <cellStyle name="제목 2 2 12" xfId="2103"/>
    <cellStyle name="제목 2 2 13" xfId="1680"/>
    <cellStyle name="제목 2 2 14" xfId="1796"/>
    <cellStyle name="제목 2 2 15" xfId="2667"/>
    <cellStyle name="제목 2 2 16" xfId="2754"/>
    <cellStyle name="제목 2 2 17" xfId="2677"/>
    <cellStyle name="제목 2 2 18" xfId="1622"/>
    <cellStyle name="제목 2 2 19" xfId="1540"/>
    <cellStyle name="제목 2 2 2" xfId="3046"/>
    <cellStyle name="제목 2 2 20" xfId="1458"/>
    <cellStyle name="제목 2 2 21" xfId="1376"/>
    <cellStyle name="제목 2 2 22" xfId="1294"/>
    <cellStyle name="제목 2 2 23" xfId="1212"/>
    <cellStyle name="제목 2 2 24" xfId="1133"/>
    <cellStyle name="제목 2 2 25" xfId="1054"/>
    <cellStyle name="제목 2 2 26" xfId="975"/>
    <cellStyle name="제목 2 2 27" xfId="896"/>
    <cellStyle name="제목 2 2 28" xfId="817"/>
    <cellStyle name="제목 2 2 29" xfId="738"/>
    <cellStyle name="제목 2 2 3" xfId="2490"/>
    <cellStyle name="제목 2 2 30" xfId="659"/>
    <cellStyle name="제목 2 2 31" xfId="580"/>
    <cellStyle name="제목 2 2 32" xfId="501"/>
    <cellStyle name="제목 2 2 33" xfId="422"/>
    <cellStyle name="제목 2 2 34" xfId="343"/>
    <cellStyle name="제목 2 2 35" xfId="266"/>
    <cellStyle name="제목 2 2 36" xfId="189"/>
    <cellStyle name="제목 2 2 37" xfId="112"/>
    <cellStyle name="제목 2 2 38" xfId="3524"/>
    <cellStyle name="제목 2 2 39" xfId="3600"/>
    <cellStyle name="제목 2 2 4" xfId="2879"/>
    <cellStyle name="제목 2 2 40" xfId="3664"/>
    <cellStyle name="제목 2 2 41" xfId="3728"/>
    <cellStyle name="제목 2 2 5" xfId="2555"/>
    <cellStyle name="제목 2 2 6" xfId="2829"/>
    <cellStyle name="제목 2 2 7" xfId="2605"/>
    <cellStyle name="제목 2 2 8" xfId="2433"/>
    <cellStyle name="제목 2 2 9" xfId="2350"/>
    <cellStyle name="제목 2 20" xfId="1247"/>
    <cellStyle name="제목 2 21" xfId="1166"/>
    <cellStyle name="제목 2 22" xfId="1087"/>
    <cellStyle name="제목 2 23" xfId="1008"/>
    <cellStyle name="제목 2 24" xfId="929"/>
    <cellStyle name="제목 2 25" xfId="850"/>
    <cellStyle name="제목 2 26" xfId="771"/>
    <cellStyle name="제목 2 27" xfId="692"/>
    <cellStyle name="제목 2 28" xfId="613"/>
    <cellStyle name="제목 2 29" xfId="534"/>
    <cellStyle name="제목 2 3" xfId="2946"/>
    <cellStyle name="제목 2 30" xfId="455"/>
    <cellStyle name="제목 2 31" xfId="376"/>
    <cellStyle name="제목 2 32" xfId="297"/>
    <cellStyle name="제목 2 33" xfId="220"/>
    <cellStyle name="제목 2 34" xfId="143"/>
    <cellStyle name="제목 2 35" xfId="66"/>
    <cellStyle name="제목 2 36" xfId="3570"/>
    <cellStyle name="제목 2 37" xfId="3637"/>
    <cellStyle name="제목 2 38" xfId="3701"/>
    <cellStyle name="제목 2 39" xfId="3765"/>
    <cellStyle name="제목 2 4" xfId="2893"/>
    <cellStyle name="제목 2 40" xfId="3826"/>
    <cellStyle name="제목 2 41" xfId="3879"/>
    <cellStyle name="제목 2 42" xfId="3930"/>
    <cellStyle name="제목 2 5" xfId="2540"/>
    <cellStyle name="제목 2 6" xfId="2387"/>
    <cellStyle name="제목 2 7" xfId="2303"/>
    <cellStyle name="제목 2 8" xfId="2221"/>
    <cellStyle name="제목 2 9" xfId="2138"/>
    <cellStyle name="제목 20" xfId="1496"/>
    <cellStyle name="제목 21" xfId="1414"/>
    <cellStyle name="제목 22" xfId="1332"/>
    <cellStyle name="제목 23" xfId="1250"/>
    <cellStyle name="제목 24" xfId="1168"/>
    <cellStyle name="제목 25" xfId="1089"/>
    <cellStyle name="제목 26" xfId="1010"/>
    <cellStyle name="제목 27" xfId="931"/>
    <cellStyle name="제목 28" xfId="852"/>
    <cellStyle name="제목 29" xfId="773"/>
    <cellStyle name="제목 3 10" xfId="2277"/>
    <cellStyle name="제목 3 11" xfId="2193"/>
    <cellStyle name="제목 3 12" xfId="2112"/>
    <cellStyle name="제목 3 13" xfId="2029"/>
    <cellStyle name="제목 3 14" xfId="1945"/>
    <cellStyle name="제목 3 15" xfId="1869"/>
    <cellStyle name="제목 3 16" xfId="1788"/>
    <cellStyle name="제목 3 17" xfId="1706"/>
    <cellStyle name="제목 3 18" xfId="1631"/>
    <cellStyle name="제목 3 19" xfId="1549"/>
    <cellStyle name="제목 3 2" xfId="42"/>
    <cellStyle name="제목 3 2 10" xfId="2235"/>
    <cellStyle name="제목 3 2 11" xfId="2150"/>
    <cellStyle name="제목 3 2 12" xfId="2070"/>
    <cellStyle name="제목 3 2 13" xfId="1679"/>
    <cellStyle name="제목 3 2 14" xfId="2037"/>
    <cellStyle name="제목 3 2 15" xfId="2806"/>
    <cellStyle name="제목 3 2 16" xfId="2752"/>
    <cellStyle name="제목 3 2 17" xfId="2784"/>
    <cellStyle name="제목 3 2 18" xfId="1589"/>
    <cellStyle name="제목 3 2 19" xfId="1507"/>
    <cellStyle name="제목 3 2 2" xfId="3047"/>
    <cellStyle name="제목 3 2 20" xfId="1425"/>
    <cellStyle name="제목 3 2 21" xfId="1343"/>
    <cellStyle name="제목 3 2 22" xfId="1261"/>
    <cellStyle name="제목 3 2 23" xfId="1179"/>
    <cellStyle name="제목 3 2 24" xfId="1100"/>
    <cellStyle name="제목 3 2 25" xfId="1021"/>
    <cellStyle name="제목 3 2 26" xfId="942"/>
    <cellStyle name="제목 3 2 27" xfId="863"/>
    <cellStyle name="제목 3 2 28" xfId="784"/>
    <cellStyle name="제목 3 2 29" xfId="705"/>
    <cellStyle name="제목 3 2 3" xfId="2491"/>
    <cellStyle name="제목 3 2 30" xfId="626"/>
    <cellStyle name="제목 3 2 31" xfId="547"/>
    <cellStyle name="제목 3 2 32" xfId="468"/>
    <cellStyle name="제목 3 2 33" xfId="389"/>
    <cellStyle name="제목 3 2 34" xfId="310"/>
    <cellStyle name="제목 3 2 35" xfId="233"/>
    <cellStyle name="제목 3 2 36" xfId="156"/>
    <cellStyle name="제목 3 2 37" xfId="79"/>
    <cellStyle name="제목 3 2 38" xfId="3557"/>
    <cellStyle name="제목 3 2 39" xfId="3633"/>
    <cellStyle name="제목 3 2 4" xfId="2878"/>
    <cellStyle name="제목 3 2 40" xfId="3697"/>
    <cellStyle name="제목 3 2 41" xfId="3761"/>
    <cellStyle name="제목 3 2 5" xfId="2556"/>
    <cellStyle name="제목 3 2 6" xfId="2828"/>
    <cellStyle name="제목 3 2 7" xfId="2606"/>
    <cellStyle name="제목 3 2 8" xfId="2400"/>
    <cellStyle name="제목 3 2 9" xfId="2316"/>
    <cellStyle name="제목 3 20" xfId="1467"/>
    <cellStyle name="제목 3 21" xfId="1385"/>
    <cellStyle name="제목 3 22" xfId="1303"/>
    <cellStyle name="제목 3 23" xfId="1221"/>
    <cellStyle name="제목 3 24" xfId="1142"/>
    <cellStyle name="제목 3 25" xfId="1063"/>
    <cellStyle name="제목 3 26" xfId="984"/>
    <cellStyle name="제목 3 27" xfId="905"/>
    <cellStyle name="제목 3 28" xfId="826"/>
    <cellStyle name="제목 3 29" xfId="747"/>
    <cellStyle name="제목 3 3" xfId="2945"/>
    <cellStyle name="제목 3 30" xfId="668"/>
    <cellStyle name="제목 3 31" xfId="589"/>
    <cellStyle name="제목 3 32" xfId="510"/>
    <cellStyle name="제목 3 33" xfId="431"/>
    <cellStyle name="제목 3 34" xfId="352"/>
    <cellStyle name="제목 3 35" xfId="273"/>
    <cellStyle name="제목 3 36" xfId="196"/>
    <cellStyle name="제목 3 37" xfId="119"/>
    <cellStyle name="제목 3 38" xfId="3517"/>
    <cellStyle name="제목 3 39" xfId="3593"/>
    <cellStyle name="제목 3 4" xfId="2892"/>
    <cellStyle name="제목 3 40" xfId="3657"/>
    <cellStyle name="제목 3 41" xfId="3721"/>
    <cellStyle name="제목 3 42" xfId="3784"/>
    <cellStyle name="제목 3 5" xfId="2541"/>
    <cellStyle name="제목 3 6" xfId="2841"/>
    <cellStyle name="제목 3 7" xfId="2592"/>
    <cellStyle name="제목 3 8" xfId="2442"/>
    <cellStyle name="제목 3 9" xfId="2360"/>
    <cellStyle name="제목 30" xfId="694"/>
    <cellStyle name="제목 31" xfId="615"/>
    <cellStyle name="제목 32" xfId="536"/>
    <cellStyle name="제목 33" xfId="457"/>
    <cellStyle name="제목 34" xfId="378"/>
    <cellStyle name="제목 35" xfId="299"/>
    <cellStyle name="제목 36" xfId="222"/>
    <cellStyle name="제목 37" xfId="145"/>
    <cellStyle name="제목 38" xfId="68"/>
    <cellStyle name="제목 39" xfId="3568"/>
    <cellStyle name="제목 4 10" xfId="2276"/>
    <cellStyle name="제목 4 11" xfId="2192"/>
    <cellStyle name="제목 4 12" xfId="2111"/>
    <cellStyle name="제목 4 13" xfId="2028"/>
    <cellStyle name="제목 4 14" xfId="2770"/>
    <cellStyle name="제목 4 15" xfId="1661"/>
    <cellStyle name="제목 4 16" xfId="2550"/>
    <cellStyle name="제목 4 17" xfId="1951"/>
    <cellStyle name="제목 4 18" xfId="1630"/>
    <cellStyle name="제목 4 19" xfId="1548"/>
    <cellStyle name="제목 4 2" xfId="43"/>
    <cellStyle name="제목 4 2 10" xfId="2155"/>
    <cellStyle name="제목 4 2 11" xfId="2075"/>
    <cellStyle name="제목 4 2 12" xfId="1991"/>
    <cellStyle name="제목 4 2 13" xfId="1678"/>
    <cellStyle name="제목 4 2 14" xfId="2279"/>
    <cellStyle name="제목 4 2 15" xfId="2807"/>
    <cellStyle name="제목 4 2 16" xfId="2362"/>
    <cellStyle name="제목 4 2 17" xfId="1594"/>
    <cellStyle name="제목 4 2 18" xfId="1512"/>
    <cellStyle name="제목 4 2 19" xfId="1430"/>
    <cellStyle name="제목 4 2 2" xfId="3048"/>
    <cellStyle name="제목 4 2 20" xfId="1348"/>
    <cellStyle name="제목 4 2 21" xfId="1266"/>
    <cellStyle name="제목 4 2 22" xfId="1184"/>
    <cellStyle name="제목 4 2 23" xfId="1105"/>
    <cellStyle name="제목 4 2 24" xfId="1026"/>
    <cellStyle name="제목 4 2 25" xfId="947"/>
    <cellStyle name="제목 4 2 26" xfId="868"/>
    <cellStyle name="제목 4 2 27" xfId="789"/>
    <cellStyle name="제목 4 2 28" xfId="710"/>
    <cellStyle name="제목 4 2 29" xfId="631"/>
    <cellStyle name="제목 4 2 3" xfId="2492"/>
    <cellStyle name="제목 4 2 30" xfId="552"/>
    <cellStyle name="제목 4 2 31" xfId="473"/>
    <cellStyle name="제목 4 2 32" xfId="394"/>
    <cellStyle name="제목 4 2 33" xfId="315"/>
    <cellStyle name="제목 4 2 34" xfId="238"/>
    <cellStyle name="제목 4 2 35" xfId="161"/>
    <cellStyle name="제목 4 2 36" xfId="84"/>
    <cellStyle name="제목 4 2 37" xfId="3552"/>
    <cellStyle name="제목 4 2 38" xfId="3628"/>
    <cellStyle name="제목 4 2 39" xfId="3692"/>
    <cellStyle name="제목 4 2 4" xfId="2877"/>
    <cellStyle name="제목 4 2 40" xfId="3756"/>
    <cellStyle name="제목 4 2 41" xfId="3818"/>
    <cellStyle name="제목 4 2 5" xfId="2557"/>
    <cellStyle name="제목 4 2 6" xfId="2500"/>
    <cellStyle name="제목 4 2 7" xfId="2405"/>
    <cellStyle name="제목 4 2 8" xfId="2321"/>
    <cellStyle name="제목 4 2 9" xfId="2240"/>
    <cellStyle name="제목 4 20" xfId="1466"/>
    <cellStyle name="제목 4 21" xfId="1384"/>
    <cellStyle name="제목 4 22" xfId="1302"/>
    <cellStyle name="제목 4 23" xfId="1220"/>
    <cellStyle name="제목 4 24" xfId="1141"/>
    <cellStyle name="제목 4 25" xfId="1062"/>
    <cellStyle name="제목 4 26" xfId="983"/>
    <cellStyle name="제목 4 27" xfId="904"/>
    <cellStyle name="제목 4 28" xfId="825"/>
    <cellStyle name="제목 4 29" xfId="746"/>
    <cellStyle name="제목 4 3" xfId="2944"/>
    <cellStyle name="제목 4 30" xfId="667"/>
    <cellStyle name="제목 4 31" xfId="588"/>
    <cellStyle name="제목 4 32" xfId="509"/>
    <cellStyle name="제목 4 33" xfId="430"/>
    <cellStyle name="제목 4 34" xfId="351"/>
    <cellStyle name="제목 4 35" xfId="272"/>
    <cellStyle name="제목 4 36" xfId="195"/>
    <cellStyle name="제목 4 37" xfId="118"/>
    <cellStyle name="제목 4 38" xfId="3518"/>
    <cellStyle name="제목 4 39" xfId="3594"/>
    <cellStyle name="제목 4 4" xfId="2891"/>
    <cellStyle name="제목 4 40" xfId="3658"/>
    <cellStyle name="제목 4 41" xfId="3722"/>
    <cellStyle name="제목 4 42" xfId="3785"/>
    <cellStyle name="제목 4 5" xfId="2542"/>
    <cellStyle name="제목 4 6" xfId="2840"/>
    <cellStyle name="제목 4 7" xfId="2593"/>
    <cellStyle name="제목 4 8" xfId="2441"/>
    <cellStyle name="제목 4 9" xfId="2359"/>
    <cellStyle name="제목 40" xfId="3635"/>
    <cellStyle name="제목 41" xfId="3699"/>
    <cellStyle name="제목 42" xfId="3763"/>
    <cellStyle name="제목 43" xfId="3824"/>
    <cellStyle name="제목 44" xfId="3877"/>
    <cellStyle name="제목 45" xfId="3928"/>
    <cellStyle name="제목 5" xfId="39"/>
    <cellStyle name="제목 5 10" xfId="1914"/>
    <cellStyle name="제목 5 11" xfId="1832"/>
    <cellStyle name="제목 5 12" xfId="1757"/>
    <cellStyle name="제목 5 13" xfId="1682"/>
    <cellStyle name="제목 5 14" xfId="1596"/>
    <cellStyle name="제목 5 15" xfId="1514"/>
    <cellStyle name="제목 5 16" xfId="1432"/>
    <cellStyle name="제목 5 17" xfId="1350"/>
    <cellStyle name="제목 5 18" xfId="1268"/>
    <cellStyle name="제목 5 19" xfId="1186"/>
    <cellStyle name="제목 5 2" xfId="3044"/>
    <cellStyle name="제목 5 20" xfId="1107"/>
    <cellStyle name="제목 5 21" xfId="1028"/>
    <cellStyle name="제목 5 22" xfId="949"/>
    <cellStyle name="제목 5 23" xfId="870"/>
    <cellStyle name="제목 5 24" xfId="791"/>
    <cellStyle name="제목 5 25" xfId="712"/>
    <cellStyle name="제목 5 26" xfId="633"/>
    <cellStyle name="제목 5 27" xfId="554"/>
    <cellStyle name="제목 5 28" xfId="475"/>
    <cellStyle name="제목 5 29" xfId="396"/>
    <cellStyle name="제목 5 3" xfId="2488"/>
    <cellStyle name="제목 5 30" xfId="317"/>
    <cellStyle name="제목 5 31" xfId="240"/>
    <cellStyle name="제목 5 32" xfId="163"/>
    <cellStyle name="제목 5 33" xfId="86"/>
    <cellStyle name="제목 5 34" xfId="3550"/>
    <cellStyle name="제목 5 35" xfId="3626"/>
    <cellStyle name="제목 5 36" xfId="3690"/>
    <cellStyle name="제목 5 37" xfId="3754"/>
    <cellStyle name="제목 5 38" xfId="3816"/>
    <cellStyle name="제목 5 39" xfId="3870"/>
    <cellStyle name="제목 5 4" xfId="2407"/>
    <cellStyle name="제목 5 40" xfId="3921"/>
    <cellStyle name="제목 5 41" xfId="3970"/>
    <cellStyle name="제목 5 5" xfId="2323"/>
    <cellStyle name="제목 5 6" xfId="2242"/>
    <cellStyle name="제목 5 7" xfId="2157"/>
    <cellStyle name="제목 5 8" xfId="2077"/>
    <cellStyle name="제목 5 9" xfId="1993"/>
    <cellStyle name="제목 6" xfId="2948"/>
    <cellStyle name="제목 7" xfId="2895"/>
    <cellStyle name="제목 8" xfId="2538"/>
    <cellStyle name="제목 9" xfId="2389"/>
    <cellStyle name="좋음 10" xfId="2275"/>
    <cellStyle name="좋음 11" xfId="2191"/>
    <cellStyle name="좋음 12" xfId="2110"/>
    <cellStyle name="좋음 13" xfId="2027"/>
    <cellStyle name="좋음 14" xfId="2769"/>
    <cellStyle name="좋음 15" xfId="1655"/>
    <cellStyle name="좋음 16" xfId="2549"/>
    <cellStyle name="좋음 17" xfId="1953"/>
    <cellStyle name="좋음 18" xfId="1629"/>
    <cellStyle name="좋음 19" xfId="1547"/>
    <cellStyle name="좋음 2" xfId="44"/>
    <cellStyle name="좋음 2 10" xfId="2119"/>
    <cellStyle name="좋음 2 11" xfId="2036"/>
    <cellStyle name="좋음 2 12" xfId="1955"/>
    <cellStyle name="좋음 2 13" xfId="1677"/>
    <cellStyle name="좋음 2 14" xfId="2031"/>
    <cellStyle name="좋음 2 15" xfId="2668"/>
    <cellStyle name="좋음 2 16" xfId="1637"/>
    <cellStyle name="좋음 2 17" xfId="1555"/>
    <cellStyle name="좋음 2 18" xfId="1473"/>
    <cellStyle name="좋음 2 19" xfId="1391"/>
    <cellStyle name="좋음 2 2" xfId="3049"/>
    <cellStyle name="좋음 2 20" xfId="1309"/>
    <cellStyle name="좋음 2 21" xfId="1227"/>
    <cellStyle name="좋음 2 22" xfId="1148"/>
    <cellStyle name="좋음 2 23" xfId="1069"/>
    <cellStyle name="좋음 2 24" xfId="990"/>
    <cellStyle name="좋음 2 25" xfId="911"/>
    <cellStyle name="좋음 2 26" xfId="832"/>
    <cellStyle name="좋음 2 27" xfId="753"/>
    <cellStyle name="좋음 2 28" xfId="674"/>
    <cellStyle name="좋음 2 29" xfId="595"/>
    <cellStyle name="좋음 2 3" xfId="2493"/>
    <cellStyle name="좋음 2 30" xfId="516"/>
    <cellStyle name="좋음 2 31" xfId="437"/>
    <cellStyle name="좋음 2 32" xfId="358"/>
    <cellStyle name="좋음 2 33" xfId="279"/>
    <cellStyle name="좋음 2 34" xfId="202"/>
    <cellStyle name="좋음 2 35" xfId="125"/>
    <cellStyle name="좋음 2 36" xfId="3511"/>
    <cellStyle name="좋음 2 37" xfId="3587"/>
    <cellStyle name="좋음 2 38" xfId="3653"/>
    <cellStyle name="좋음 2 39" xfId="3717"/>
    <cellStyle name="좋음 2 4" xfId="2876"/>
    <cellStyle name="좋음 2 40" xfId="3780"/>
    <cellStyle name="좋음 2 41" xfId="3841"/>
    <cellStyle name="좋음 2 5" xfId="2558"/>
    <cellStyle name="좋음 2 6" xfId="2448"/>
    <cellStyle name="좋음 2 7" xfId="2367"/>
    <cellStyle name="좋음 2 8" xfId="2284"/>
    <cellStyle name="좋음 2 9" xfId="2200"/>
    <cellStyle name="좋음 20" xfId="1465"/>
    <cellStyle name="좋음 21" xfId="1383"/>
    <cellStyle name="좋음 22" xfId="1301"/>
    <cellStyle name="좋음 23" xfId="1219"/>
    <cellStyle name="좋음 24" xfId="1140"/>
    <cellStyle name="좋음 25" xfId="1061"/>
    <cellStyle name="좋음 26" xfId="982"/>
    <cellStyle name="좋음 27" xfId="903"/>
    <cellStyle name="좋음 28" xfId="824"/>
    <cellStyle name="좋음 29" xfId="745"/>
    <cellStyle name="좋음 3" xfId="2943"/>
    <cellStyle name="좋음 30" xfId="666"/>
    <cellStyle name="좋음 31" xfId="587"/>
    <cellStyle name="좋음 32" xfId="508"/>
    <cellStyle name="좋음 33" xfId="429"/>
    <cellStyle name="좋음 34" xfId="350"/>
    <cellStyle name="좋음 35" xfId="271"/>
    <cellStyle name="좋음 36" xfId="194"/>
    <cellStyle name="좋음 37" xfId="117"/>
    <cellStyle name="좋음 38" xfId="3519"/>
    <cellStyle name="좋음 39" xfId="3595"/>
    <cellStyle name="좋음 4" xfId="2890"/>
    <cellStyle name="좋음 40" xfId="3659"/>
    <cellStyle name="좋음 41" xfId="3723"/>
    <cellStyle name="좋음 42" xfId="3786"/>
    <cellStyle name="좋음 5" xfId="2543"/>
    <cellStyle name="좋음 6" xfId="2839"/>
    <cellStyle name="좋음 7" xfId="2594"/>
    <cellStyle name="좋음 8" xfId="2440"/>
    <cellStyle name="좋음 9" xfId="2358"/>
    <cellStyle name="출력 10" xfId="2274"/>
    <cellStyle name="출력 11" xfId="2190"/>
    <cellStyle name="출력 12" xfId="2109"/>
    <cellStyle name="출력 13" xfId="2026"/>
    <cellStyle name="출력 14" xfId="2768"/>
    <cellStyle name="출력 15" xfId="1659"/>
    <cellStyle name="출력 16" xfId="2759"/>
    <cellStyle name="출력 17" xfId="1714"/>
    <cellStyle name="출력 18" xfId="1628"/>
    <cellStyle name="출력 19" xfId="1546"/>
    <cellStyle name="출력 2" xfId="45"/>
    <cellStyle name="출력 2 10" xfId="2118"/>
    <cellStyle name="출력 2 11" xfId="2035"/>
    <cellStyle name="출력 2 12" xfId="1954"/>
    <cellStyle name="출력 2 13" xfId="2019"/>
    <cellStyle name="출력 2 14" xfId="1797"/>
    <cellStyle name="출력 2 15" xfId="1858"/>
    <cellStyle name="출력 2 16" xfId="1636"/>
    <cellStyle name="출력 2 17" xfId="1554"/>
    <cellStyle name="출력 2 18" xfId="1472"/>
    <cellStyle name="출력 2 19" xfId="1390"/>
    <cellStyle name="출력 2 2" xfId="3050"/>
    <cellStyle name="출력 2 20" xfId="1308"/>
    <cellStyle name="출력 2 21" xfId="1226"/>
    <cellStyle name="출력 2 22" xfId="1147"/>
    <cellStyle name="출력 2 23" xfId="1068"/>
    <cellStyle name="출력 2 24" xfId="989"/>
    <cellStyle name="출력 2 25" xfId="910"/>
    <cellStyle name="출력 2 26" xfId="831"/>
    <cellStyle name="출력 2 27" xfId="752"/>
    <cellStyle name="출력 2 28" xfId="673"/>
    <cellStyle name="출력 2 29" xfId="594"/>
    <cellStyle name="출력 2 3" xfId="2494"/>
    <cellStyle name="출력 2 30" xfId="515"/>
    <cellStyle name="출력 2 31" xfId="436"/>
    <cellStyle name="출력 2 32" xfId="357"/>
    <cellStyle name="출력 2 33" xfId="278"/>
    <cellStyle name="출력 2 34" xfId="201"/>
    <cellStyle name="출력 2 35" xfId="124"/>
    <cellStyle name="출력 2 36" xfId="3512"/>
    <cellStyle name="출력 2 37" xfId="3588"/>
    <cellStyle name="출력 2 38" xfId="3654"/>
    <cellStyle name="출력 2 39" xfId="3718"/>
    <cellStyle name="출력 2 4" xfId="2875"/>
    <cellStyle name="출력 2 40" xfId="3781"/>
    <cellStyle name="출력 2 41" xfId="3842"/>
    <cellStyle name="출력 2 5" xfId="2559"/>
    <cellStyle name="출력 2 6" xfId="2447"/>
    <cellStyle name="출력 2 7" xfId="2366"/>
    <cellStyle name="출력 2 8" xfId="2283"/>
    <cellStyle name="출력 2 9" xfId="2199"/>
    <cellStyle name="출력 20" xfId="1464"/>
    <cellStyle name="출력 21" xfId="1382"/>
    <cellStyle name="출력 22" xfId="1300"/>
    <cellStyle name="출력 23" xfId="1218"/>
    <cellStyle name="출력 24" xfId="1139"/>
    <cellStyle name="출력 25" xfId="1060"/>
    <cellStyle name="출력 26" xfId="981"/>
    <cellStyle name="출력 27" xfId="902"/>
    <cellStyle name="출력 28" xfId="823"/>
    <cellStyle name="출력 29" xfId="744"/>
    <cellStyle name="출력 3" xfId="2942"/>
    <cellStyle name="출력 30" xfId="665"/>
    <cellStyle name="출력 31" xfId="586"/>
    <cellStyle name="출력 32" xfId="507"/>
    <cellStyle name="출력 33" xfId="428"/>
    <cellStyle name="출력 34" xfId="349"/>
    <cellStyle name="출력 35" xfId="270"/>
    <cellStyle name="출력 36" xfId="193"/>
    <cellStyle name="출력 37" xfId="116"/>
    <cellStyle name="출력 38" xfId="3520"/>
    <cellStyle name="출력 39" xfId="3596"/>
    <cellStyle name="출력 4" xfId="2889"/>
    <cellStyle name="출력 40" xfId="3660"/>
    <cellStyle name="출력 41" xfId="3724"/>
    <cellStyle name="출력 42" xfId="3787"/>
    <cellStyle name="출력 5" xfId="2544"/>
    <cellStyle name="출력 6" xfId="2838"/>
    <cellStyle name="출력 7" xfId="2595"/>
    <cellStyle name="출력 8" xfId="2439"/>
    <cellStyle name="출력 9" xfId="2357"/>
    <cellStyle name="ㅍ" xfId="46"/>
    <cellStyle name="표준" xfId="0" builtinId="0"/>
    <cellStyle name="표준 2" xfId="2"/>
    <cellStyle name="표준 2 10" xfId="3383"/>
    <cellStyle name="표준 2 100" xfId="757"/>
    <cellStyle name="표준 2 101" xfId="678"/>
    <cellStyle name="표준 2 102" xfId="599"/>
    <cellStyle name="표준 2 103" xfId="520"/>
    <cellStyle name="표준 2 104" xfId="441"/>
    <cellStyle name="표준 2 105" xfId="362"/>
    <cellStyle name="표준 2 106" xfId="283"/>
    <cellStyle name="표준 2 107" xfId="206"/>
    <cellStyle name="표준 2 108" xfId="129"/>
    <cellStyle name="표준 2 109" xfId="3507"/>
    <cellStyle name="표준 2 11" xfId="3382"/>
    <cellStyle name="표준 2 110" xfId="3584"/>
    <cellStyle name="표준 2 111" xfId="3651"/>
    <cellStyle name="표준 2 112" xfId="3715"/>
    <cellStyle name="표준 2 113" xfId="3778"/>
    <cellStyle name="표준 2 114" xfId="3839"/>
    <cellStyle name="표준 2 115" xfId="3892"/>
    <cellStyle name="표준 2 116" xfId="3943"/>
    <cellStyle name="표준 2 117" xfId="3981"/>
    <cellStyle name="표준 2 12" xfId="3381"/>
    <cellStyle name="표준 2 13" xfId="3380"/>
    <cellStyle name="표준 2 14" xfId="3379"/>
    <cellStyle name="표준 2 15" xfId="3378"/>
    <cellStyle name="표준 2 16" xfId="3377"/>
    <cellStyle name="표준 2 17" xfId="3376"/>
    <cellStyle name="표준 2 18" xfId="3375"/>
    <cellStyle name="표준 2 19" xfId="3374"/>
    <cellStyle name="표준 2 2" xfId="3009"/>
    <cellStyle name="표준 2 2 10" xfId="2835"/>
    <cellStyle name="표준 2 2 11" xfId="2598"/>
    <cellStyle name="표준 2 2 12" xfId="2810"/>
    <cellStyle name="표준 2 2 13" xfId="2656"/>
    <cellStyle name="표준 2 2 14" xfId="2700"/>
    <cellStyle name="표준 2 2 15" xfId="2725"/>
    <cellStyle name="표준 2 2 16" xfId="2707"/>
    <cellStyle name="표준 2 2 17" xfId="2720"/>
    <cellStyle name="표준 2 2 18" xfId="2766"/>
    <cellStyle name="표준 2 2 19" xfId="1867"/>
    <cellStyle name="표준 2 2 2" xfId="3373"/>
    <cellStyle name="표준 2 2 20" xfId="2757"/>
    <cellStyle name="표준 2 2 21" xfId="1712"/>
    <cellStyle name="표준 2 2 22" xfId="2749"/>
    <cellStyle name="표준 2 2 23" xfId="1818"/>
    <cellStyle name="표준 2 2 24" xfId="2743"/>
    <cellStyle name="표준 2 2 25" xfId="1664"/>
    <cellStyle name="표준 2 2 26" xfId="2736"/>
    <cellStyle name="표준 2 2 27" xfId="2809"/>
    <cellStyle name="표준 2 2 28" xfId="2730"/>
    <cellStyle name="표준 2 2 29" xfId="2602"/>
    <cellStyle name="표준 2 2 3" xfId="2773"/>
    <cellStyle name="표준 2 2 30" xfId="1865"/>
    <cellStyle name="표준 2 2 31" xfId="2627"/>
    <cellStyle name="표준 2 2 32" xfId="1710"/>
    <cellStyle name="표준 2 2 33" xfId="2649"/>
    <cellStyle name="표준 2 2 34" xfId="2189"/>
    <cellStyle name="표준 2 2 35" xfId="2658"/>
    <cellStyle name="표준 2 2 36" xfId="2025"/>
    <cellStyle name="표준 2 2 37" xfId="2734"/>
    <cellStyle name="표준 2 2 38" xfId="2696"/>
    <cellStyle name="표준 2 2 39" xfId="2728"/>
    <cellStyle name="표준 2 2 4" xfId="2661"/>
    <cellStyle name="표준 2 2 40" xfId="2788"/>
    <cellStyle name="표준 2 2 41" xfId="2451"/>
    <cellStyle name="표준 2 2 5" xfId="2762"/>
    <cellStyle name="표준 2 2 6" xfId="2671"/>
    <cellStyle name="표준 2 2 7" xfId="2753"/>
    <cellStyle name="표준 2 2 8" xfId="2886"/>
    <cellStyle name="표준 2 2 9" xfId="2547"/>
    <cellStyle name="표준 2 20" xfId="3372"/>
    <cellStyle name="표준 2 21" xfId="3371"/>
    <cellStyle name="표준 2 22" xfId="3370"/>
    <cellStyle name="표준 2 23" xfId="3369"/>
    <cellStyle name="표준 2 24" xfId="3368"/>
    <cellStyle name="표준 2 25" xfId="3367"/>
    <cellStyle name="표준 2 26" xfId="3366"/>
    <cellStyle name="표준 2 27" xfId="3365"/>
    <cellStyle name="표준 2 28" xfId="3364"/>
    <cellStyle name="표준 2 29" xfId="3363"/>
    <cellStyle name="표준 2 3" xfId="3362"/>
    <cellStyle name="표준 2 30" xfId="3361"/>
    <cellStyle name="표준 2 31" xfId="3360"/>
    <cellStyle name="표준 2 32" xfId="3359"/>
    <cellStyle name="표준 2 33" xfId="3358"/>
    <cellStyle name="표준 2 34" xfId="3357"/>
    <cellStyle name="표준 2 35" xfId="3356"/>
    <cellStyle name="표준 2 36" xfId="3355"/>
    <cellStyle name="표준 2 37" xfId="3354"/>
    <cellStyle name="표준 2 38" xfId="3353"/>
    <cellStyle name="표준 2 39" xfId="3352"/>
    <cellStyle name="표준 2 4" xfId="3351"/>
    <cellStyle name="표준 2 40" xfId="3350"/>
    <cellStyle name="표준 2 41" xfId="3349"/>
    <cellStyle name="표준 2 42" xfId="3348"/>
    <cellStyle name="표준 2 43" xfId="3347"/>
    <cellStyle name="표준 2 44" xfId="3346"/>
    <cellStyle name="표준 2 45" xfId="3345"/>
    <cellStyle name="표준 2 46" xfId="3344"/>
    <cellStyle name="표준 2 47" xfId="3343"/>
    <cellStyle name="표준 2 48" xfId="3342"/>
    <cellStyle name="표준 2 49" xfId="3341"/>
    <cellStyle name="표준 2 5" xfId="3340"/>
    <cellStyle name="표준 2 50" xfId="3339"/>
    <cellStyle name="표준 2 51" xfId="3338"/>
    <cellStyle name="표준 2 52" xfId="3337"/>
    <cellStyle name="표준 2 53" xfId="3336"/>
    <cellStyle name="표준 2 54" xfId="3335"/>
    <cellStyle name="표준 2 55" xfId="3334"/>
    <cellStyle name="표준 2 56" xfId="3333"/>
    <cellStyle name="표준 2 57" xfId="3332"/>
    <cellStyle name="표준 2 58" xfId="3331"/>
    <cellStyle name="표준 2 59" xfId="3330"/>
    <cellStyle name="표준 2 6" xfId="3329"/>
    <cellStyle name="표준 2 60" xfId="3328"/>
    <cellStyle name="표준 2 61" xfId="3327"/>
    <cellStyle name="표준 2 62" xfId="3326"/>
    <cellStyle name="표준 2 63" xfId="3325"/>
    <cellStyle name="표준 2 64" xfId="3324"/>
    <cellStyle name="표준 2 65" xfId="3323"/>
    <cellStyle name="표준 2 66" xfId="3322"/>
    <cellStyle name="표준 2 67" xfId="3321"/>
    <cellStyle name="표준 2 68" xfId="3320"/>
    <cellStyle name="표준 2 69" xfId="3319"/>
    <cellStyle name="표준 2 7" xfId="3318"/>
    <cellStyle name="표준 2 70" xfId="3317"/>
    <cellStyle name="표준 2 71" xfId="3316"/>
    <cellStyle name="표준 2 72" xfId="3315"/>
    <cellStyle name="표준 2 73" xfId="3314"/>
    <cellStyle name="표준 2 74" xfId="3313"/>
    <cellStyle name="표준 2 75" xfId="3312"/>
    <cellStyle name="표준 2 76" xfId="3311"/>
    <cellStyle name="표준 2 77" xfId="3310"/>
    <cellStyle name="표준 2 78" xfId="3309"/>
    <cellStyle name="표준 2 79" xfId="2453"/>
    <cellStyle name="표준 2 8" xfId="3308"/>
    <cellStyle name="표준 2 80" xfId="2371"/>
    <cellStyle name="표준 2 81" xfId="2288"/>
    <cellStyle name="표준 2 82" xfId="2204"/>
    <cellStyle name="표준 2 83" xfId="2123"/>
    <cellStyle name="표준 2 84" xfId="2040"/>
    <cellStyle name="표준 2 85" xfId="1959"/>
    <cellStyle name="표준 2 86" xfId="1877"/>
    <cellStyle name="표준 2 87" xfId="1799"/>
    <cellStyle name="표준 2 88" xfId="1722"/>
    <cellStyle name="표준 2 89" xfId="1641"/>
    <cellStyle name="표준 2 9" xfId="3307"/>
    <cellStyle name="표준 2 90" xfId="1559"/>
    <cellStyle name="표준 2 91" xfId="1477"/>
    <cellStyle name="표준 2 92" xfId="1395"/>
    <cellStyle name="표준 2 93" xfId="1313"/>
    <cellStyle name="표준 2 94" xfId="1231"/>
    <cellStyle name="표준 2 95" xfId="1152"/>
    <cellStyle name="표준 2 96" xfId="1073"/>
    <cellStyle name="표준 2 97" xfId="994"/>
    <cellStyle name="표준 2 98" xfId="915"/>
    <cellStyle name="표준 2 99" xfId="836"/>
    <cellStyle name="표준 28" xfId="3306"/>
    <cellStyle name="표준 3" xfId="3007"/>
    <cellStyle name="표준 3 2" xfId="2940"/>
    <cellStyle name="표준 3 2 2" xfId="2931"/>
    <cellStyle name="표준 3 3" xfId="2937"/>
    <cellStyle name="표준 32" xfId="3305"/>
    <cellStyle name="표준 34" xfId="3304"/>
    <cellStyle name="표준 4" xfId="58"/>
    <cellStyle name="표준 41" xfId="3303"/>
    <cellStyle name="표준 5" xfId="2988"/>
    <cellStyle name="표준 5 2" xfId="2985"/>
    <cellStyle name="표준 5 3" xfId="2936"/>
    <cellStyle name="표준 50" xfId="3302"/>
    <cellStyle name="표준_조합현재현황_20041130" xfId="56"/>
    <cellStyle name="하이퍼링크 2 10" xfId="3301"/>
    <cellStyle name="하이퍼링크 2 11" xfId="3300"/>
    <cellStyle name="하이퍼링크 2 12" xfId="3299"/>
    <cellStyle name="하이퍼링크 2 13" xfId="3298"/>
    <cellStyle name="하이퍼링크 2 14" xfId="3297"/>
    <cellStyle name="하이퍼링크 2 15" xfId="3296"/>
    <cellStyle name="하이퍼링크 2 16" xfId="3295"/>
    <cellStyle name="하이퍼링크 2 17" xfId="3294"/>
    <cellStyle name="하이퍼링크 2 18" xfId="3293"/>
    <cellStyle name="하이퍼링크 2 19" xfId="3292"/>
    <cellStyle name="하이퍼링크 2 2" xfId="3291"/>
    <cellStyle name="하이퍼링크 2 20" xfId="3290"/>
    <cellStyle name="하이퍼링크 2 21" xfId="3289"/>
    <cellStyle name="하이퍼링크 2 22" xfId="3288"/>
    <cellStyle name="하이퍼링크 2 23" xfId="3287"/>
    <cellStyle name="하이퍼링크 2 24" xfId="3286"/>
    <cellStyle name="하이퍼링크 2 25" xfId="3285"/>
    <cellStyle name="하이퍼링크 2 26" xfId="3284"/>
    <cellStyle name="하이퍼링크 2 27" xfId="3283"/>
    <cellStyle name="하이퍼링크 2 28" xfId="3282"/>
    <cellStyle name="하이퍼링크 2 29" xfId="3281"/>
    <cellStyle name="하이퍼링크 2 3" xfId="3280"/>
    <cellStyle name="하이퍼링크 2 30" xfId="3279"/>
    <cellStyle name="하이퍼링크 2 31" xfId="3278"/>
    <cellStyle name="하이퍼링크 2 32" xfId="3277"/>
    <cellStyle name="하이퍼링크 2 33" xfId="3276"/>
    <cellStyle name="하이퍼링크 2 34" xfId="3275"/>
    <cellStyle name="하이퍼링크 2 35" xfId="3274"/>
    <cellStyle name="하이퍼링크 2 36" xfId="3273"/>
    <cellStyle name="하이퍼링크 2 37" xfId="3272"/>
    <cellStyle name="하이퍼링크 2 38" xfId="3271"/>
    <cellStyle name="하이퍼링크 2 39" xfId="3270"/>
    <cellStyle name="하이퍼링크 2 4" xfId="3269"/>
    <cellStyle name="하이퍼링크 2 40" xfId="3268"/>
    <cellStyle name="하이퍼링크 2 41" xfId="3267"/>
    <cellStyle name="하이퍼링크 2 42" xfId="3266"/>
    <cellStyle name="하이퍼링크 2 43" xfId="3265"/>
    <cellStyle name="하이퍼링크 2 44" xfId="3264"/>
    <cellStyle name="하이퍼링크 2 45" xfId="3263"/>
    <cellStyle name="하이퍼링크 2 46" xfId="3262"/>
    <cellStyle name="하이퍼링크 2 47" xfId="3261"/>
    <cellStyle name="하이퍼링크 2 48" xfId="3260"/>
    <cellStyle name="하이퍼링크 2 49" xfId="3259"/>
    <cellStyle name="하이퍼링크 2 5" xfId="3258"/>
    <cellStyle name="하이퍼링크 2 6" xfId="3257"/>
    <cellStyle name="하이퍼링크 2 7" xfId="3256"/>
    <cellStyle name="하이퍼링크 2 8" xfId="3255"/>
    <cellStyle name="하이퍼링크 2 9" xfId="3254"/>
    <cellStyle name="ㅜ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B1488"/>
  <sheetViews>
    <sheetView tabSelected="1" zoomScale="75" zoomScaleNormal="75" zoomScaleSheetLayoutView="7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L68" sqref="L68"/>
    </sheetView>
  </sheetViews>
  <sheetFormatPr defaultRowHeight="13.5"/>
  <cols>
    <col min="1" max="1" width="9" style="3"/>
    <col min="2" max="2" width="17.875" style="3" customWidth="1"/>
    <col min="3" max="3" width="11.375" style="3" customWidth="1"/>
    <col min="4" max="4" width="21.625" style="4" customWidth="1"/>
    <col min="5" max="5" width="11.375" style="6" customWidth="1"/>
    <col min="6" max="7" width="10" style="4" customWidth="1"/>
    <col min="8" max="8" width="21.625" style="4" customWidth="1"/>
    <col min="9" max="9" width="11" style="3" customWidth="1"/>
    <col min="10" max="10" width="11.25" style="3" customWidth="1"/>
    <col min="11" max="11" width="19" style="4" customWidth="1"/>
    <col min="12" max="12" width="10" style="4" customWidth="1"/>
    <col min="13" max="16" width="15" style="4" customWidth="1"/>
    <col min="17" max="17" width="13.25" style="4" customWidth="1"/>
    <col min="18" max="19" width="15" style="3" customWidth="1"/>
    <col min="20" max="21" width="13" style="3" customWidth="1"/>
    <col min="22" max="22" width="9" style="4"/>
    <col min="23" max="23" width="15.625" style="4" bestFit="1" customWidth="1"/>
    <col min="24" max="24" width="11.5" style="4" bestFit="1" customWidth="1"/>
    <col min="25" max="26" width="9.625" style="4" bestFit="1" customWidth="1"/>
    <col min="27" max="27" width="14.75" style="4" bestFit="1" customWidth="1"/>
    <col min="28" max="28" width="12.125" style="251" customWidth="1"/>
    <col min="29" max="16384" width="9" style="4"/>
  </cols>
  <sheetData>
    <row r="1" spans="1:28" ht="17.25">
      <c r="A1" s="127" t="s">
        <v>516</v>
      </c>
      <c r="C1" s="50"/>
      <c r="D1" s="2"/>
      <c r="E1" s="1"/>
      <c r="F1" s="2"/>
      <c r="G1" s="2"/>
      <c r="H1" s="2"/>
    </row>
    <row r="2" spans="1:28">
      <c r="R2" s="3" t="s">
        <v>366</v>
      </c>
      <c r="T2" s="6" t="s">
        <v>416</v>
      </c>
      <c r="U2" s="6" t="s">
        <v>417</v>
      </c>
    </row>
    <row r="3" spans="1:28">
      <c r="A3" s="19" t="s">
        <v>518</v>
      </c>
      <c r="B3" s="405" t="s">
        <v>418</v>
      </c>
      <c r="C3" s="405" t="s">
        <v>419</v>
      </c>
      <c r="D3" s="405" t="s">
        <v>420</v>
      </c>
      <c r="E3" s="42" t="s">
        <v>421</v>
      </c>
      <c r="F3" s="405" t="s">
        <v>422</v>
      </c>
      <c r="G3" s="405" t="s">
        <v>423</v>
      </c>
      <c r="H3" s="405" t="s">
        <v>424</v>
      </c>
      <c r="I3" s="17" t="s">
        <v>425</v>
      </c>
      <c r="J3" s="400" t="s">
        <v>426</v>
      </c>
      <c r="K3" s="405" t="s">
        <v>427</v>
      </c>
      <c r="L3" s="405" t="s">
        <v>428</v>
      </c>
      <c r="M3" s="405" t="s">
        <v>429</v>
      </c>
      <c r="N3" s="405" t="s">
        <v>430</v>
      </c>
      <c r="O3" s="19" t="s">
        <v>431</v>
      </c>
      <c r="P3" s="19" t="s">
        <v>432</v>
      </c>
      <c r="Q3" s="49" t="s">
        <v>433</v>
      </c>
      <c r="R3" s="49" t="s">
        <v>434</v>
      </c>
      <c r="S3" s="399"/>
      <c r="T3" s="49" t="s">
        <v>435</v>
      </c>
      <c r="U3" s="19" t="s">
        <v>436</v>
      </c>
    </row>
    <row r="4" spans="1:28" hidden="1">
      <c r="A4" s="25" t="s">
        <v>520</v>
      </c>
      <c r="B4" s="51" t="s">
        <v>0</v>
      </c>
      <c r="C4" s="31" t="s">
        <v>321</v>
      </c>
      <c r="D4" s="7" t="s">
        <v>1</v>
      </c>
      <c r="E4" s="8">
        <v>36644</v>
      </c>
      <c r="F4" s="7">
        <v>40000</v>
      </c>
      <c r="G4" s="7">
        <v>48000</v>
      </c>
      <c r="H4" s="7">
        <f>+F4*G4</f>
        <v>1920000000</v>
      </c>
      <c r="I4" s="9" t="s">
        <v>2</v>
      </c>
      <c r="J4" s="10">
        <v>36769</v>
      </c>
      <c r="K4" s="7">
        <v>40000</v>
      </c>
      <c r="L4" s="7">
        <v>49973</v>
      </c>
      <c r="M4" s="7">
        <f>+K4*L4</f>
        <v>1998920000</v>
      </c>
      <c r="N4" s="7">
        <f>+K4*G4</f>
        <v>1920000000</v>
      </c>
      <c r="O4" s="11">
        <f>+M4-N4</f>
        <v>78920000</v>
      </c>
      <c r="P4" s="7">
        <f>+H4-N4</f>
        <v>0</v>
      </c>
      <c r="Q4" s="284">
        <v>0.125</v>
      </c>
      <c r="R4" s="12" t="s">
        <v>972</v>
      </c>
      <c r="S4" s="12" t="s">
        <v>1015</v>
      </c>
      <c r="T4" s="12" t="s">
        <v>4</v>
      </c>
      <c r="U4" s="12" t="s">
        <v>5</v>
      </c>
    </row>
    <row r="5" spans="1:28" hidden="1">
      <c r="A5" s="31" t="s">
        <v>521</v>
      </c>
      <c r="B5" s="31" t="s">
        <v>261</v>
      </c>
      <c r="C5" s="31" t="s">
        <v>321</v>
      </c>
      <c r="D5" s="56" t="s">
        <v>275</v>
      </c>
      <c r="E5" s="57">
        <v>36774</v>
      </c>
      <c r="F5" s="56"/>
      <c r="G5" s="56"/>
      <c r="H5" s="56">
        <v>1200000000</v>
      </c>
      <c r="I5" s="58" t="s">
        <v>926</v>
      </c>
      <c r="J5" s="59">
        <v>37071</v>
      </c>
      <c r="K5" s="56">
        <v>10000</v>
      </c>
      <c r="L5" s="56">
        <v>120000</v>
      </c>
      <c r="M5" s="56">
        <f t="shared" ref="M5:M10" si="0">+K5*L5</f>
        <v>1200000000</v>
      </c>
      <c r="N5" s="56">
        <f>+K5*L5</f>
        <v>1200000000</v>
      </c>
      <c r="O5" s="60">
        <f>+M5-N5</f>
        <v>0</v>
      </c>
      <c r="P5" s="56">
        <f>+H5-N5</f>
        <v>0</v>
      </c>
      <c r="Q5" s="56"/>
      <c r="R5" s="61" t="s">
        <v>972</v>
      </c>
      <c r="S5" s="61" t="s">
        <v>1019</v>
      </c>
      <c r="T5" s="61" t="s">
        <v>276</v>
      </c>
      <c r="U5" s="61" t="s">
        <v>277</v>
      </c>
    </row>
    <row r="6" spans="1:28" hidden="1">
      <c r="A6" s="31" t="s">
        <v>521</v>
      </c>
      <c r="B6" s="31" t="s">
        <v>261</v>
      </c>
      <c r="C6" s="31" t="s">
        <v>320</v>
      </c>
      <c r="D6" s="15" t="s">
        <v>7</v>
      </c>
      <c r="E6" s="16">
        <v>36643</v>
      </c>
      <c r="F6" s="15">
        <v>900000</v>
      </c>
      <c r="G6" s="15">
        <v>10000</v>
      </c>
      <c r="H6" s="15">
        <f>+F6*G6</f>
        <v>9000000000</v>
      </c>
      <c r="I6" s="17" t="s">
        <v>8</v>
      </c>
      <c r="J6" s="18">
        <v>36882</v>
      </c>
      <c r="K6" s="15">
        <v>900000</v>
      </c>
      <c r="L6" s="15">
        <v>10000</v>
      </c>
      <c r="M6" s="15">
        <f t="shared" si="0"/>
        <v>9000000000</v>
      </c>
      <c r="N6" s="15">
        <f>+F6*G6</f>
        <v>9000000000</v>
      </c>
      <c r="O6" s="11">
        <f>+M6-N6</f>
        <v>0</v>
      </c>
      <c r="P6" s="15">
        <f>+H6-N6</f>
        <v>0</v>
      </c>
      <c r="Q6" s="15"/>
      <c r="R6" s="405" t="s">
        <v>972</v>
      </c>
      <c r="S6" s="405" t="s">
        <v>1016</v>
      </c>
      <c r="T6" s="19" t="s">
        <v>9</v>
      </c>
      <c r="U6" s="19" t="s">
        <v>5</v>
      </c>
    </row>
    <row r="7" spans="1:28" hidden="1">
      <c r="A7" s="31" t="s">
        <v>521</v>
      </c>
      <c r="B7" s="31" t="s">
        <v>261</v>
      </c>
      <c r="C7" s="31" t="s">
        <v>320</v>
      </c>
      <c r="D7" s="15" t="s">
        <v>10</v>
      </c>
      <c r="E7" s="16">
        <v>36796</v>
      </c>
      <c r="F7" s="15">
        <v>22727</v>
      </c>
      <c r="G7" s="15">
        <v>22000</v>
      </c>
      <c r="H7" s="15">
        <f>+F7*G7</f>
        <v>499994000</v>
      </c>
      <c r="I7" s="17" t="s">
        <v>8</v>
      </c>
      <c r="J7" s="18">
        <v>37071</v>
      </c>
      <c r="K7" s="15">
        <v>22727</v>
      </c>
      <c r="L7" s="15">
        <v>22000</v>
      </c>
      <c r="M7" s="15">
        <f t="shared" si="0"/>
        <v>499994000</v>
      </c>
      <c r="N7" s="15">
        <f>+F7*G7</f>
        <v>499994000</v>
      </c>
      <c r="O7" s="11">
        <f>+M7-N7</f>
        <v>0</v>
      </c>
      <c r="P7" s="15">
        <f>+H7-N7</f>
        <v>0</v>
      </c>
      <c r="Q7" s="15"/>
      <c r="R7" s="405" t="s">
        <v>972</v>
      </c>
      <c r="S7" s="405" t="s">
        <v>1018</v>
      </c>
      <c r="T7" s="19" t="s">
        <v>6</v>
      </c>
      <c r="U7" s="19" t="s">
        <v>5</v>
      </c>
    </row>
    <row r="8" spans="1:28" hidden="1">
      <c r="A8" s="31" t="s">
        <v>521</v>
      </c>
      <c r="B8" s="31" t="s">
        <v>261</v>
      </c>
      <c r="C8" s="36" t="s">
        <v>320</v>
      </c>
      <c r="D8" s="15" t="s">
        <v>11</v>
      </c>
      <c r="E8" s="16">
        <v>36809</v>
      </c>
      <c r="F8" s="15">
        <v>25000</v>
      </c>
      <c r="G8" s="15">
        <v>4000</v>
      </c>
      <c r="H8" s="15">
        <f>+F8*G8</f>
        <v>100000000</v>
      </c>
      <c r="I8" s="17" t="s">
        <v>8</v>
      </c>
      <c r="J8" s="18">
        <v>37071</v>
      </c>
      <c r="K8" s="15">
        <v>25000</v>
      </c>
      <c r="L8" s="15">
        <v>4000</v>
      </c>
      <c r="M8" s="15">
        <f t="shared" si="0"/>
        <v>100000000</v>
      </c>
      <c r="N8" s="15">
        <f>+F8*G8</f>
        <v>100000000</v>
      </c>
      <c r="O8" s="11">
        <f>+M8-N8</f>
        <v>0</v>
      </c>
      <c r="P8" s="15">
        <f>+H8-N8</f>
        <v>0</v>
      </c>
      <c r="Q8" s="15"/>
      <c r="R8" s="405" t="s">
        <v>1017</v>
      </c>
      <c r="S8" s="405" t="s">
        <v>1018</v>
      </c>
      <c r="T8" s="19" t="s">
        <v>12</v>
      </c>
      <c r="U8" s="19" t="s">
        <v>13</v>
      </c>
    </row>
    <row r="9" spans="1:28" hidden="1">
      <c r="A9" s="36" t="s">
        <v>521</v>
      </c>
      <c r="B9" s="36" t="s">
        <v>261</v>
      </c>
      <c r="C9" s="132" t="s">
        <v>523</v>
      </c>
      <c r="D9" s="133"/>
      <c r="E9" s="134"/>
      <c r="F9" s="133"/>
      <c r="G9" s="133"/>
      <c r="H9" s="133">
        <f>SUM(H4:H8)</f>
        <v>12719994000</v>
      </c>
      <c r="I9" s="135"/>
      <c r="J9" s="136"/>
      <c r="K9" s="133"/>
      <c r="L9" s="133"/>
      <c r="M9" s="133">
        <f>SUM(M4:M8)</f>
        <v>12798914000</v>
      </c>
      <c r="N9" s="133">
        <f>SUM(N4:N8)</f>
        <v>12719994000</v>
      </c>
      <c r="O9" s="137">
        <f>SUM(O4:O8)</f>
        <v>78920000</v>
      </c>
      <c r="P9" s="137">
        <f>SUM(P4:P8)</f>
        <v>0</v>
      </c>
      <c r="Q9" s="133"/>
      <c r="R9" s="138"/>
      <c r="S9" s="138"/>
      <c r="T9" s="138"/>
      <c r="U9" s="138"/>
    </row>
    <row r="10" spans="1:28" s="26" customFormat="1" hidden="1">
      <c r="A10" s="25" t="s">
        <v>519</v>
      </c>
      <c r="B10" s="25" t="s">
        <v>14</v>
      </c>
      <c r="C10" s="25" t="s">
        <v>337</v>
      </c>
      <c r="D10" s="20" t="s">
        <v>15</v>
      </c>
      <c r="E10" s="21">
        <v>36890</v>
      </c>
      <c r="F10" s="20">
        <v>54600</v>
      </c>
      <c r="G10" s="20">
        <v>42000</v>
      </c>
      <c r="H10" s="20">
        <f>+F10*G10</f>
        <v>2293200000</v>
      </c>
      <c r="I10" s="22" t="s">
        <v>852</v>
      </c>
      <c r="J10" s="23">
        <v>36907</v>
      </c>
      <c r="K10" s="20">
        <v>4300</v>
      </c>
      <c r="L10" s="20">
        <v>42500</v>
      </c>
      <c r="M10" s="20">
        <f t="shared" si="0"/>
        <v>182750000</v>
      </c>
      <c r="N10" s="20">
        <f>+K10*42000</f>
        <v>180600000</v>
      </c>
      <c r="O10" s="24">
        <f>+M10-N10</f>
        <v>2150000</v>
      </c>
      <c r="P10" s="20"/>
      <c r="Q10" s="20"/>
      <c r="R10" s="25" t="s">
        <v>3</v>
      </c>
      <c r="S10" s="401"/>
      <c r="T10" s="25" t="s">
        <v>16</v>
      </c>
      <c r="U10" s="25" t="s">
        <v>13</v>
      </c>
      <c r="AB10" s="252"/>
    </row>
    <row r="11" spans="1:28" s="26" customFormat="1" hidden="1">
      <c r="A11" s="31" t="s">
        <v>519</v>
      </c>
      <c r="B11" s="31" t="s">
        <v>260</v>
      </c>
      <c r="C11" s="31" t="s">
        <v>337</v>
      </c>
      <c r="D11" s="14" t="s">
        <v>15</v>
      </c>
      <c r="E11" s="27"/>
      <c r="F11" s="14"/>
      <c r="G11" s="14"/>
      <c r="H11" s="14"/>
      <c r="I11" s="28"/>
      <c r="J11" s="29">
        <v>37179</v>
      </c>
      <c r="K11" s="14">
        <v>10000</v>
      </c>
      <c r="L11" s="14">
        <v>4031</v>
      </c>
      <c r="M11" s="14">
        <v>40028029</v>
      </c>
      <c r="N11" s="14">
        <v>42000000</v>
      </c>
      <c r="O11" s="30">
        <f t="shared" ref="O11:O35" si="1">+M11-N11</f>
        <v>-1971971</v>
      </c>
      <c r="P11" s="14"/>
      <c r="Q11" s="14"/>
      <c r="R11" s="31" t="s">
        <v>3</v>
      </c>
      <c r="S11" s="402"/>
      <c r="T11" s="31" t="s">
        <v>16</v>
      </c>
      <c r="U11" s="31" t="s">
        <v>13</v>
      </c>
      <c r="AB11" s="252"/>
    </row>
    <row r="12" spans="1:28" s="26" customFormat="1" hidden="1">
      <c r="A12" s="31" t="s">
        <v>519</v>
      </c>
      <c r="B12" s="31" t="s">
        <v>260</v>
      </c>
      <c r="C12" s="31" t="s">
        <v>337</v>
      </c>
      <c r="D12" s="14" t="s">
        <v>15</v>
      </c>
      <c r="E12" s="27"/>
      <c r="F12" s="14"/>
      <c r="G12" s="14"/>
      <c r="H12" s="14"/>
      <c r="I12" s="28"/>
      <c r="J12" s="29">
        <v>37291</v>
      </c>
      <c r="K12" s="14">
        <v>15000</v>
      </c>
      <c r="L12" s="14">
        <v>3560</v>
      </c>
      <c r="M12" s="14">
        <v>53026200</v>
      </c>
      <c r="N12" s="14">
        <v>63000000</v>
      </c>
      <c r="O12" s="30">
        <f t="shared" si="1"/>
        <v>-9973800</v>
      </c>
      <c r="P12" s="14"/>
      <c r="Q12" s="14"/>
      <c r="R12" s="31" t="s">
        <v>3</v>
      </c>
      <c r="S12" s="402"/>
      <c r="T12" s="31" t="s">
        <v>16</v>
      </c>
      <c r="U12" s="31" t="s">
        <v>17</v>
      </c>
      <c r="AB12" s="252"/>
    </row>
    <row r="13" spans="1:28" s="26" customFormat="1" hidden="1">
      <c r="A13" s="31" t="s">
        <v>519</v>
      </c>
      <c r="B13" s="31" t="s">
        <v>260</v>
      </c>
      <c r="C13" s="31" t="s">
        <v>337</v>
      </c>
      <c r="D13" s="14" t="s">
        <v>38</v>
      </c>
      <c r="E13" s="27"/>
      <c r="F13" s="14"/>
      <c r="G13" s="14"/>
      <c r="H13" s="14"/>
      <c r="I13" s="28"/>
      <c r="J13" s="29">
        <v>37330</v>
      </c>
      <c r="K13" s="14">
        <v>87000</v>
      </c>
      <c r="L13" s="14">
        <v>3855</v>
      </c>
      <c r="M13" s="14">
        <v>333057215</v>
      </c>
      <c r="N13" s="14">
        <v>365400000</v>
      </c>
      <c r="O13" s="30">
        <f t="shared" si="1"/>
        <v>-32342785</v>
      </c>
      <c r="P13" s="14"/>
      <c r="Q13" s="14"/>
      <c r="R13" s="31" t="s">
        <v>39</v>
      </c>
      <c r="S13" s="402"/>
      <c r="T13" s="31" t="s">
        <v>40</v>
      </c>
      <c r="U13" s="31" t="s">
        <v>17</v>
      </c>
      <c r="AB13" s="252"/>
    </row>
    <row r="14" spans="1:28" s="26" customFormat="1" hidden="1">
      <c r="A14" s="31" t="s">
        <v>519</v>
      </c>
      <c r="B14" s="31" t="s">
        <v>260</v>
      </c>
      <c r="C14" s="31" t="s">
        <v>337</v>
      </c>
      <c r="D14" s="14" t="s">
        <v>38</v>
      </c>
      <c r="E14" s="27"/>
      <c r="F14" s="14"/>
      <c r="G14" s="14"/>
      <c r="H14" s="14"/>
      <c r="I14" s="28"/>
      <c r="J14" s="29">
        <v>37333</v>
      </c>
      <c r="K14" s="14">
        <v>70000</v>
      </c>
      <c r="L14" s="14">
        <v>3896</v>
      </c>
      <c r="M14" s="14">
        <v>270830999</v>
      </c>
      <c r="N14" s="14">
        <v>294000000</v>
      </c>
      <c r="O14" s="30">
        <f t="shared" si="1"/>
        <v>-23169001</v>
      </c>
      <c r="P14" s="14"/>
      <c r="Q14" s="14"/>
      <c r="R14" s="31" t="s">
        <v>39</v>
      </c>
      <c r="S14" s="402"/>
      <c r="T14" s="31" t="s">
        <v>40</v>
      </c>
      <c r="U14" s="31" t="s">
        <v>17</v>
      </c>
      <c r="AB14" s="252"/>
    </row>
    <row r="15" spans="1:28" s="26" customFormat="1" hidden="1">
      <c r="A15" s="31" t="s">
        <v>519</v>
      </c>
      <c r="B15" s="31" t="s">
        <v>260</v>
      </c>
      <c r="C15" s="31" t="s">
        <v>337</v>
      </c>
      <c r="D15" s="14" t="s">
        <v>38</v>
      </c>
      <c r="E15" s="27"/>
      <c r="F15" s="14"/>
      <c r="G15" s="14"/>
      <c r="H15" s="14"/>
      <c r="I15" s="28"/>
      <c r="J15" s="29">
        <v>37333</v>
      </c>
      <c r="K15" s="14">
        <v>39000</v>
      </c>
      <c r="L15" s="14">
        <v>4486</v>
      </c>
      <c r="M15" s="14">
        <v>173725350</v>
      </c>
      <c r="N15" s="14">
        <v>163800000</v>
      </c>
      <c r="O15" s="30">
        <f t="shared" si="1"/>
        <v>9925350</v>
      </c>
      <c r="P15" s="14"/>
      <c r="Q15" s="14"/>
      <c r="R15" s="31" t="s">
        <v>18</v>
      </c>
      <c r="S15" s="402"/>
      <c r="T15" s="31" t="s">
        <v>40</v>
      </c>
      <c r="U15" s="31" t="s">
        <v>17</v>
      </c>
      <c r="AB15" s="252"/>
    </row>
    <row r="16" spans="1:28" s="26" customFormat="1" hidden="1">
      <c r="A16" s="31" t="s">
        <v>519</v>
      </c>
      <c r="B16" s="31" t="s">
        <v>260</v>
      </c>
      <c r="C16" s="31" t="s">
        <v>337</v>
      </c>
      <c r="D16" s="14" t="s">
        <v>38</v>
      </c>
      <c r="E16" s="27"/>
      <c r="F16" s="14"/>
      <c r="G16" s="14"/>
      <c r="H16" s="14"/>
      <c r="I16" s="28"/>
      <c r="J16" s="29">
        <v>37335</v>
      </c>
      <c r="K16" s="14">
        <v>72000</v>
      </c>
      <c r="L16" s="14">
        <v>4943</v>
      </c>
      <c r="M16" s="14">
        <v>353433465</v>
      </c>
      <c r="N16" s="14">
        <v>302400000</v>
      </c>
      <c r="O16" s="30">
        <f t="shared" si="1"/>
        <v>51033465</v>
      </c>
      <c r="P16" s="14"/>
      <c r="Q16" s="14"/>
      <c r="R16" s="31" t="s">
        <v>18</v>
      </c>
      <c r="S16" s="402"/>
      <c r="T16" s="31" t="s">
        <v>40</v>
      </c>
      <c r="U16" s="31" t="s">
        <v>17</v>
      </c>
      <c r="AB16" s="252"/>
    </row>
    <row r="17" spans="1:28" s="26" customFormat="1" hidden="1">
      <c r="A17" s="31" t="s">
        <v>519</v>
      </c>
      <c r="B17" s="31" t="s">
        <v>260</v>
      </c>
      <c r="C17" s="31" t="s">
        <v>337</v>
      </c>
      <c r="D17" s="14" t="s">
        <v>38</v>
      </c>
      <c r="E17" s="27"/>
      <c r="F17" s="14"/>
      <c r="G17" s="14"/>
      <c r="H17" s="14"/>
      <c r="I17" s="28"/>
      <c r="J17" s="29">
        <v>37336</v>
      </c>
      <c r="K17" s="14">
        <v>45000</v>
      </c>
      <c r="L17" s="14">
        <v>4925</v>
      </c>
      <c r="M17" s="14">
        <v>220071641</v>
      </c>
      <c r="N17" s="14">
        <v>189000000</v>
      </c>
      <c r="O17" s="30">
        <f t="shared" si="1"/>
        <v>31071641</v>
      </c>
      <c r="P17" s="14"/>
      <c r="Q17" s="14"/>
      <c r="R17" s="31" t="s">
        <v>18</v>
      </c>
      <c r="S17" s="402"/>
      <c r="T17" s="31" t="s">
        <v>40</v>
      </c>
      <c r="U17" s="31" t="s">
        <v>17</v>
      </c>
      <c r="AB17" s="252"/>
    </row>
    <row r="18" spans="1:28" s="26" customFormat="1" hidden="1">
      <c r="A18" s="31" t="s">
        <v>519</v>
      </c>
      <c r="B18" s="31" t="s">
        <v>260</v>
      </c>
      <c r="C18" s="31" t="s">
        <v>337</v>
      </c>
      <c r="D18" s="14" t="s">
        <v>38</v>
      </c>
      <c r="E18" s="27"/>
      <c r="F18" s="14"/>
      <c r="G18" s="14"/>
      <c r="H18" s="14"/>
      <c r="I18" s="28"/>
      <c r="J18" s="29">
        <v>37337</v>
      </c>
      <c r="K18" s="14">
        <v>14000</v>
      </c>
      <c r="L18" s="14">
        <v>4994</v>
      </c>
      <c r="M18" s="14">
        <v>69422833</v>
      </c>
      <c r="N18" s="14">
        <v>58800000</v>
      </c>
      <c r="O18" s="30">
        <f t="shared" si="1"/>
        <v>10622833</v>
      </c>
      <c r="P18" s="14"/>
      <c r="Q18" s="14"/>
      <c r="R18" s="31" t="s">
        <v>18</v>
      </c>
      <c r="S18" s="402"/>
      <c r="T18" s="31" t="s">
        <v>40</v>
      </c>
      <c r="U18" s="31" t="s">
        <v>17</v>
      </c>
      <c r="AB18" s="252"/>
    </row>
    <row r="19" spans="1:28" s="26" customFormat="1" hidden="1">
      <c r="A19" s="31" t="s">
        <v>519</v>
      </c>
      <c r="B19" s="31" t="s">
        <v>260</v>
      </c>
      <c r="C19" s="31" t="s">
        <v>337</v>
      </c>
      <c r="D19" s="14" t="s">
        <v>38</v>
      </c>
      <c r="E19" s="27"/>
      <c r="F19" s="14"/>
      <c r="G19" s="14"/>
      <c r="H19" s="14"/>
      <c r="I19" s="28"/>
      <c r="J19" s="29">
        <v>37340</v>
      </c>
      <c r="K19" s="14">
        <v>51000</v>
      </c>
      <c r="L19" s="14">
        <v>4504</v>
      </c>
      <c r="M19" s="14">
        <v>228074703</v>
      </c>
      <c r="N19" s="14">
        <v>214200000</v>
      </c>
      <c r="O19" s="30">
        <f t="shared" si="1"/>
        <v>13874703</v>
      </c>
      <c r="P19" s="14"/>
      <c r="Q19" s="14"/>
      <c r="R19" s="31" t="s">
        <v>18</v>
      </c>
      <c r="S19" s="402"/>
      <c r="T19" s="31" t="s">
        <v>40</v>
      </c>
      <c r="U19" s="31" t="s">
        <v>17</v>
      </c>
      <c r="AB19" s="252"/>
    </row>
    <row r="20" spans="1:28" s="26" customFormat="1" hidden="1">
      <c r="A20" s="31" t="s">
        <v>519</v>
      </c>
      <c r="B20" s="31" t="s">
        <v>260</v>
      </c>
      <c r="C20" s="31" t="s">
        <v>337</v>
      </c>
      <c r="D20" s="14" t="s">
        <v>38</v>
      </c>
      <c r="E20" s="27"/>
      <c r="F20" s="14"/>
      <c r="G20" s="14"/>
      <c r="H20" s="14"/>
      <c r="I20" s="28"/>
      <c r="J20" s="29">
        <v>37341</v>
      </c>
      <c r="K20" s="14">
        <v>21000</v>
      </c>
      <c r="L20" s="14">
        <v>4428</v>
      </c>
      <c r="M20" s="14">
        <v>92343447</v>
      </c>
      <c r="N20" s="14">
        <v>88200000</v>
      </c>
      <c r="O20" s="30">
        <f t="shared" si="1"/>
        <v>4143447</v>
      </c>
      <c r="P20" s="14"/>
      <c r="Q20" s="14"/>
      <c r="R20" s="31" t="s">
        <v>18</v>
      </c>
      <c r="S20" s="402"/>
      <c r="T20" s="31" t="s">
        <v>40</v>
      </c>
      <c r="U20" s="31" t="s">
        <v>17</v>
      </c>
      <c r="AB20" s="252"/>
    </row>
    <row r="21" spans="1:28" s="26" customFormat="1" hidden="1">
      <c r="A21" s="31" t="s">
        <v>519</v>
      </c>
      <c r="B21" s="31" t="s">
        <v>260</v>
      </c>
      <c r="C21" s="31" t="s">
        <v>337</v>
      </c>
      <c r="D21" s="14" t="s">
        <v>38</v>
      </c>
      <c r="E21" s="27"/>
      <c r="F21" s="14"/>
      <c r="G21" s="14"/>
      <c r="H21" s="14"/>
      <c r="I21" s="28"/>
      <c r="J21" s="29">
        <v>37342</v>
      </c>
      <c r="K21" s="14">
        <v>29000</v>
      </c>
      <c r="L21" s="14">
        <v>4341</v>
      </c>
      <c r="M21" s="14">
        <v>125012499</v>
      </c>
      <c r="N21" s="14">
        <v>121800000</v>
      </c>
      <c r="O21" s="30">
        <f t="shared" si="1"/>
        <v>3212499</v>
      </c>
      <c r="P21" s="14"/>
      <c r="Q21" s="14"/>
      <c r="R21" s="31" t="s">
        <v>18</v>
      </c>
      <c r="S21" s="402"/>
      <c r="T21" s="31" t="s">
        <v>40</v>
      </c>
      <c r="U21" s="31" t="s">
        <v>17</v>
      </c>
      <c r="AB21" s="252"/>
    </row>
    <row r="22" spans="1:28" s="26" customFormat="1" hidden="1">
      <c r="A22" s="31" t="s">
        <v>519</v>
      </c>
      <c r="B22" s="31" t="s">
        <v>260</v>
      </c>
      <c r="C22" s="31" t="s">
        <v>337</v>
      </c>
      <c r="D22" s="14" t="s">
        <v>38</v>
      </c>
      <c r="E22" s="27"/>
      <c r="F22" s="14"/>
      <c r="G22" s="14"/>
      <c r="H22" s="14"/>
      <c r="I22" s="28"/>
      <c r="J22" s="29">
        <v>37343</v>
      </c>
      <c r="K22" s="14">
        <v>42000</v>
      </c>
      <c r="L22" s="14">
        <v>4120</v>
      </c>
      <c r="M22" s="14">
        <v>171809169</v>
      </c>
      <c r="N22" s="14">
        <v>176400000</v>
      </c>
      <c r="O22" s="30">
        <f t="shared" si="1"/>
        <v>-4590831</v>
      </c>
      <c r="P22" s="14"/>
      <c r="Q22" s="14"/>
      <c r="R22" s="31" t="s">
        <v>18</v>
      </c>
      <c r="S22" s="402"/>
      <c r="T22" s="31" t="s">
        <v>40</v>
      </c>
      <c r="U22" s="31" t="s">
        <v>17</v>
      </c>
      <c r="AB22" s="252"/>
    </row>
    <row r="23" spans="1:28" s="26" customFormat="1" hidden="1">
      <c r="A23" s="31" t="s">
        <v>519</v>
      </c>
      <c r="B23" s="31" t="s">
        <v>260</v>
      </c>
      <c r="C23" s="31" t="s">
        <v>337</v>
      </c>
      <c r="D23" s="14" t="s">
        <v>38</v>
      </c>
      <c r="E23" s="27"/>
      <c r="F23" s="14"/>
      <c r="G23" s="14"/>
      <c r="H23" s="14"/>
      <c r="I23" s="28"/>
      <c r="J23" s="29">
        <v>37344</v>
      </c>
      <c r="K23" s="14">
        <v>8000</v>
      </c>
      <c r="L23" s="14">
        <v>4040</v>
      </c>
      <c r="M23" s="14">
        <v>32093760</v>
      </c>
      <c r="N23" s="14">
        <v>33600000</v>
      </c>
      <c r="O23" s="30">
        <f t="shared" si="1"/>
        <v>-1506240</v>
      </c>
      <c r="P23" s="14"/>
      <c r="Q23" s="14"/>
      <c r="R23" s="31" t="s">
        <v>18</v>
      </c>
      <c r="S23" s="402"/>
      <c r="T23" s="31" t="s">
        <v>40</v>
      </c>
      <c r="U23" s="31" t="s">
        <v>17</v>
      </c>
      <c r="AB23" s="252"/>
    </row>
    <row r="24" spans="1:28" s="26" customFormat="1" hidden="1">
      <c r="A24" s="31" t="s">
        <v>519</v>
      </c>
      <c r="B24" s="31" t="s">
        <v>260</v>
      </c>
      <c r="C24" s="31" t="s">
        <v>337</v>
      </c>
      <c r="D24" s="11" t="s">
        <v>38</v>
      </c>
      <c r="E24" s="32"/>
      <c r="F24" s="11"/>
      <c r="G24" s="11"/>
      <c r="H24" s="11"/>
      <c r="I24" s="33"/>
      <c r="J24" s="34"/>
      <c r="K24" s="11"/>
      <c r="L24" s="11"/>
      <c r="M24" s="11"/>
      <c r="N24" s="11"/>
      <c r="O24" s="35">
        <f t="shared" si="1"/>
        <v>0</v>
      </c>
      <c r="P24" s="11">
        <f>+SUM(H10:H24)-SUM(N10:N24)</f>
        <v>0</v>
      </c>
      <c r="Q24" s="11"/>
      <c r="R24" s="36" t="s">
        <v>18</v>
      </c>
      <c r="S24" s="403"/>
      <c r="T24" s="36" t="s">
        <v>40</v>
      </c>
      <c r="U24" s="36" t="s">
        <v>17</v>
      </c>
      <c r="AB24" s="252"/>
    </row>
    <row r="25" spans="1:28" s="26" customFormat="1" hidden="1">
      <c r="A25" s="31" t="s">
        <v>519</v>
      </c>
      <c r="B25" s="31" t="s">
        <v>260</v>
      </c>
      <c r="C25" s="31" t="s">
        <v>323</v>
      </c>
      <c r="D25" s="20" t="s">
        <v>41</v>
      </c>
      <c r="E25" s="21">
        <v>36890</v>
      </c>
      <c r="F25" s="20">
        <v>58800</v>
      </c>
      <c r="G25" s="20">
        <v>15000</v>
      </c>
      <c r="H25" s="20">
        <f>+F25*G25</f>
        <v>882000000</v>
      </c>
      <c r="I25" s="22" t="s">
        <v>1053</v>
      </c>
      <c r="J25" s="23">
        <v>36907</v>
      </c>
      <c r="K25" s="20">
        <v>4500</v>
      </c>
      <c r="L25" s="20">
        <v>15500</v>
      </c>
      <c r="M25" s="20">
        <f>+K25*L25</f>
        <v>69750000</v>
      </c>
      <c r="N25" s="20">
        <f>+K25*15000</f>
        <v>67500000</v>
      </c>
      <c r="O25" s="24">
        <f t="shared" si="1"/>
        <v>2250000</v>
      </c>
      <c r="P25" s="20"/>
      <c r="Q25" s="20"/>
      <c r="R25" s="25" t="s">
        <v>18</v>
      </c>
      <c r="S25" s="401"/>
      <c r="T25" s="25" t="s">
        <v>42</v>
      </c>
      <c r="U25" s="25" t="s">
        <v>17</v>
      </c>
      <c r="AB25" s="252"/>
    </row>
    <row r="26" spans="1:28" s="26" customFormat="1" hidden="1">
      <c r="A26" s="31" t="s">
        <v>519</v>
      </c>
      <c r="B26" s="31" t="s">
        <v>260</v>
      </c>
      <c r="C26" s="31" t="s">
        <v>323</v>
      </c>
      <c r="D26" s="14" t="s">
        <v>41</v>
      </c>
      <c r="E26" s="27"/>
      <c r="F26" s="14"/>
      <c r="G26" s="14"/>
      <c r="H26" s="14"/>
      <c r="I26" s="28"/>
      <c r="J26" s="29">
        <v>37307</v>
      </c>
      <c r="K26" s="14">
        <v>35000</v>
      </c>
      <c r="L26" s="14">
        <v>3340</v>
      </c>
      <c r="M26" s="14">
        <v>116432400</v>
      </c>
      <c r="N26" s="14">
        <v>50195950</v>
      </c>
      <c r="O26" s="30">
        <f t="shared" si="1"/>
        <v>66236450</v>
      </c>
      <c r="P26" s="14"/>
      <c r="Q26" s="14"/>
      <c r="R26" s="31" t="s">
        <v>18</v>
      </c>
      <c r="S26" s="402"/>
      <c r="T26" s="31" t="s">
        <v>42</v>
      </c>
      <c r="U26" s="31" t="s">
        <v>17</v>
      </c>
      <c r="AB26" s="252"/>
    </row>
    <row r="27" spans="1:28" s="26" customFormat="1" hidden="1">
      <c r="A27" s="31" t="s">
        <v>519</v>
      </c>
      <c r="B27" s="31" t="s">
        <v>260</v>
      </c>
      <c r="C27" s="31" t="s">
        <v>323</v>
      </c>
      <c r="D27" s="14" t="s">
        <v>41</v>
      </c>
      <c r="E27" s="27"/>
      <c r="F27" s="14"/>
      <c r="G27" s="14"/>
      <c r="H27" s="14"/>
      <c r="I27" s="28"/>
      <c r="J27" s="29">
        <v>37309</v>
      </c>
      <c r="K27" s="14">
        <v>70000</v>
      </c>
      <c r="L27" s="14">
        <v>3260</v>
      </c>
      <c r="M27" s="14">
        <v>227266670</v>
      </c>
      <c r="N27" s="14">
        <v>100391900</v>
      </c>
      <c r="O27" s="30">
        <f t="shared" si="1"/>
        <v>126874770</v>
      </c>
      <c r="P27" s="14"/>
      <c r="Q27" s="14"/>
      <c r="R27" s="31" t="s">
        <v>18</v>
      </c>
      <c r="S27" s="402"/>
      <c r="T27" s="31" t="s">
        <v>42</v>
      </c>
      <c r="U27" s="31" t="s">
        <v>17</v>
      </c>
      <c r="AB27" s="252"/>
    </row>
    <row r="28" spans="1:28" s="26" customFormat="1" hidden="1">
      <c r="A28" s="31" t="s">
        <v>519</v>
      </c>
      <c r="B28" s="31" t="s">
        <v>260</v>
      </c>
      <c r="C28" s="31" t="s">
        <v>323</v>
      </c>
      <c r="D28" s="14" t="s">
        <v>41</v>
      </c>
      <c r="E28" s="27"/>
      <c r="F28" s="14"/>
      <c r="G28" s="14"/>
      <c r="H28" s="14"/>
      <c r="I28" s="28"/>
      <c r="J28" s="29">
        <v>37322</v>
      </c>
      <c r="K28" s="14">
        <v>65000</v>
      </c>
      <c r="L28" s="14">
        <v>3205</v>
      </c>
      <c r="M28" s="14">
        <v>207466800</v>
      </c>
      <c r="N28" s="14">
        <v>93221050</v>
      </c>
      <c r="O28" s="30">
        <f t="shared" si="1"/>
        <v>114245750</v>
      </c>
      <c r="P28" s="14"/>
      <c r="Q28" s="14"/>
      <c r="R28" s="31" t="s">
        <v>18</v>
      </c>
      <c r="S28" s="402"/>
      <c r="T28" s="31" t="s">
        <v>42</v>
      </c>
      <c r="U28" s="31" t="s">
        <v>17</v>
      </c>
      <c r="AB28" s="252"/>
    </row>
    <row r="29" spans="1:28" s="26" customFormat="1" hidden="1">
      <c r="A29" s="31" t="s">
        <v>519</v>
      </c>
      <c r="B29" s="31" t="s">
        <v>260</v>
      </c>
      <c r="C29" s="31" t="s">
        <v>323</v>
      </c>
      <c r="D29" s="14" t="s">
        <v>41</v>
      </c>
      <c r="E29" s="27"/>
      <c r="F29" s="14"/>
      <c r="G29" s="14"/>
      <c r="H29" s="14"/>
      <c r="I29" s="28"/>
      <c r="J29" s="29">
        <v>37323</v>
      </c>
      <c r="K29" s="14">
        <v>80000</v>
      </c>
      <c r="L29" s="14">
        <v>3236</v>
      </c>
      <c r="M29" s="14">
        <v>257804640</v>
      </c>
      <c r="N29" s="14">
        <v>114733600</v>
      </c>
      <c r="O29" s="30">
        <f t="shared" si="1"/>
        <v>143071040</v>
      </c>
      <c r="P29" s="14"/>
      <c r="Q29" s="14"/>
      <c r="R29" s="31" t="s">
        <v>18</v>
      </c>
      <c r="S29" s="402"/>
      <c r="T29" s="31" t="s">
        <v>42</v>
      </c>
      <c r="U29" s="31" t="s">
        <v>17</v>
      </c>
      <c r="AB29" s="252"/>
    </row>
    <row r="30" spans="1:28" s="26" customFormat="1" hidden="1">
      <c r="A30" s="31" t="s">
        <v>519</v>
      </c>
      <c r="B30" s="31" t="s">
        <v>260</v>
      </c>
      <c r="C30" s="31" t="s">
        <v>323</v>
      </c>
      <c r="D30" s="14" t="s">
        <v>41</v>
      </c>
      <c r="E30" s="27"/>
      <c r="F30" s="14"/>
      <c r="G30" s="14"/>
      <c r="H30" s="14"/>
      <c r="I30" s="28"/>
      <c r="J30" s="29">
        <v>37326</v>
      </c>
      <c r="K30" s="14">
        <v>50000</v>
      </c>
      <c r="L30" s="14">
        <v>3582</v>
      </c>
      <c r="M30" s="14">
        <v>178392380</v>
      </c>
      <c r="N30" s="14">
        <v>71708500</v>
      </c>
      <c r="O30" s="30">
        <f t="shared" si="1"/>
        <v>106683880</v>
      </c>
      <c r="P30" s="14"/>
      <c r="Q30" s="14"/>
      <c r="R30" s="31" t="s">
        <v>18</v>
      </c>
      <c r="S30" s="402"/>
      <c r="T30" s="31" t="s">
        <v>42</v>
      </c>
      <c r="U30" s="31" t="s">
        <v>17</v>
      </c>
      <c r="AB30" s="252"/>
    </row>
    <row r="31" spans="1:28" s="26" customFormat="1" hidden="1">
      <c r="A31" s="31" t="s">
        <v>519</v>
      </c>
      <c r="B31" s="31" t="s">
        <v>260</v>
      </c>
      <c r="C31" s="31" t="s">
        <v>323</v>
      </c>
      <c r="D31" s="14" t="s">
        <v>41</v>
      </c>
      <c r="E31" s="27"/>
      <c r="F31" s="14"/>
      <c r="G31" s="14"/>
      <c r="H31" s="14"/>
      <c r="I31" s="28"/>
      <c r="J31" s="29">
        <v>37326</v>
      </c>
      <c r="K31" s="14">
        <v>50000</v>
      </c>
      <c r="L31" s="14">
        <v>3285</v>
      </c>
      <c r="M31" s="14">
        <v>163606150</v>
      </c>
      <c r="N31" s="14">
        <v>71708500</v>
      </c>
      <c r="O31" s="30">
        <f t="shared" si="1"/>
        <v>91897650</v>
      </c>
      <c r="P31" s="14"/>
      <c r="Q31" s="14"/>
      <c r="R31" s="31" t="s">
        <v>18</v>
      </c>
      <c r="S31" s="402"/>
      <c r="T31" s="31" t="s">
        <v>42</v>
      </c>
      <c r="U31" s="31" t="s">
        <v>17</v>
      </c>
      <c r="AB31" s="252"/>
    </row>
    <row r="32" spans="1:28" s="26" customFormat="1" hidden="1">
      <c r="A32" s="31" t="s">
        <v>519</v>
      </c>
      <c r="B32" s="31" t="s">
        <v>260</v>
      </c>
      <c r="C32" s="31" t="s">
        <v>323</v>
      </c>
      <c r="D32" s="14" t="s">
        <v>41</v>
      </c>
      <c r="E32" s="27"/>
      <c r="F32" s="14"/>
      <c r="G32" s="14"/>
      <c r="H32" s="14"/>
      <c r="I32" s="28"/>
      <c r="J32" s="29">
        <v>37327</v>
      </c>
      <c r="K32" s="14">
        <v>33000</v>
      </c>
      <c r="L32" s="14">
        <v>3735</v>
      </c>
      <c r="M32" s="14">
        <v>122776920</v>
      </c>
      <c r="N32" s="14">
        <v>47327610</v>
      </c>
      <c r="O32" s="30">
        <f t="shared" si="1"/>
        <v>75449310</v>
      </c>
      <c r="P32" s="14"/>
      <c r="Q32" s="14"/>
      <c r="R32" s="31" t="s">
        <v>18</v>
      </c>
      <c r="S32" s="402"/>
      <c r="T32" s="31" t="s">
        <v>42</v>
      </c>
      <c r="U32" s="31" t="s">
        <v>17</v>
      </c>
      <c r="AB32" s="252"/>
    </row>
    <row r="33" spans="1:28" s="26" customFormat="1" hidden="1">
      <c r="A33" s="31" t="s">
        <v>519</v>
      </c>
      <c r="B33" s="31" t="s">
        <v>260</v>
      </c>
      <c r="C33" s="31" t="s">
        <v>323</v>
      </c>
      <c r="D33" s="14" t="s">
        <v>41</v>
      </c>
      <c r="E33" s="27"/>
      <c r="F33" s="14"/>
      <c r="G33" s="14"/>
      <c r="H33" s="14"/>
      <c r="I33" s="28"/>
      <c r="J33" s="29">
        <v>37328</v>
      </c>
      <c r="K33" s="14">
        <v>10000</v>
      </c>
      <c r="L33" s="14">
        <v>4020</v>
      </c>
      <c r="M33" s="14">
        <v>40039200</v>
      </c>
      <c r="N33" s="14">
        <v>14341700</v>
      </c>
      <c r="O33" s="30">
        <f t="shared" si="1"/>
        <v>25697500</v>
      </c>
      <c r="P33" s="14"/>
      <c r="Q33" s="14"/>
      <c r="R33" s="31" t="s">
        <v>18</v>
      </c>
      <c r="S33" s="402"/>
      <c r="T33" s="31" t="s">
        <v>42</v>
      </c>
      <c r="U33" s="31" t="s">
        <v>17</v>
      </c>
      <c r="AB33" s="252"/>
    </row>
    <row r="34" spans="1:28" s="26" customFormat="1" hidden="1">
      <c r="A34" s="31" t="s">
        <v>519</v>
      </c>
      <c r="B34" s="31" t="s">
        <v>260</v>
      </c>
      <c r="C34" s="31" t="s">
        <v>323</v>
      </c>
      <c r="D34" s="14" t="s">
        <v>41</v>
      </c>
      <c r="E34" s="27"/>
      <c r="F34" s="14"/>
      <c r="G34" s="14"/>
      <c r="H34" s="14"/>
      <c r="I34" s="28"/>
      <c r="J34" s="29">
        <v>37329</v>
      </c>
      <c r="K34" s="14">
        <v>100000</v>
      </c>
      <c r="L34" s="14">
        <v>4017</v>
      </c>
      <c r="M34" s="14">
        <v>400120650</v>
      </c>
      <c r="N34" s="14">
        <v>143417000</v>
      </c>
      <c r="O34" s="30">
        <f t="shared" si="1"/>
        <v>256703650</v>
      </c>
      <c r="P34" s="14"/>
      <c r="Q34" s="14"/>
      <c r="R34" s="31" t="s">
        <v>18</v>
      </c>
      <c r="S34" s="402"/>
      <c r="T34" s="31" t="s">
        <v>42</v>
      </c>
      <c r="U34" s="31" t="s">
        <v>17</v>
      </c>
      <c r="AB34" s="252"/>
    </row>
    <row r="35" spans="1:28" s="26" customFormat="1" hidden="1">
      <c r="A35" s="31" t="s">
        <v>519</v>
      </c>
      <c r="B35" s="31" t="s">
        <v>260</v>
      </c>
      <c r="C35" s="36" t="s">
        <v>323</v>
      </c>
      <c r="D35" s="11" t="s">
        <v>41</v>
      </c>
      <c r="E35" s="32"/>
      <c r="F35" s="11"/>
      <c r="G35" s="11"/>
      <c r="H35" s="11"/>
      <c r="I35" s="33"/>
      <c r="J35" s="34">
        <v>37330</v>
      </c>
      <c r="K35" s="11">
        <v>74924</v>
      </c>
      <c r="L35" s="11">
        <v>3785</v>
      </c>
      <c r="M35" s="11">
        <v>282484730</v>
      </c>
      <c r="N35" s="11">
        <v>107454190</v>
      </c>
      <c r="O35" s="35">
        <f t="shared" si="1"/>
        <v>175030540</v>
      </c>
      <c r="P35" s="11">
        <f>+SUM(H25:H35)-SUM(N25:N35)</f>
        <v>0</v>
      </c>
      <c r="Q35" s="11"/>
      <c r="R35" s="36" t="s">
        <v>18</v>
      </c>
      <c r="S35" s="403"/>
      <c r="T35" s="36" t="s">
        <v>42</v>
      </c>
      <c r="U35" s="36" t="s">
        <v>17</v>
      </c>
      <c r="AB35" s="252"/>
    </row>
    <row r="36" spans="1:28" s="26" customFormat="1" hidden="1">
      <c r="A36" s="31" t="s">
        <v>519</v>
      </c>
      <c r="B36" s="31" t="s">
        <v>524</v>
      </c>
      <c r="C36" s="139" t="s">
        <v>523</v>
      </c>
      <c r="D36" s="137"/>
      <c r="E36" s="140"/>
      <c r="F36" s="137"/>
      <c r="G36" s="137"/>
      <c r="H36" s="137">
        <f>SUM(H10:H35)</f>
        <v>3175200000</v>
      </c>
      <c r="I36" s="141"/>
      <c r="J36" s="142"/>
      <c r="K36" s="137"/>
      <c r="L36" s="137"/>
      <c r="M36" s="137">
        <f>SUM(M10:M35)</f>
        <v>4411819850</v>
      </c>
      <c r="N36" s="137">
        <f>SUM(N10:N35)</f>
        <v>3175200000</v>
      </c>
      <c r="O36" s="137">
        <f>SUM(O10:O35)</f>
        <v>1236619850</v>
      </c>
      <c r="P36" s="137">
        <f>SUM(P10:P35)</f>
        <v>0</v>
      </c>
      <c r="Q36" s="137"/>
      <c r="R36" s="139"/>
      <c r="S36" s="139"/>
      <c r="T36" s="139"/>
      <c r="U36" s="139"/>
      <c r="AB36" s="252"/>
    </row>
    <row r="37" spans="1:28" hidden="1">
      <c r="A37" s="25" t="s">
        <v>521</v>
      </c>
      <c r="B37" s="25" t="s">
        <v>43</v>
      </c>
      <c r="C37" s="25" t="s">
        <v>278</v>
      </c>
      <c r="D37" s="20" t="s">
        <v>44</v>
      </c>
      <c r="E37" s="21">
        <v>36578</v>
      </c>
      <c r="F37" s="20">
        <v>18118</v>
      </c>
      <c r="G37" s="20">
        <v>30356</v>
      </c>
      <c r="H37" s="20">
        <v>550000000</v>
      </c>
      <c r="I37" s="22" t="s">
        <v>963</v>
      </c>
      <c r="J37" s="23">
        <v>37621</v>
      </c>
      <c r="K37" s="20"/>
      <c r="L37" s="20"/>
      <c r="M37" s="20">
        <v>0</v>
      </c>
      <c r="N37" s="20">
        <v>459960412</v>
      </c>
      <c r="O37" s="24">
        <f t="shared" ref="O37:O43" si="2">+M37-N37</f>
        <v>-459960412</v>
      </c>
      <c r="P37" s="20"/>
      <c r="Q37" s="20"/>
      <c r="R37" s="25" t="s">
        <v>45</v>
      </c>
      <c r="S37" s="401"/>
      <c r="T37" s="25" t="s">
        <v>46</v>
      </c>
      <c r="U37" s="25" t="s">
        <v>47</v>
      </c>
    </row>
    <row r="38" spans="1:28" hidden="1">
      <c r="A38" s="31" t="s">
        <v>521</v>
      </c>
      <c r="B38" s="31" t="s">
        <v>43</v>
      </c>
      <c r="C38" s="31" t="s">
        <v>278</v>
      </c>
      <c r="D38" s="11" t="s">
        <v>312</v>
      </c>
      <c r="E38" s="32"/>
      <c r="F38" s="11"/>
      <c r="G38" s="11"/>
      <c r="H38" s="11"/>
      <c r="I38" s="33"/>
      <c r="J38" s="34">
        <v>38198</v>
      </c>
      <c r="K38" s="11">
        <v>181180</v>
      </c>
      <c r="L38" s="11">
        <f>+M38/K38</f>
        <v>425.4270228502042</v>
      </c>
      <c r="M38" s="11">
        <v>77078868</v>
      </c>
      <c r="N38" s="11">
        <v>90039588</v>
      </c>
      <c r="O38" s="35">
        <f t="shared" si="2"/>
        <v>-12960720</v>
      </c>
      <c r="P38" s="11">
        <f>+SUM(H37:H38)-SUM(N37:N38)</f>
        <v>0</v>
      </c>
      <c r="Q38" s="11"/>
      <c r="R38" s="403" t="s">
        <v>891</v>
      </c>
      <c r="S38" s="403"/>
      <c r="T38" s="36" t="s">
        <v>9</v>
      </c>
      <c r="U38" s="36" t="s">
        <v>311</v>
      </c>
    </row>
    <row r="39" spans="1:28" s="26" customFormat="1" hidden="1">
      <c r="A39" s="31" t="s">
        <v>521</v>
      </c>
      <c r="B39" s="31" t="s">
        <v>262</v>
      </c>
      <c r="C39" s="31" t="s">
        <v>278</v>
      </c>
      <c r="D39" s="20" t="s">
        <v>48</v>
      </c>
      <c r="E39" s="21">
        <v>36605</v>
      </c>
      <c r="F39" s="20">
        <v>15000</v>
      </c>
      <c r="G39" s="20">
        <v>133333</v>
      </c>
      <c r="H39" s="20">
        <v>2000000000</v>
      </c>
      <c r="I39" s="22" t="s">
        <v>963</v>
      </c>
      <c r="J39" s="23">
        <v>37621</v>
      </c>
      <c r="K39" s="20"/>
      <c r="L39" s="20"/>
      <c r="M39" s="20">
        <v>0</v>
      </c>
      <c r="N39" s="20">
        <v>2000000000</v>
      </c>
      <c r="O39" s="24">
        <f t="shared" si="2"/>
        <v>-2000000000</v>
      </c>
      <c r="P39" s="20"/>
      <c r="Q39" s="20"/>
      <c r="R39" s="25" t="s">
        <v>45</v>
      </c>
      <c r="S39" s="401"/>
      <c r="T39" s="25" t="s">
        <v>46</v>
      </c>
      <c r="U39" s="25" t="s">
        <v>47</v>
      </c>
      <c r="AB39" s="252"/>
    </row>
    <row r="40" spans="1:28" s="26" customFormat="1" hidden="1">
      <c r="A40" s="31" t="s">
        <v>521</v>
      </c>
      <c r="B40" s="31" t="s">
        <v>262</v>
      </c>
      <c r="C40" s="31" t="s">
        <v>308</v>
      </c>
      <c r="D40" s="14" t="s">
        <v>48</v>
      </c>
      <c r="E40" s="27">
        <v>36718</v>
      </c>
      <c r="F40" s="14">
        <v>5000</v>
      </c>
      <c r="G40" s="14">
        <v>20000</v>
      </c>
      <c r="H40" s="14">
        <f>+F40*G40</f>
        <v>100000000</v>
      </c>
      <c r="I40" s="28" t="s">
        <v>969</v>
      </c>
      <c r="J40" s="29">
        <v>37621</v>
      </c>
      <c r="K40" s="14"/>
      <c r="L40" s="14"/>
      <c r="M40" s="14">
        <v>0</v>
      </c>
      <c r="N40" s="14">
        <v>100000000</v>
      </c>
      <c r="O40" s="30">
        <f t="shared" si="2"/>
        <v>-100000000</v>
      </c>
      <c r="P40" s="14"/>
      <c r="Q40" s="14"/>
      <c r="R40" s="31" t="s">
        <v>45</v>
      </c>
      <c r="S40" s="402"/>
      <c r="T40" s="31" t="s">
        <v>46</v>
      </c>
      <c r="U40" s="31" t="s">
        <v>47</v>
      </c>
      <c r="AB40" s="252"/>
    </row>
    <row r="41" spans="1:28" s="26" customFormat="1" hidden="1">
      <c r="A41" s="31" t="s">
        <v>521</v>
      </c>
      <c r="B41" s="31" t="s">
        <v>262</v>
      </c>
      <c r="C41" s="31" t="s">
        <v>308</v>
      </c>
      <c r="D41" s="11" t="s">
        <v>48</v>
      </c>
      <c r="E41" s="32">
        <v>36719</v>
      </c>
      <c r="F41" s="11">
        <v>2500</v>
      </c>
      <c r="G41" s="11">
        <v>20000</v>
      </c>
      <c r="H41" s="11">
        <f>+F41*G41</f>
        <v>50000000</v>
      </c>
      <c r="I41" s="33" t="s">
        <v>1000</v>
      </c>
      <c r="J41" s="34">
        <v>37621</v>
      </c>
      <c r="K41" s="11"/>
      <c r="L41" s="11"/>
      <c r="M41" s="11">
        <v>0</v>
      </c>
      <c r="N41" s="11">
        <v>50000000</v>
      </c>
      <c r="O41" s="35">
        <f t="shared" si="2"/>
        <v>-50000000</v>
      </c>
      <c r="P41" s="11">
        <f>+SUM(H39:H41)-SUM(N39:N41)</f>
        <v>0</v>
      </c>
      <c r="Q41" s="11"/>
      <c r="R41" s="36" t="s">
        <v>45</v>
      </c>
      <c r="S41" s="403"/>
      <c r="T41" s="36" t="s">
        <v>46</v>
      </c>
      <c r="U41" s="36" t="s">
        <v>47</v>
      </c>
      <c r="AB41" s="252"/>
    </row>
    <row r="42" spans="1:28" hidden="1">
      <c r="A42" s="31" t="s">
        <v>521</v>
      </c>
      <c r="B42" s="31" t="s">
        <v>262</v>
      </c>
      <c r="C42" s="31" t="s">
        <v>308</v>
      </c>
      <c r="D42" s="20" t="s">
        <v>49</v>
      </c>
      <c r="E42" s="21">
        <v>36602</v>
      </c>
      <c r="F42" s="20">
        <v>10000</v>
      </c>
      <c r="G42" s="20">
        <v>20000</v>
      </c>
      <c r="H42" s="20">
        <f>+F42*G42</f>
        <v>200000000</v>
      </c>
      <c r="I42" s="22" t="s">
        <v>969</v>
      </c>
      <c r="J42" s="23">
        <v>37621</v>
      </c>
      <c r="K42" s="20"/>
      <c r="L42" s="20"/>
      <c r="M42" s="20">
        <v>0</v>
      </c>
      <c r="N42" s="20">
        <v>190184107</v>
      </c>
      <c r="O42" s="24">
        <f t="shared" si="2"/>
        <v>-190184107</v>
      </c>
      <c r="P42" s="20">
        <f>+H42-SUM(N42:N43)</f>
        <v>0</v>
      </c>
      <c r="Q42" s="20"/>
      <c r="R42" s="401" t="s">
        <v>29</v>
      </c>
      <c r="S42" s="401"/>
      <c r="T42" s="401" t="s">
        <v>46</v>
      </c>
      <c r="U42" s="406" t="s">
        <v>50</v>
      </c>
    </row>
    <row r="43" spans="1:28" hidden="1">
      <c r="A43" s="402" t="s">
        <v>521</v>
      </c>
      <c r="B43" s="402" t="s">
        <v>262</v>
      </c>
      <c r="C43" s="402" t="s">
        <v>308</v>
      </c>
      <c r="D43" s="11" t="s">
        <v>49</v>
      </c>
      <c r="E43" s="32"/>
      <c r="F43" s="11"/>
      <c r="G43" s="11"/>
      <c r="H43" s="11"/>
      <c r="I43" s="33"/>
      <c r="J43" s="34">
        <v>37986</v>
      </c>
      <c r="K43" s="11"/>
      <c r="L43" s="11"/>
      <c r="M43" s="11">
        <v>0</v>
      </c>
      <c r="N43" s="11">
        <v>9815893</v>
      </c>
      <c r="O43" s="35">
        <f t="shared" si="2"/>
        <v>-9815893</v>
      </c>
      <c r="P43" s="11"/>
      <c r="Q43" s="11"/>
      <c r="R43" s="403" t="s">
        <v>975</v>
      </c>
      <c r="S43" s="403"/>
      <c r="T43" s="403" t="s">
        <v>9</v>
      </c>
      <c r="U43" s="408" t="s">
        <v>50</v>
      </c>
    </row>
    <row r="44" spans="1:28" hidden="1">
      <c r="A44" s="31" t="s">
        <v>521</v>
      </c>
      <c r="B44" s="31" t="s">
        <v>262</v>
      </c>
      <c r="C44" s="31" t="s">
        <v>280</v>
      </c>
      <c r="D44" s="15" t="s">
        <v>51</v>
      </c>
      <c r="E44" s="16">
        <v>36675</v>
      </c>
      <c r="F44" s="15">
        <v>8000</v>
      </c>
      <c r="G44" s="15">
        <v>12500</v>
      </c>
      <c r="H44" s="15">
        <f>+F44*G44</f>
        <v>100000000</v>
      </c>
      <c r="I44" s="17" t="s">
        <v>969</v>
      </c>
      <c r="J44" s="18">
        <v>36763</v>
      </c>
      <c r="K44" s="15">
        <v>8000</v>
      </c>
      <c r="L44" s="15">
        <v>13103.75</v>
      </c>
      <c r="M44" s="15">
        <f>+K44*L44</f>
        <v>104830000</v>
      </c>
      <c r="N44" s="15">
        <f>+H44</f>
        <v>100000000</v>
      </c>
      <c r="O44" s="37">
        <f>+M44-N44</f>
        <v>4830000</v>
      </c>
      <c r="P44" s="15">
        <f>+H44-N44</f>
        <v>0</v>
      </c>
      <c r="Q44" s="15"/>
      <c r="R44" s="19" t="s">
        <v>39</v>
      </c>
      <c r="S44" s="405"/>
      <c r="T44" s="19" t="s">
        <v>46</v>
      </c>
      <c r="U44" s="19" t="s">
        <v>47</v>
      </c>
    </row>
    <row r="45" spans="1:28" hidden="1">
      <c r="A45" s="31" t="s">
        <v>521</v>
      </c>
      <c r="B45" s="31" t="s">
        <v>262</v>
      </c>
      <c r="C45" s="31" t="s">
        <v>308</v>
      </c>
      <c r="D45" s="15" t="s">
        <v>52</v>
      </c>
      <c r="E45" s="16">
        <v>36607</v>
      </c>
      <c r="F45" s="15"/>
      <c r="G45" s="15"/>
      <c r="H45" s="15">
        <v>300000000</v>
      </c>
      <c r="I45" s="17" t="s">
        <v>82</v>
      </c>
      <c r="J45" s="18">
        <v>37337</v>
      </c>
      <c r="K45" s="15"/>
      <c r="L45" s="15"/>
      <c r="M45" s="15">
        <f>300000000+30750000</f>
        <v>330750000</v>
      </c>
      <c r="N45" s="15">
        <v>300000000</v>
      </c>
      <c r="O45" s="37">
        <f>+M45-N45</f>
        <v>30750000</v>
      </c>
      <c r="P45" s="15">
        <f>+H45-N45</f>
        <v>0</v>
      </c>
      <c r="Q45" s="15"/>
      <c r="R45" s="19" t="s">
        <v>39</v>
      </c>
      <c r="S45" s="405"/>
      <c r="T45" s="19" t="s">
        <v>46</v>
      </c>
      <c r="U45" s="19" t="s">
        <v>53</v>
      </c>
    </row>
    <row r="46" spans="1:28" s="410" customFormat="1" hidden="1">
      <c r="A46" s="282" t="s">
        <v>893</v>
      </c>
      <c r="B46" s="282" t="s">
        <v>262</v>
      </c>
      <c r="C46" s="282" t="s">
        <v>850</v>
      </c>
      <c r="D46" s="56" t="s">
        <v>901</v>
      </c>
      <c r="E46" s="57">
        <v>37935</v>
      </c>
      <c r="F46" s="56">
        <v>6</v>
      </c>
      <c r="G46" s="56">
        <v>3100</v>
      </c>
      <c r="H46" s="56">
        <f>+F46*G46</f>
        <v>18600</v>
      </c>
      <c r="I46" s="58" t="s">
        <v>852</v>
      </c>
      <c r="J46" s="59">
        <v>37973</v>
      </c>
      <c r="K46" s="56">
        <v>6</v>
      </c>
      <c r="L46" s="56">
        <v>3068</v>
      </c>
      <c r="M46" s="56">
        <f>+N46-195</f>
        <v>18405</v>
      </c>
      <c r="N46" s="56">
        <v>18600</v>
      </c>
      <c r="O46" s="415">
        <f>+M46-N46</f>
        <v>-195</v>
      </c>
      <c r="P46" s="56">
        <f>+H46-N46</f>
        <v>0</v>
      </c>
      <c r="Q46" s="56"/>
      <c r="R46" s="61" t="s">
        <v>845</v>
      </c>
      <c r="S46" s="61"/>
      <c r="T46" s="61" t="s">
        <v>846</v>
      </c>
      <c r="U46" s="61" t="s">
        <v>847</v>
      </c>
      <c r="AB46" s="586"/>
    </row>
    <row r="47" spans="1:28" s="410" customFormat="1" hidden="1">
      <c r="A47" s="282" t="s">
        <v>893</v>
      </c>
      <c r="B47" s="282" t="s">
        <v>262</v>
      </c>
      <c r="C47" s="282" t="s">
        <v>850</v>
      </c>
      <c r="D47" s="73" t="s">
        <v>902</v>
      </c>
      <c r="E47" s="413">
        <v>37935</v>
      </c>
      <c r="F47" s="73">
        <v>26</v>
      </c>
      <c r="G47" s="73">
        <v>2800</v>
      </c>
      <c r="H47" s="73">
        <f>+F47*G47</f>
        <v>72800</v>
      </c>
      <c r="I47" s="75" t="s">
        <v>852</v>
      </c>
      <c r="J47" s="416">
        <v>37973</v>
      </c>
      <c r="K47" s="73">
        <v>26</v>
      </c>
      <c r="L47" s="73">
        <v>4900</v>
      </c>
      <c r="M47" s="73">
        <f>72800+54600</f>
        <v>127400</v>
      </c>
      <c r="N47" s="73">
        <v>72800</v>
      </c>
      <c r="O47" s="303">
        <f>+M47-N47</f>
        <v>54600</v>
      </c>
      <c r="P47" s="73">
        <f>+H47-N47</f>
        <v>0</v>
      </c>
      <c r="Q47" s="73"/>
      <c r="R47" s="409" t="s">
        <v>845</v>
      </c>
      <c r="S47" s="409"/>
      <c r="T47" s="409" t="s">
        <v>846</v>
      </c>
      <c r="U47" s="409" t="s">
        <v>847</v>
      </c>
      <c r="AB47" s="586"/>
    </row>
    <row r="48" spans="1:28" s="411" customFormat="1" hidden="1">
      <c r="A48" s="282" t="s">
        <v>893</v>
      </c>
      <c r="B48" s="282" t="s">
        <v>262</v>
      </c>
      <c r="C48" s="412" t="s">
        <v>850</v>
      </c>
      <c r="D48" s="56" t="s">
        <v>898</v>
      </c>
      <c r="E48" s="57">
        <v>37928</v>
      </c>
      <c r="F48" s="56">
        <v>28</v>
      </c>
      <c r="G48" s="56">
        <v>14000</v>
      </c>
      <c r="H48" s="56">
        <f>+F48*G48</f>
        <v>392000</v>
      </c>
      <c r="I48" s="61" t="s">
        <v>852</v>
      </c>
      <c r="J48" s="57">
        <v>38198</v>
      </c>
      <c r="K48" s="56">
        <v>28</v>
      </c>
      <c r="L48" s="56">
        <v>4580</v>
      </c>
      <c r="M48" s="56">
        <v>128240</v>
      </c>
      <c r="N48" s="56">
        <v>392000</v>
      </c>
      <c r="O48" s="415">
        <f>+M48-N48</f>
        <v>-263760</v>
      </c>
      <c r="P48" s="56">
        <f>+H48-N48</f>
        <v>0</v>
      </c>
      <c r="Q48" s="56"/>
      <c r="R48" s="61" t="s">
        <v>845</v>
      </c>
      <c r="S48" s="61"/>
      <c r="T48" s="61" t="s">
        <v>846</v>
      </c>
      <c r="U48" s="61" t="s">
        <v>847</v>
      </c>
      <c r="AB48" s="587"/>
    </row>
    <row r="49" spans="1:28" s="26" customFormat="1" hidden="1">
      <c r="A49" s="36" t="s">
        <v>521</v>
      </c>
      <c r="B49" s="36" t="s">
        <v>525</v>
      </c>
      <c r="C49" s="132" t="s">
        <v>523</v>
      </c>
      <c r="D49" s="147"/>
      <c r="E49" s="208"/>
      <c r="F49" s="147"/>
      <c r="G49" s="147"/>
      <c r="H49" s="147">
        <f>SUM(H37:H48)</f>
        <v>3300483400</v>
      </c>
      <c r="I49" s="209"/>
      <c r="J49" s="150"/>
      <c r="K49" s="147"/>
      <c r="L49" s="147"/>
      <c r="M49" s="147">
        <f>SUM(M37:M48)</f>
        <v>512932913</v>
      </c>
      <c r="N49" s="147">
        <f>SUM(N37:N48)</f>
        <v>3300483400</v>
      </c>
      <c r="O49" s="147">
        <f>SUM(O37:O48)</f>
        <v>-2787550487</v>
      </c>
      <c r="P49" s="147">
        <f>SUM(P37:P48)</f>
        <v>0</v>
      </c>
      <c r="Q49" s="133"/>
      <c r="R49" s="138"/>
      <c r="S49" s="138"/>
      <c r="T49" s="138"/>
      <c r="U49" s="138"/>
      <c r="AB49" s="252"/>
    </row>
    <row r="50" spans="1:28" s="939" customFormat="1">
      <c r="A50" s="138" t="s">
        <v>871</v>
      </c>
      <c r="B50" s="935" t="s">
        <v>906</v>
      </c>
      <c r="C50" s="935" t="s">
        <v>873</v>
      </c>
      <c r="D50" s="936" t="s">
        <v>907</v>
      </c>
      <c r="E50" s="937">
        <v>36523</v>
      </c>
      <c r="F50" s="133">
        <v>20000</v>
      </c>
      <c r="G50" s="133">
        <v>5000</v>
      </c>
      <c r="H50" s="133">
        <f t="shared" ref="H50:H61" si="3">+F50*G50</f>
        <v>100000000</v>
      </c>
      <c r="I50" s="135" t="s">
        <v>908</v>
      </c>
      <c r="J50" s="143">
        <v>36587</v>
      </c>
      <c r="K50" s="133">
        <v>242783</v>
      </c>
      <c r="L50" s="133">
        <v>5300</v>
      </c>
      <c r="M50" s="133">
        <f>+K50*L50</f>
        <v>1286749900</v>
      </c>
      <c r="N50" s="133">
        <f>+K50*5000</f>
        <v>1213915000</v>
      </c>
      <c r="O50" s="938">
        <f>+M50-N50</f>
        <v>72834900</v>
      </c>
      <c r="P50" s="133"/>
      <c r="Q50" s="133"/>
      <c r="R50" s="138" t="s">
        <v>884</v>
      </c>
      <c r="S50" s="138"/>
      <c r="T50" s="138" t="s">
        <v>881</v>
      </c>
      <c r="U50" s="138" t="s">
        <v>878</v>
      </c>
      <c r="W50" s="936" t="s">
        <v>56</v>
      </c>
      <c r="X50" s="937">
        <v>36523</v>
      </c>
      <c r="Y50" s="133">
        <v>20000</v>
      </c>
      <c r="Z50" s="133">
        <v>-5000</v>
      </c>
      <c r="AA50" s="133">
        <f t="shared" ref="AA50:AA55" si="4">+Y50*Z50</f>
        <v>-100000000</v>
      </c>
      <c r="AB50" s="940"/>
    </row>
    <row r="51" spans="1:28" s="939" customFormat="1">
      <c r="A51" s="139" t="s">
        <v>871</v>
      </c>
      <c r="B51" s="146" t="s">
        <v>263</v>
      </c>
      <c r="C51" s="146" t="s">
        <v>873</v>
      </c>
      <c r="D51" s="941" t="s">
        <v>907</v>
      </c>
      <c r="E51" s="942">
        <v>36523</v>
      </c>
      <c r="F51" s="137">
        <v>30000</v>
      </c>
      <c r="G51" s="137">
        <v>5000</v>
      </c>
      <c r="H51" s="137">
        <f t="shared" si="3"/>
        <v>150000000</v>
      </c>
      <c r="I51" s="141" t="s">
        <v>908</v>
      </c>
      <c r="J51" s="145">
        <v>36587</v>
      </c>
      <c r="K51" s="137">
        <v>107217</v>
      </c>
      <c r="L51" s="137">
        <v>5300</v>
      </c>
      <c r="M51" s="137">
        <f>+K51*L51</f>
        <v>568250100</v>
      </c>
      <c r="N51" s="137">
        <f>+K51*5000</f>
        <v>536085000</v>
      </c>
      <c r="O51" s="943">
        <f>+M51-N51</f>
        <v>32165100</v>
      </c>
      <c r="P51" s="137"/>
      <c r="Q51" s="137"/>
      <c r="R51" s="139" t="s">
        <v>884</v>
      </c>
      <c r="S51" s="139"/>
      <c r="T51" s="139" t="s">
        <v>881</v>
      </c>
      <c r="U51" s="139" t="s">
        <v>19</v>
      </c>
      <c r="W51" s="941" t="s">
        <v>56</v>
      </c>
      <c r="X51" s="942">
        <v>36523</v>
      </c>
      <c r="Y51" s="137">
        <v>30000</v>
      </c>
      <c r="Z51" s="133">
        <v>-5000</v>
      </c>
      <c r="AA51" s="137">
        <f t="shared" si="4"/>
        <v>-150000000</v>
      </c>
      <c r="AB51" s="940"/>
    </row>
    <row r="52" spans="1:28" s="945" customFormat="1">
      <c r="A52" s="139" t="s">
        <v>871</v>
      </c>
      <c r="B52" s="146" t="s">
        <v>263</v>
      </c>
      <c r="C52" s="146" t="s">
        <v>873</v>
      </c>
      <c r="D52" s="941" t="s">
        <v>56</v>
      </c>
      <c r="E52" s="942">
        <v>36523</v>
      </c>
      <c r="F52" s="137">
        <v>30000</v>
      </c>
      <c r="G52" s="137">
        <v>5000</v>
      </c>
      <c r="H52" s="137">
        <f t="shared" si="3"/>
        <v>150000000</v>
      </c>
      <c r="I52" s="141" t="s">
        <v>908</v>
      </c>
      <c r="J52" s="145">
        <v>37621</v>
      </c>
      <c r="K52" s="137"/>
      <c r="L52" s="137"/>
      <c r="M52" s="137">
        <v>0</v>
      </c>
      <c r="N52" s="137">
        <v>106903140</v>
      </c>
      <c r="O52" s="943">
        <f>+M52-N52</f>
        <v>-106903140</v>
      </c>
      <c r="P52" s="137"/>
      <c r="Q52" s="137"/>
      <c r="R52" s="139" t="s">
        <v>876</v>
      </c>
      <c r="S52" s="139"/>
      <c r="T52" s="139" t="s">
        <v>881</v>
      </c>
      <c r="U52" s="139" t="s">
        <v>19</v>
      </c>
      <c r="V52" s="939"/>
      <c r="W52" s="941" t="s">
        <v>56</v>
      </c>
      <c r="X52" s="942">
        <v>36523</v>
      </c>
      <c r="Y52" s="137">
        <v>30000</v>
      </c>
      <c r="Z52" s="133">
        <v>-5000</v>
      </c>
      <c r="AA52" s="137">
        <f t="shared" si="4"/>
        <v>-150000000</v>
      </c>
      <c r="AB52" s="944"/>
    </row>
    <row r="53" spans="1:28" s="945" customFormat="1">
      <c r="A53" s="139" t="s">
        <v>871</v>
      </c>
      <c r="B53" s="146" t="s">
        <v>263</v>
      </c>
      <c r="C53" s="146" t="s">
        <v>873</v>
      </c>
      <c r="D53" s="941" t="s">
        <v>907</v>
      </c>
      <c r="E53" s="942">
        <v>36523</v>
      </c>
      <c r="F53" s="137">
        <v>30000</v>
      </c>
      <c r="G53" s="137">
        <v>5000</v>
      </c>
      <c r="H53" s="137">
        <f t="shared" si="3"/>
        <v>150000000</v>
      </c>
      <c r="I53" s="141" t="s">
        <v>908</v>
      </c>
      <c r="J53" s="145">
        <v>38352</v>
      </c>
      <c r="K53" s="137"/>
      <c r="L53" s="137"/>
      <c r="M53" s="137">
        <v>0</v>
      </c>
      <c r="N53" s="137">
        <v>43096860</v>
      </c>
      <c r="O53" s="943">
        <f>+M53-N53</f>
        <v>-43096860</v>
      </c>
      <c r="P53" s="137"/>
      <c r="Q53" s="137"/>
      <c r="R53" s="139" t="s">
        <v>876</v>
      </c>
      <c r="S53" s="139"/>
      <c r="T53" s="139" t="s">
        <v>881</v>
      </c>
      <c r="U53" s="139" t="s">
        <v>19</v>
      </c>
      <c r="V53" s="939"/>
      <c r="W53" s="941" t="s">
        <v>56</v>
      </c>
      <c r="X53" s="942">
        <v>36523</v>
      </c>
      <c r="Y53" s="137">
        <v>30000</v>
      </c>
      <c r="Z53" s="133">
        <v>-5000</v>
      </c>
      <c r="AA53" s="137">
        <f t="shared" si="4"/>
        <v>-150000000</v>
      </c>
      <c r="AB53" s="944"/>
    </row>
    <row r="54" spans="1:28" s="939" customFormat="1">
      <c r="A54" s="139" t="s">
        <v>871</v>
      </c>
      <c r="B54" s="146" t="s">
        <v>263</v>
      </c>
      <c r="C54" s="146" t="s">
        <v>873</v>
      </c>
      <c r="D54" s="941" t="s">
        <v>907</v>
      </c>
      <c r="E54" s="942">
        <v>36523</v>
      </c>
      <c r="F54" s="137">
        <v>200000</v>
      </c>
      <c r="G54" s="137">
        <v>5000</v>
      </c>
      <c r="H54" s="137">
        <f t="shared" si="3"/>
        <v>1000000000</v>
      </c>
      <c r="I54" s="141" t="s">
        <v>908</v>
      </c>
      <c r="J54" s="145"/>
      <c r="K54" s="137"/>
      <c r="L54" s="137"/>
      <c r="M54" s="137">
        <f>+K54*L54</f>
        <v>0</v>
      </c>
      <c r="N54" s="137"/>
      <c r="O54" s="943"/>
      <c r="P54" s="137"/>
      <c r="Q54" s="137"/>
      <c r="R54" s="139" t="s">
        <v>876</v>
      </c>
      <c r="S54" s="139"/>
      <c r="T54" s="139" t="s">
        <v>881</v>
      </c>
      <c r="U54" s="139" t="s">
        <v>19</v>
      </c>
      <c r="W54" s="941" t="s">
        <v>56</v>
      </c>
      <c r="X54" s="942">
        <v>36523</v>
      </c>
      <c r="Y54" s="137">
        <v>200000</v>
      </c>
      <c r="Z54" s="133">
        <v>-5000</v>
      </c>
      <c r="AA54" s="137">
        <f t="shared" si="4"/>
        <v>-1000000000</v>
      </c>
      <c r="AB54" s="940"/>
    </row>
    <row r="55" spans="1:28" s="939" customFormat="1">
      <c r="A55" s="139" t="s">
        <v>871</v>
      </c>
      <c r="B55" s="146" t="s">
        <v>263</v>
      </c>
      <c r="C55" s="146" t="s">
        <v>873</v>
      </c>
      <c r="D55" s="946" t="s">
        <v>907</v>
      </c>
      <c r="E55" s="947">
        <v>36523</v>
      </c>
      <c r="F55" s="154">
        <v>70000</v>
      </c>
      <c r="G55" s="154">
        <v>5000</v>
      </c>
      <c r="H55" s="154">
        <f t="shared" si="3"/>
        <v>350000000</v>
      </c>
      <c r="I55" s="155" t="s">
        <v>908</v>
      </c>
      <c r="J55" s="156"/>
      <c r="K55" s="154"/>
      <c r="L55" s="154"/>
      <c r="M55" s="154">
        <f>+K55*L55</f>
        <v>0</v>
      </c>
      <c r="N55" s="154"/>
      <c r="O55" s="948"/>
      <c r="P55" s="154">
        <f>+SUM(H50:H55)-SUM(N50:N55)</f>
        <v>0</v>
      </c>
      <c r="Q55" s="154"/>
      <c r="R55" s="132" t="s">
        <v>876</v>
      </c>
      <c r="S55" s="132"/>
      <c r="T55" s="132" t="s">
        <v>881</v>
      </c>
      <c r="U55" s="132" t="s">
        <v>19</v>
      </c>
      <c r="W55" s="946" t="s">
        <v>56</v>
      </c>
      <c r="X55" s="947">
        <v>36523</v>
      </c>
      <c r="Y55" s="154">
        <v>70000</v>
      </c>
      <c r="Z55" s="133">
        <v>-5000</v>
      </c>
      <c r="AA55" s="154">
        <f t="shared" si="4"/>
        <v>-350000000</v>
      </c>
      <c r="AB55" s="940"/>
    </row>
    <row r="56" spans="1:28">
      <c r="A56" s="402" t="s">
        <v>871</v>
      </c>
      <c r="B56" s="53" t="s">
        <v>263</v>
      </c>
      <c r="C56" s="53" t="s">
        <v>873</v>
      </c>
      <c r="D56" s="15" t="s">
        <v>909</v>
      </c>
      <c r="E56" s="42">
        <v>36530</v>
      </c>
      <c r="F56" s="15">
        <v>11000</v>
      </c>
      <c r="G56" s="15">
        <v>10000</v>
      </c>
      <c r="H56" s="15">
        <f t="shared" si="3"/>
        <v>110000000</v>
      </c>
      <c r="I56" s="17" t="s">
        <v>908</v>
      </c>
      <c r="J56" s="43">
        <v>37621</v>
      </c>
      <c r="K56" s="15"/>
      <c r="L56" s="15"/>
      <c r="M56" s="15">
        <v>0</v>
      </c>
      <c r="N56" s="15">
        <v>110000000</v>
      </c>
      <c r="O56" s="15">
        <f t="shared" ref="O56:O69" si="5">+M56-N56</f>
        <v>-110000000</v>
      </c>
      <c r="P56" s="15">
        <f>+H56-N56</f>
        <v>0</v>
      </c>
      <c r="Q56" s="15"/>
      <c r="R56" s="405" t="s">
        <v>876</v>
      </c>
      <c r="S56" s="405"/>
      <c r="T56" s="405" t="s">
        <v>881</v>
      </c>
      <c r="U56" s="405" t="s">
        <v>878</v>
      </c>
      <c r="X56" s="38">
        <v>36587</v>
      </c>
      <c r="Y56" s="20">
        <v>242783</v>
      </c>
      <c r="Z56" s="20">
        <v>5300</v>
      </c>
      <c r="AA56" s="20">
        <f t="shared" ref="AA56:AA61" si="6">+Y56*Z56</f>
        <v>1286749900</v>
      </c>
    </row>
    <row r="57" spans="1:28">
      <c r="A57" s="402" t="s">
        <v>871</v>
      </c>
      <c r="B57" s="53" t="s">
        <v>263</v>
      </c>
      <c r="C57" s="53" t="s">
        <v>879</v>
      </c>
      <c r="D57" s="15" t="s">
        <v>910</v>
      </c>
      <c r="E57" s="42">
        <v>36538</v>
      </c>
      <c r="F57" s="15">
        <v>50000</v>
      </c>
      <c r="G57" s="15">
        <v>5000</v>
      </c>
      <c r="H57" s="15">
        <f t="shared" si="3"/>
        <v>250000000</v>
      </c>
      <c r="I57" s="17" t="s">
        <v>908</v>
      </c>
      <c r="J57" s="43">
        <v>36748</v>
      </c>
      <c r="K57" s="15">
        <v>50000</v>
      </c>
      <c r="L57" s="15">
        <v>5500</v>
      </c>
      <c r="M57" s="15">
        <f>+K57*L57</f>
        <v>275000000</v>
      </c>
      <c r="N57" s="15">
        <f>+K57*5000</f>
        <v>250000000</v>
      </c>
      <c r="O57" s="15">
        <f t="shared" si="5"/>
        <v>25000000</v>
      </c>
      <c r="P57" s="15">
        <f>+H57-N57</f>
        <v>0</v>
      </c>
      <c r="Q57" s="15"/>
      <c r="R57" s="405" t="s">
        <v>884</v>
      </c>
      <c r="S57" s="405"/>
      <c r="T57" s="405" t="s">
        <v>881</v>
      </c>
      <c r="U57" s="405" t="s">
        <v>878</v>
      </c>
      <c r="X57" s="40">
        <v>36587</v>
      </c>
      <c r="Y57" s="14">
        <v>107217</v>
      </c>
      <c r="Z57" s="14">
        <v>5300</v>
      </c>
      <c r="AA57" s="14">
        <f t="shared" si="6"/>
        <v>568250100</v>
      </c>
      <c r="AB57" s="251">
        <f>+XIRR(AA50:AA57,X50:X57)</f>
        <v>-0.12776752524077895</v>
      </c>
    </row>
    <row r="58" spans="1:28">
      <c r="A58" s="402" t="s">
        <v>871</v>
      </c>
      <c r="B58" s="53" t="s">
        <v>263</v>
      </c>
      <c r="C58" s="53" t="s">
        <v>879</v>
      </c>
      <c r="D58" s="20" t="s">
        <v>911</v>
      </c>
      <c r="E58" s="44">
        <v>36552</v>
      </c>
      <c r="F58" s="20">
        <v>6650</v>
      </c>
      <c r="G58" s="20">
        <v>75000</v>
      </c>
      <c r="H58" s="20">
        <f t="shared" si="3"/>
        <v>498750000</v>
      </c>
      <c r="I58" s="22" t="s">
        <v>908</v>
      </c>
      <c r="J58" s="38">
        <v>37621</v>
      </c>
      <c r="K58" s="20"/>
      <c r="L58" s="20"/>
      <c r="M58" s="20">
        <v>0</v>
      </c>
      <c r="N58" s="20">
        <v>462988695</v>
      </c>
      <c r="O58" s="24">
        <f t="shared" si="5"/>
        <v>-462988695</v>
      </c>
      <c r="P58" s="20"/>
      <c r="Q58" s="20"/>
      <c r="R58" s="401" t="s">
        <v>876</v>
      </c>
      <c r="S58" s="401"/>
      <c r="T58" s="401" t="s">
        <v>877</v>
      </c>
      <c r="U58" s="401" t="s">
        <v>886</v>
      </c>
      <c r="W58" s="15" t="s">
        <v>910</v>
      </c>
      <c r="X58" s="42">
        <v>36538</v>
      </c>
      <c r="Y58" s="15">
        <v>50000</v>
      </c>
      <c r="Z58" s="15">
        <v>-5000</v>
      </c>
      <c r="AA58" s="15">
        <f t="shared" si="6"/>
        <v>-250000000</v>
      </c>
    </row>
    <row r="59" spans="1:28" s="26" customFormat="1">
      <c r="A59" s="402" t="s">
        <v>871</v>
      </c>
      <c r="B59" s="53" t="s">
        <v>263</v>
      </c>
      <c r="C59" s="53" t="s">
        <v>879</v>
      </c>
      <c r="D59" s="14" t="s">
        <v>911</v>
      </c>
      <c r="E59" s="45">
        <v>36950</v>
      </c>
      <c r="F59" s="14">
        <v>66500</v>
      </c>
      <c r="G59" s="14">
        <v>500</v>
      </c>
      <c r="H59" s="14">
        <f t="shared" si="3"/>
        <v>33250000</v>
      </c>
      <c r="I59" s="28" t="s">
        <v>908</v>
      </c>
      <c r="J59" s="40">
        <v>38352</v>
      </c>
      <c r="K59" s="14"/>
      <c r="L59" s="14"/>
      <c r="M59" s="14">
        <v>0</v>
      </c>
      <c r="N59" s="14">
        <v>47585737</v>
      </c>
      <c r="O59" s="30">
        <f t="shared" si="5"/>
        <v>-47585737</v>
      </c>
      <c r="P59" s="14"/>
      <c r="Q59" s="14"/>
      <c r="R59" s="402" t="s">
        <v>876</v>
      </c>
      <c r="S59" s="402"/>
      <c r="T59" s="402" t="s">
        <v>877</v>
      </c>
      <c r="U59" s="402" t="s">
        <v>886</v>
      </c>
      <c r="X59" s="43">
        <v>36748</v>
      </c>
      <c r="Y59" s="15">
        <v>50000</v>
      </c>
      <c r="Z59" s="15">
        <v>5500</v>
      </c>
      <c r="AA59" s="15">
        <f t="shared" si="6"/>
        <v>275000000</v>
      </c>
      <c r="AB59" s="252">
        <f>+XIRR(AA58:AA59,X58:X59)</f>
        <v>0.18016961216926577</v>
      </c>
    </row>
    <row r="60" spans="1:28" s="26" customFormat="1">
      <c r="A60" s="402" t="s">
        <v>871</v>
      </c>
      <c r="B60" s="53" t="s">
        <v>263</v>
      </c>
      <c r="C60" s="53" t="s">
        <v>879</v>
      </c>
      <c r="D60" s="11" t="s">
        <v>911</v>
      </c>
      <c r="E60" s="45"/>
      <c r="F60" s="14"/>
      <c r="G60" s="14"/>
      <c r="H60" s="14"/>
      <c r="I60" s="28"/>
      <c r="J60" s="40">
        <v>38717</v>
      </c>
      <c r="K60" s="14">
        <v>44333</v>
      </c>
      <c r="L60" s="14"/>
      <c r="M60" s="14">
        <v>9975100</v>
      </c>
      <c r="N60" s="14">
        <v>21425568</v>
      </c>
      <c r="O60" s="30">
        <f t="shared" si="5"/>
        <v>-11450468</v>
      </c>
      <c r="P60" s="14">
        <f>+SUM(H58:H60)-SUM(N58:N60)</f>
        <v>0</v>
      </c>
      <c r="Q60" s="14"/>
      <c r="R60" s="402" t="s">
        <v>912</v>
      </c>
      <c r="S60" s="402"/>
      <c r="T60" s="402" t="s">
        <v>877</v>
      </c>
      <c r="U60" s="402" t="s">
        <v>886</v>
      </c>
      <c r="W60" s="20" t="s">
        <v>65</v>
      </c>
      <c r="X60" s="44">
        <v>36552</v>
      </c>
      <c r="Y60" s="20">
        <v>6650</v>
      </c>
      <c r="Z60" s="20">
        <v>-75000</v>
      </c>
      <c r="AA60" s="20">
        <f t="shared" si="6"/>
        <v>-498750000</v>
      </c>
      <c r="AB60" s="252"/>
    </row>
    <row r="61" spans="1:28">
      <c r="A61" s="402" t="s">
        <v>871</v>
      </c>
      <c r="B61" s="53" t="s">
        <v>263</v>
      </c>
      <c r="C61" s="53" t="s">
        <v>879</v>
      </c>
      <c r="D61" s="20" t="s">
        <v>913</v>
      </c>
      <c r="E61" s="44">
        <v>36570</v>
      </c>
      <c r="F61" s="20">
        <v>1000</v>
      </c>
      <c r="G61" s="20">
        <v>200000</v>
      </c>
      <c r="H61" s="20">
        <f t="shared" si="3"/>
        <v>200000000</v>
      </c>
      <c r="I61" s="22" t="s">
        <v>908</v>
      </c>
      <c r="J61" s="38">
        <v>36783</v>
      </c>
      <c r="K61" s="20">
        <v>7500</v>
      </c>
      <c r="L61" s="20">
        <v>25000</v>
      </c>
      <c r="M61" s="20">
        <f>+K61*L61</f>
        <v>187500000</v>
      </c>
      <c r="N61" s="20">
        <f>+M61-93750000</f>
        <v>93750000</v>
      </c>
      <c r="O61" s="24">
        <f t="shared" si="5"/>
        <v>93750000</v>
      </c>
      <c r="P61" s="20"/>
      <c r="Q61" s="20"/>
      <c r="R61" s="401" t="s">
        <v>884</v>
      </c>
      <c r="S61" s="401"/>
      <c r="T61" s="401" t="s">
        <v>877</v>
      </c>
      <c r="U61" s="401" t="s">
        <v>914</v>
      </c>
      <c r="W61" s="14" t="s">
        <v>65</v>
      </c>
      <c r="X61" s="45">
        <v>36950</v>
      </c>
      <c r="Y61" s="14">
        <v>66500</v>
      </c>
      <c r="Z61" s="14">
        <v>-500</v>
      </c>
      <c r="AA61" s="14">
        <f t="shared" si="6"/>
        <v>-33250000</v>
      </c>
    </row>
    <row r="62" spans="1:28">
      <c r="A62" s="402" t="s">
        <v>871</v>
      </c>
      <c r="B62" s="53" t="s">
        <v>263</v>
      </c>
      <c r="C62" s="53" t="s">
        <v>879</v>
      </c>
      <c r="D62" s="11" t="s">
        <v>913</v>
      </c>
      <c r="E62" s="46"/>
      <c r="F62" s="11"/>
      <c r="G62" s="11"/>
      <c r="H62" s="11"/>
      <c r="I62" s="33"/>
      <c r="J62" s="41">
        <v>37329</v>
      </c>
      <c r="K62" s="11">
        <v>85000</v>
      </c>
      <c r="L62" s="11">
        <v>2000</v>
      </c>
      <c r="M62" s="11">
        <f>+K62*L62</f>
        <v>170000000</v>
      </c>
      <c r="N62" s="11">
        <f>+M62-63750000</f>
        <v>106250000</v>
      </c>
      <c r="O62" s="35">
        <f t="shared" si="5"/>
        <v>63750000</v>
      </c>
      <c r="P62" s="11">
        <f>+SUM(H61:H62)-SUM(N61:N62)</f>
        <v>0</v>
      </c>
      <c r="Q62" s="11"/>
      <c r="R62" s="403" t="s">
        <v>884</v>
      </c>
      <c r="S62" s="403"/>
      <c r="T62" s="403" t="s">
        <v>877</v>
      </c>
      <c r="U62" s="403" t="s">
        <v>914</v>
      </c>
      <c r="X62" s="40">
        <v>38717</v>
      </c>
      <c r="Y62" s="14">
        <v>44333</v>
      </c>
      <c r="Z62" s="14"/>
      <c r="AA62" s="14">
        <v>9975100</v>
      </c>
      <c r="AB62" s="252">
        <f>+XIRR(AA60:AA62,X60:X62)</f>
        <v>-0.49421774875372648</v>
      </c>
    </row>
    <row r="63" spans="1:28">
      <c r="A63" s="402" t="s">
        <v>871</v>
      </c>
      <c r="B63" s="53" t="s">
        <v>263</v>
      </c>
      <c r="C63" s="53" t="s">
        <v>879</v>
      </c>
      <c r="D63" s="20" t="s">
        <v>915</v>
      </c>
      <c r="E63" s="44">
        <v>36592</v>
      </c>
      <c r="F63" s="20">
        <v>15000</v>
      </c>
      <c r="G63" s="20">
        <v>20000</v>
      </c>
      <c r="H63" s="20">
        <f>+F63*G63</f>
        <v>300000000</v>
      </c>
      <c r="I63" s="22" t="s">
        <v>908</v>
      </c>
      <c r="J63" s="38">
        <v>37621</v>
      </c>
      <c r="K63" s="20"/>
      <c r="L63" s="20"/>
      <c r="M63" s="20">
        <v>0</v>
      </c>
      <c r="N63" s="20">
        <v>285276161</v>
      </c>
      <c r="O63" s="24">
        <f t="shared" si="5"/>
        <v>-285276161</v>
      </c>
      <c r="P63" s="20"/>
      <c r="Q63" s="20"/>
      <c r="R63" s="401" t="s">
        <v>876</v>
      </c>
      <c r="S63" s="401"/>
      <c r="T63" s="401" t="s">
        <v>881</v>
      </c>
      <c r="U63" s="401" t="s">
        <v>878</v>
      </c>
      <c r="W63" s="20" t="s">
        <v>913</v>
      </c>
      <c r="X63" s="44">
        <v>36570</v>
      </c>
      <c r="Y63" s="20">
        <v>1000</v>
      </c>
      <c r="Z63" s="20">
        <v>-200000</v>
      </c>
      <c r="AA63" s="20">
        <f>+Y63*Z63</f>
        <v>-200000000</v>
      </c>
    </row>
    <row r="64" spans="1:28" s="26" customFormat="1">
      <c r="A64" s="402" t="s">
        <v>871</v>
      </c>
      <c r="B64" s="53" t="s">
        <v>263</v>
      </c>
      <c r="C64" s="53" t="s">
        <v>879</v>
      </c>
      <c r="D64" s="14" t="s">
        <v>915</v>
      </c>
      <c r="E64" s="45"/>
      <c r="F64" s="14"/>
      <c r="G64" s="14"/>
      <c r="H64" s="14"/>
      <c r="I64" s="28"/>
      <c r="J64" s="40">
        <v>37986</v>
      </c>
      <c r="K64" s="14"/>
      <c r="L64" s="14"/>
      <c r="M64" s="14">
        <v>0</v>
      </c>
      <c r="N64" s="14">
        <v>14723839</v>
      </c>
      <c r="O64" s="30">
        <f t="shared" si="5"/>
        <v>-14723839</v>
      </c>
      <c r="P64" s="14">
        <f>+SUM(H63:H64)-SUM(N63:N64)</f>
        <v>0</v>
      </c>
      <c r="Q64" s="14"/>
      <c r="R64" s="402" t="s">
        <v>876</v>
      </c>
      <c r="S64" s="402"/>
      <c r="T64" s="402" t="s">
        <v>881</v>
      </c>
      <c r="U64" s="402" t="s">
        <v>19</v>
      </c>
      <c r="V64" s="4"/>
      <c r="W64" s="4"/>
      <c r="X64" s="38">
        <v>36783</v>
      </c>
      <c r="Y64" s="20">
        <v>7500</v>
      </c>
      <c r="Z64" s="20">
        <v>25000</v>
      </c>
      <c r="AA64" s="20">
        <f>+Y64*Z64</f>
        <v>187500000</v>
      </c>
      <c r="AB64" s="252"/>
    </row>
    <row r="65" spans="1:28" s="26" customFormat="1">
      <c r="A65" s="402" t="s">
        <v>871</v>
      </c>
      <c r="B65" s="53" t="s">
        <v>263</v>
      </c>
      <c r="C65" s="53" t="s">
        <v>879</v>
      </c>
      <c r="D65" s="20" t="s">
        <v>916</v>
      </c>
      <c r="E65" s="44">
        <v>36622</v>
      </c>
      <c r="F65" s="20">
        <v>3334</v>
      </c>
      <c r="G65" s="20">
        <v>150000</v>
      </c>
      <c r="H65" s="20">
        <f>+F65*G65</f>
        <v>500100000</v>
      </c>
      <c r="I65" s="22" t="s">
        <v>908</v>
      </c>
      <c r="J65" s="38">
        <v>37621</v>
      </c>
      <c r="K65" s="20"/>
      <c r="L65" s="20"/>
      <c r="M65" s="20">
        <v>0</v>
      </c>
      <c r="N65" s="20">
        <v>481305931</v>
      </c>
      <c r="O65" s="24">
        <f t="shared" si="5"/>
        <v>-481305931</v>
      </c>
      <c r="P65" s="20"/>
      <c r="Q65" s="20"/>
      <c r="R65" s="401" t="s">
        <v>876</v>
      </c>
      <c r="S65" s="401"/>
      <c r="T65" s="401" t="s">
        <v>877</v>
      </c>
      <c r="U65" s="401" t="s">
        <v>917</v>
      </c>
      <c r="V65" s="4"/>
      <c r="W65" s="4"/>
      <c r="X65" s="41">
        <v>37329</v>
      </c>
      <c r="Y65" s="11">
        <v>85000</v>
      </c>
      <c r="Z65" s="11">
        <v>2000</v>
      </c>
      <c r="AA65" s="11">
        <f>+Y65*Z65</f>
        <v>170000000</v>
      </c>
      <c r="AB65" s="252">
        <f>+XIRR(AA63:AA65,X63:X65)</f>
        <v>0.64994714856147784</v>
      </c>
    </row>
    <row r="66" spans="1:28" s="26" customFormat="1">
      <c r="A66" s="402" t="s">
        <v>871</v>
      </c>
      <c r="B66" s="53" t="s">
        <v>263</v>
      </c>
      <c r="C66" s="53" t="s">
        <v>879</v>
      </c>
      <c r="D66" s="11" t="s">
        <v>916</v>
      </c>
      <c r="E66" s="46"/>
      <c r="F66" s="11"/>
      <c r="G66" s="11"/>
      <c r="H66" s="11"/>
      <c r="I66" s="33" t="s">
        <v>918</v>
      </c>
      <c r="J66" s="41">
        <v>37986</v>
      </c>
      <c r="K66" s="11"/>
      <c r="L66" s="11"/>
      <c r="M66" s="11">
        <v>0</v>
      </c>
      <c r="N66" s="11">
        <v>18794069</v>
      </c>
      <c r="O66" s="35">
        <f t="shared" si="5"/>
        <v>-18794069</v>
      </c>
      <c r="P66" s="11">
        <f>+SUM(H65:H66)-SUM(N65:N66)</f>
        <v>0</v>
      </c>
      <c r="Q66" s="11"/>
      <c r="R66" s="403" t="s">
        <v>876</v>
      </c>
      <c r="S66" s="403"/>
      <c r="T66" s="403" t="str">
        <f>+T65</f>
        <v>엔터테인먼트</v>
      </c>
      <c r="U66" s="403" t="s">
        <v>917</v>
      </c>
      <c r="V66" s="4"/>
      <c r="W66" s="20" t="s">
        <v>919</v>
      </c>
      <c r="X66" s="44">
        <v>36633</v>
      </c>
      <c r="Y66" s="20">
        <v>250000</v>
      </c>
      <c r="Z66" s="20">
        <v>-4000</v>
      </c>
      <c r="AA66" s="20">
        <f>+Y66*Z66</f>
        <v>-1000000000</v>
      </c>
      <c r="AB66" s="252"/>
    </row>
    <row r="67" spans="1:28" s="26" customFormat="1">
      <c r="A67" s="402" t="s">
        <v>871</v>
      </c>
      <c r="B67" s="53" t="s">
        <v>263</v>
      </c>
      <c r="C67" s="53" t="s">
        <v>879</v>
      </c>
      <c r="D67" s="20" t="s">
        <v>919</v>
      </c>
      <c r="E67" s="44">
        <v>36633</v>
      </c>
      <c r="F67" s="20">
        <v>250000</v>
      </c>
      <c r="G67" s="20">
        <v>4000</v>
      </c>
      <c r="H67" s="20">
        <f>+F67*G67</f>
        <v>1000000000</v>
      </c>
      <c r="I67" s="22" t="s">
        <v>908</v>
      </c>
      <c r="J67" s="38">
        <v>37621</v>
      </c>
      <c r="K67" s="20"/>
      <c r="L67" s="20"/>
      <c r="M67" s="20">
        <v>0</v>
      </c>
      <c r="N67" s="20">
        <v>701058245</v>
      </c>
      <c r="O67" s="24">
        <f t="shared" si="5"/>
        <v>-701058245</v>
      </c>
      <c r="P67" s="20"/>
      <c r="Q67" s="20"/>
      <c r="R67" s="401" t="s">
        <v>876</v>
      </c>
      <c r="S67" s="401"/>
      <c r="T67" s="401" t="s">
        <v>877</v>
      </c>
      <c r="U67" s="401" t="s">
        <v>886</v>
      </c>
      <c r="V67" s="4"/>
      <c r="W67" s="4"/>
      <c r="X67" s="589">
        <v>41603</v>
      </c>
      <c r="Y67" s="4"/>
      <c r="AA67" s="26">
        <f>+P68</f>
        <v>193192209</v>
      </c>
      <c r="AB67" s="252">
        <f>+XIRR(AA66:AA67,X66:X67)</f>
        <v>-0.11373700387775895</v>
      </c>
    </row>
    <row r="68" spans="1:28" s="26" customFormat="1">
      <c r="A68" s="402" t="s">
        <v>871</v>
      </c>
      <c r="B68" s="53" t="s">
        <v>263</v>
      </c>
      <c r="C68" s="53" t="s">
        <v>879</v>
      </c>
      <c r="D68" s="11" t="s">
        <v>919</v>
      </c>
      <c r="E68" s="46"/>
      <c r="F68" s="11"/>
      <c r="G68" s="11"/>
      <c r="H68" s="11"/>
      <c r="I68" s="33"/>
      <c r="J68" s="41">
        <v>38352</v>
      </c>
      <c r="K68" s="11"/>
      <c r="L68" s="11"/>
      <c r="M68" s="11">
        <v>0</v>
      </c>
      <c r="N68" s="11">
        <v>105749546</v>
      </c>
      <c r="O68" s="35">
        <f t="shared" si="5"/>
        <v>-105749546</v>
      </c>
      <c r="P68" s="11">
        <f>+SUM(H67:H68)-SUM(N67:N68)</f>
        <v>193192209</v>
      </c>
      <c r="Q68" s="11"/>
      <c r="R68" s="403" t="s">
        <v>876</v>
      </c>
      <c r="S68" s="403"/>
      <c r="T68" s="403" t="s">
        <v>877</v>
      </c>
      <c r="U68" s="403" t="s">
        <v>886</v>
      </c>
      <c r="V68" s="4"/>
      <c r="W68" s="4"/>
      <c r="X68" s="4"/>
      <c r="Y68" s="4"/>
      <c r="AB68" s="252"/>
    </row>
    <row r="69" spans="1:28" s="26" customFormat="1">
      <c r="A69" s="402" t="s">
        <v>871</v>
      </c>
      <c r="B69" s="402" t="s">
        <v>263</v>
      </c>
      <c r="C69" s="403" t="s">
        <v>879</v>
      </c>
      <c r="D69" s="15" t="s">
        <v>920</v>
      </c>
      <c r="E69" s="42">
        <v>36853</v>
      </c>
      <c r="F69" s="15">
        <v>30000</v>
      </c>
      <c r="G69" s="15">
        <v>15000</v>
      </c>
      <c r="H69" s="15">
        <f>+F69*G69</f>
        <v>450000000</v>
      </c>
      <c r="I69" s="17" t="s">
        <v>908</v>
      </c>
      <c r="J69" s="43">
        <v>37621</v>
      </c>
      <c r="K69" s="15"/>
      <c r="L69" s="15"/>
      <c r="M69" s="15">
        <v>0</v>
      </c>
      <c r="N69" s="15">
        <v>450000000</v>
      </c>
      <c r="O69" s="15">
        <f t="shared" si="5"/>
        <v>-450000000</v>
      </c>
      <c r="P69" s="15">
        <f>+H69-N69</f>
        <v>0</v>
      </c>
      <c r="Q69" s="15"/>
      <c r="R69" s="405" t="s">
        <v>876</v>
      </c>
      <c r="S69" s="405"/>
      <c r="T69" s="405" t="s">
        <v>881</v>
      </c>
      <c r="U69" s="405" t="s">
        <v>886</v>
      </c>
      <c r="V69" s="4"/>
      <c r="W69" s="4"/>
      <c r="X69" s="4"/>
      <c r="Y69" s="4"/>
      <c r="AB69" s="252"/>
    </row>
    <row r="70" spans="1:28" s="26" customFormat="1">
      <c r="A70" s="36" t="s">
        <v>522</v>
      </c>
      <c r="B70" s="31" t="s">
        <v>526</v>
      </c>
      <c r="C70" s="139" t="s">
        <v>523</v>
      </c>
      <c r="D70" s="133"/>
      <c r="E70" s="144"/>
      <c r="F70" s="133"/>
      <c r="G70" s="133"/>
      <c r="H70" s="133">
        <f>SUM(H50:H69)</f>
        <v>5242100000</v>
      </c>
      <c r="I70" s="135"/>
      <c r="J70" s="143"/>
      <c r="K70" s="133"/>
      <c r="L70" s="133"/>
      <c r="M70" s="133">
        <f>SUM(M50:M69)</f>
        <v>2497475100</v>
      </c>
      <c r="N70" s="133">
        <f>SUM(N50:N69)</f>
        <v>5048907791</v>
      </c>
      <c r="O70" s="133">
        <f>SUM(O50:O69)</f>
        <v>-2551432691</v>
      </c>
      <c r="P70" s="133">
        <f>SUM(P50:P69)</f>
        <v>193192209</v>
      </c>
      <c r="Q70" s="133"/>
      <c r="R70" s="138"/>
      <c r="S70" s="138"/>
      <c r="T70" s="138"/>
      <c r="U70" s="138"/>
      <c r="V70" s="4"/>
      <c r="W70" s="4"/>
      <c r="X70" s="4"/>
      <c r="Y70" s="4"/>
      <c r="AB70" s="252"/>
    </row>
    <row r="71" spans="1:28" s="26" customFormat="1" hidden="1">
      <c r="A71" s="401" t="s">
        <v>900</v>
      </c>
      <c r="B71" s="404" t="s">
        <v>73</v>
      </c>
      <c r="C71" s="404" t="s">
        <v>308</v>
      </c>
      <c r="D71" s="20" t="s">
        <v>65</v>
      </c>
      <c r="E71" s="44">
        <v>36552</v>
      </c>
      <c r="F71" s="20">
        <v>20000</v>
      </c>
      <c r="G71" s="20">
        <v>75000</v>
      </c>
      <c r="H71" s="20">
        <f>+F71*G71</f>
        <v>1500000000</v>
      </c>
      <c r="I71" s="22" t="s">
        <v>969</v>
      </c>
      <c r="J71" s="38">
        <v>37621</v>
      </c>
      <c r="K71" s="20"/>
      <c r="L71" s="20"/>
      <c r="M71" s="20">
        <v>0</v>
      </c>
      <c r="N71" s="20">
        <v>1500000000</v>
      </c>
      <c r="O71" s="24">
        <f>+M71-N71</f>
        <v>-1500000000</v>
      </c>
      <c r="P71" s="20"/>
      <c r="Q71" s="20"/>
      <c r="R71" s="401" t="s">
        <v>29</v>
      </c>
      <c r="S71" s="401"/>
      <c r="T71" s="401" t="s">
        <v>6</v>
      </c>
      <c r="U71" s="401" t="s">
        <v>30</v>
      </c>
      <c r="AB71" s="252"/>
    </row>
    <row r="72" spans="1:28" s="26" customFormat="1" hidden="1">
      <c r="A72" s="402" t="s">
        <v>900</v>
      </c>
      <c r="B72" s="53" t="s">
        <v>264</v>
      </c>
      <c r="C72" s="53" t="s">
        <v>308</v>
      </c>
      <c r="D72" s="14" t="s">
        <v>65</v>
      </c>
      <c r="E72" s="45">
        <v>36950</v>
      </c>
      <c r="F72" s="14">
        <v>200000</v>
      </c>
      <c r="G72" s="14">
        <v>500</v>
      </c>
      <c r="H72" s="14">
        <f>+F72*G72</f>
        <v>100000000</v>
      </c>
      <c r="I72" s="28" t="s">
        <v>969</v>
      </c>
      <c r="J72" s="40">
        <v>37986</v>
      </c>
      <c r="K72" s="14"/>
      <c r="L72" s="14"/>
      <c r="M72" s="14">
        <v>0</v>
      </c>
      <c r="N72" s="14">
        <v>100000000</v>
      </c>
      <c r="O72" s="30">
        <f t="shared" ref="O72:O100" si="7">+M72-N72</f>
        <v>-100000000</v>
      </c>
      <c r="P72" s="14"/>
      <c r="Q72" s="14"/>
      <c r="R72" s="402" t="s">
        <v>29</v>
      </c>
      <c r="S72" s="402"/>
      <c r="T72" s="402" t="s">
        <v>6</v>
      </c>
      <c r="U72" s="402" t="s">
        <v>30</v>
      </c>
      <c r="AB72" s="252"/>
    </row>
    <row r="73" spans="1:28" s="26" customFormat="1" hidden="1">
      <c r="A73" s="402" t="s">
        <v>900</v>
      </c>
      <c r="B73" s="53" t="s">
        <v>264</v>
      </c>
      <c r="C73" s="53" t="s">
        <v>308</v>
      </c>
      <c r="D73" s="14" t="s">
        <v>65</v>
      </c>
      <c r="E73" s="46"/>
      <c r="F73" s="11"/>
      <c r="G73" s="11"/>
      <c r="H73" s="11"/>
      <c r="I73" s="28" t="s">
        <v>860</v>
      </c>
      <c r="J73" s="41">
        <v>38405</v>
      </c>
      <c r="K73" s="11">
        <v>133333</v>
      </c>
      <c r="L73" s="11">
        <f>+M73/K73</f>
        <v>225.00056250140625</v>
      </c>
      <c r="M73" s="11">
        <v>30000000</v>
      </c>
      <c r="N73" s="11">
        <v>0</v>
      </c>
      <c r="O73" s="35">
        <f t="shared" si="7"/>
        <v>30000000</v>
      </c>
      <c r="P73" s="11">
        <f>+SUM(H71:H73)-SUM(N71:N73)</f>
        <v>0</v>
      </c>
      <c r="Q73" s="11"/>
      <c r="R73" s="403" t="s">
        <v>968</v>
      </c>
      <c r="S73" s="403"/>
      <c r="T73" s="403" t="s">
        <v>6</v>
      </c>
      <c r="U73" s="403" t="s">
        <v>30</v>
      </c>
      <c r="AB73" s="252"/>
    </row>
    <row r="74" spans="1:28" s="26" customFormat="1" hidden="1">
      <c r="A74" s="402" t="s">
        <v>900</v>
      </c>
      <c r="B74" s="53" t="s">
        <v>264</v>
      </c>
      <c r="C74" s="53" t="s">
        <v>308</v>
      </c>
      <c r="D74" s="20" t="s">
        <v>68</v>
      </c>
      <c r="E74" s="44">
        <v>36570</v>
      </c>
      <c r="F74" s="20">
        <v>3000</v>
      </c>
      <c r="G74" s="20">
        <v>200000</v>
      </c>
      <c r="H74" s="20">
        <f>+F74*G74</f>
        <v>600000000</v>
      </c>
      <c r="I74" s="22" t="s">
        <v>969</v>
      </c>
      <c r="J74" s="38">
        <v>38405</v>
      </c>
      <c r="K74" s="20"/>
      <c r="L74" s="20"/>
      <c r="M74" s="20">
        <v>0</v>
      </c>
      <c r="N74" s="20">
        <v>307292800</v>
      </c>
      <c r="O74" s="24">
        <f t="shared" si="7"/>
        <v>-307292800</v>
      </c>
      <c r="P74" s="20"/>
      <c r="Q74" s="20"/>
      <c r="R74" s="401" t="s">
        <v>29</v>
      </c>
      <c r="S74" s="401"/>
      <c r="T74" s="401" t="s">
        <v>6</v>
      </c>
      <c r="U74" s="401" t="s">
        <v>33</v>
      </c>
      <c r="AB74" s="252"/>
    </row>
    <row r="75" spans="1:28" s="26" customFormat="1" hidden="1">
      <c r="A75" s="402" t="s">
        <v>900</v>
      </c>
      <c r="B75" s="53" t="s">
        <v>264</v>
      </c>
      <c r="C75" s="53" t="s">
        <v>308</v>
      </c>
      <c r="D75" s="14" t="s">
        <v>68</v>
      </c>
      <c r="E75" s="45"/>
      <c r="F75" s="14"/>
      <c r="G75" s="14"/>
      <c r="H75" s="14"/>
      <c r="I75" s="28"/>
      <c r="J75" s="40">
        <v>38490</v>
      </c>
      <c r="K75" s="14">
        <v>480000</v>
      </c>
      <c r="L75" s="14">
        <v>600</v>
      </c>
      <c r="M75" s="14">
        <f>+K75*L75</f>
        <v>288000000</v>
      </c>
      <c r="N75" s="14">
        <v>292707200</v>
      </c>
      <c r="O75" s="30">
        <f t="shared" si="7"/>
        <v>-4707200</v>
      </c>
      <c r="P75" s="14">
        <f>+SUM(H74:H75)-SUM(N74:N75)</f>
        <v>0</v>
      </c>
      <c r="Q75" s="14"/>
      <c r="R75" s="402" t="s">
        <v>972</v>
      </c>
      <c r="S75" s="402" t="s">
        <v>973</v>
      </c>
      <c r="T75" s="402" t="s">
        <v>6</v>
      </c>
      <c r="U75" s="402" t="s">
        <v>33</v>
      </c>
      <c r="V75" s="4"/>
      <c r="W75" s="4"/>
      <c r="X75" s="4"/>
      <c r="Y75" s="4"/>
      <c r="AB75" s="252"/>
    </row>
    <row r="76" spans="1:28" s="26" customFormat="1" hidden="1">
      <c r="A76" s="402" t="s">
        <v>900</v>
      </c>
      <c r="B76" s="53" t="s">
        <v>264</v>
      </c>
      <c r="C76" s="53" t="s">
        <v>308</v>
      </c>
      <c r="D76" s="20" t="s">
        <v>56</v>
      </c>
      <c r="E76" s="44">
        <v>36573</v>
      </c>
      <c r="F76" s="20">
        <v>28580</v>
      </c>
      <c r="G76" s="20">
        <v>35000</v>
      </c>
      <c r="H76" s="20">
        <f>+F76*G76</f>
        <v>1000300000</v>
      </c>
      <c r="I76" s="22" t="s">
        <v>969</v>
      </c>
      <c r="J76" s="38">
        <v>36585</v>
      </c>
      <c r="K76" s="20">
        <v>14290</v>
      </c>
      <c r="L76" s="20">
        <v>36000</v>
      </c>
      <c r="M76" s="20">
        <f>+K76*L76</f>
        <v>514440000</v>
      </c>
      <c r="N76" s="20">
        <f>+K76*35000</f>
        <v>500150000</v>
      </c>
      <c r="O76" s="24">
        <f t="shared" si="7"/>
        <v>14290000</v>
      </c>
      <c r="P76" s="20"/>
      <c r="Q76" s="20"/>
      <c r="R76" s="401" t="s">
        <v>966</v>
      </c>
      <c r="S76" s="401"/>
      <c r="T76" s="401" t="s">
        <v>9</v>
      </c>
      <c r="U76" s="401" t="s">
        <v>50</v>
      </c>
      <c r="AB76" s="252"/>
    </row>
    <row r="77" spans="1:28" s="26" customFormat="1" hidden="1">
      <c r="A77" s="402" t="s">
        <v>900</v>
      </c>
      <c r="B77" s="53" t="s">
        <v>264</v>
      </c>
      <c r="C77" s="53" t="s">
        <v>308</v>
      </c>
      <c r="D77" s="11" t="s">
        <v>56</v>
      </c>
      <c r="E77" s="46"/>
      <c r="F77" s="11"/>
      <c r="G77" s="11"/>
      <c r="H77" s="11">
        <f>+F77*G77</f>
        <v>0</v>
      </c>
      <c r="I77" s="33"/>
      <c r="J77" s="41">
        <v>36585</v>
      </c>
      <c r="K77" s="11">
        <v>14290</v>
      </c>
      <c r="L77" s="11">
        <v>36000</v>
      </c>
      <c r="M77" s="11">
        <f>+K77*L77</f>
        <v>514440000</v>
      </c>
      <c r="N77" s="11">
        <f>+K77*35000</f>
        <v>500150000</v>
      </c>
      <c r="O77" s="35">
        <f t="shared" si="7"/>
        <v>14290000</v>
      </c>
      <c r="P77" s="14">
        <f>+SUM(H76:H77)-SUM(N76:N77)</f>
        <v>0</v>
      </c>
      <c r="Q77" s="11"/>
      <c r="R77" s="403" t="s">
        <v>967</v>
      </c>
      <c r="S77" s="403"/>
      <c r="T77" s="403" t="s">
        <v>9</v>
      </c>
      <c r="U77" s="403" t="s">
        <v>50</v>
      </c>
      <c r="AB77" s="252"/>
    </row>
    <row r="78" spans="1:28" s="26" customFormat="1" hidden="1">
      <c r="A78" s="402" t="s">
        <v>900</v>
      </c>
      <c r="B78" s="53" t="s">
        <v>264</v>
      </c>
      <c r="C78" s="53" t="s">
        <v>308</v>
      </c>
      <c r="D78" s="15" t="s">
        <v>74</v>
      </c>
      <c r="E78" s="42">
        <v>36599</v>
      </c>
      <c r="F78" s="15">
        <v>130000</v>
      </c>
      <c r="G78" s="15">
        <f>+H78/F78</f>
        <v>2500</v>
      </c>
      <c r="H78" s="15">
        <v>325000000</v>
      </c>
      <c r="I78" s="17" t="s">
        <v>969</v>
      </c>
      <c r="J78" s="43">
        <v>37197</v>
      </c>
      <c r="K78" s="15">
        <v>130000</v>
      </c>
      <c r="L78" s="15">
        <f>+M78/K78</f>
        <v>7154.4677692307696</v>
      </c>
      <c r="M78" s="15">
        <v>930080810</v>
      </c>
      <c r="N78" s="15">
        <v>325000000</v>
      </c>
      <c r="O78" s="15">
        <f t="shared" si="7"/>
        <v>605080810</v>
      </c>
      <c r="P78" s="15">
        <f>+H78-N78</f>
        <v>0</v>
      </c>
      <c r="Q78" s="15"/>
      <c r="R78" s="405" t="s">
        <v>974</v>
      </c>
      <c r="S78" s="405"/>
      <c r="T78" s="405" t="s">
        <v>16</v>
      </c>
      <c r="U78" s="405" t="s">
        <v>30</v>
      </c>
      <c r="V78" s="4"/>
      <c r="W78" s="4"/>
      <c r="X78" s="4"/>
      <c r="Y78" s="4"/>
      <c r="AB78" s="252"/>
    </row>
    <row r="79" spans="1:28" s="26" customFormat="1" hidden="1">
      <c r="A79" s="402" t="s">
        <v>900</v>
      </c>
      <c r="B79" s="53" t="s">
        <v>264</v>
      </c>
      <c r="C79" s="53" t="s">
        <v>308</v>
      </c>
      <c r="D79" s="20" t="s">
        <v>76</v>
      </c>
      <c r="E79" s="44">
        <v>36622</v>
      </c>
      <c r="F79" s="20">
        <v>6700</v>
      </c>
      <c r="G79" s="20">
        <v>105000</v>
      </c>
      <c r="H79" s="20">
        <f>+F79*G79</f>
        <v>703500000</v>
      </c>
      <c r="I79" s="22" t="s">
        <v>970</v>
      </c>
      <c r="J79" s="38">
        <v>37621</v>
      </c>
      <c r="K79" s="20"/>
      <c r="L79" s="20"/>
      <c r="M79" s="20">
        <v>0</v>
      </c>
      <c r="N79" s="20">
        <v>506340410</v>
      </c>
      <c r="O79" s="24">
        <f t="shared" si="7"/>
        <v>-506340410</v>
      </c>
      <c r="P79" s="20"/>
      <c r="Q79" s="20"/>
      <c r="R79" s="401" t="s">
        <v>29</v>
      </c>
      <c r="S79" s="401"/>
      <c r="T79" s="401" t="s">
        <v>9</v>
      </c>
      <c r="U79" s="401" t="s">
        <v>27</v>
      </c>
      <c r="AB79" s="252"/>
    </row>
    <row r="80" spans="1:28" s="26" customFormat="1" hidden="1">
      <c r="A80" s="402" t="s">
        <v>900</v>
      </c>
      <c r="B80" s="53" t="s">
        <v>264</v>
      </c>
      <c r="C80" s="53" t="s">
        <v>308</v>
      </c>
      <c r="D80" s="14" t="s">
        <v>76</v>
      </c>
      <c r="E80" s="45"/>
      <c r="F80" s="14"/>
      <c r="G80" s="14"/>
      <c r="H80" s="14"/>
      <c r="I80" s="28" t="s">
        <v>860</v>
      </c>
      <c r="J80" s="40">
        <v>37986</v>
      </c>
      <c r="K80" s="14"/>
      <c r="L80" s="14"/>
      <c r="M80" s="14">
        <v>0</v>
      </c>
      <c r="N80" s="14">
        <v>6722373</v>
      </c>
      <c r="O80" s="30">
        <f t="shared" si="7"/>
        <v>-6722373</v>
      </c>
      <c r="P80" s="14"/>
      <c r="Q80" s="14"/>
      <c r="R80" s="402" t="s">
        <v>29</v>
      </c>
      <c r="S80" s="402"/>
      <c r="T80" s="402" t="s">
        <v>9</v>
      </c>
      <c r="U80" s="402" t="s">
        <v>27</v>
      </c>
      <c r="AB80" s="252"/>
    </row>
    <row r="81" spans="1:28" s="26" customFormat="1" hidden="1">
      <c r="A81" s="402" t="s">
        <v>900</v>
      </c>
      <c r="B81" s="53" t="s">
        <v>264</v>
      </c>
      <c r="C81" s="53" t="s">
        <v>308</v>
      </c>
      <c r="D81" s="14" t="s">
        <v>76</v>
      </c>
      <c r="E81" s="45"/>
      <c r="F81" s="14"/>
      <c r="G81" s="14"/>
      <c r="H81" s="14"/>
      <c r="I81" s="28" t="s">
        <v>860</v>
      </c>
      <c r="J81" s="40">
        <v>38405</v>
      </c>
      <c r="K81" s="14"/>
      <c r="L81" s="14"/>
      <c r="M81" s="14">
        <v>0</v>
      </c>
      <c r="N81" s="14">
        <v>179449217</v>
      </c>
      <c r="O81" s="30">
        <f t="shared" si="7"/>
        <v>-179449217</v>
      </c>
      <c r="P81" s="14"/>
      <c r="Q81" s="14"/>
      <c r="R81" s="402" t="s">
        <v>29</v>
      </c>
      <c r="S81" s="402"/>
      <c r="T81" s="402" t="s">
        <v>9</v>
      </c>
      <c r="U81" s="402" t="s">
        <v>27</v>
      </c>
      <c r="AB81" s="252"/>
    </row>
    <row r="82" spans="1:28" s="26" customFormat="1" hidden="1">
      <c r="A82" s="402" t="s">
        <v>900</v>
      </c>
      <c r="B82" s="53" t="s">
        <v>264</v>
      </c>
      <c r="C82" s="53" t="s">
        <v>308</v>
      </c>
      <c r="D82" s="11" t="s">
        <v>76</v>
      </c>
      <c r="E82" s="46"/>
      <c r="F82" s="11"/>
      <c r="G82" s="11"/>
      <c r="H82" s="11"/>
      <c r="I82" s="33"/>
      <c r="J82" s="41">
        <v>38586</v>
      </c>
      <c r="K82" s="11">
        <v>33500</v>
      </c>
      <c r="L82" s="11">
        <v>4478</v>
      </c>
      <c r="M82" s="11">
        <v>150000000</v>
      </c>
      <c r="N82" s="11">
        <v>10988000</v>
      </c>
      <c r="O82" s="35">
        <f t="shared" si="7"/>
        <v>139012000</v>
      </c>
      <c r="P82" s="14">
        <f>+SUM(H79:H82)-SUM(N79:N82)</f>
        <v>0</v>
      </c>
      <c r="Q82" s="11"/>
      <c r="R82" s="403" t="s">
        <v>971</v>
      </c>
      <c r="S82" s="403"/>
      <c r="T82" s="403" t="s">
        <v>9</v>
      </c>
      <c r="U82" s="403" t="s">
        <v>27</v>
      </c>
      <c r="AB82" s="252"/>
    </row>
    <row r="83" spans="1:28" s="26" customFormat="1" hidden="1">
      <c r="A83" s="402" t="s">
        <v>900</v>
      </c>
      <c r="B83" s="53" t="s">
        <v>264</v>
      </c>
      <c r="C83" s="53" t="s">
        <v>308</v>
      </c>
      <c r="D83" s="20" t="s">
        <v>78</v>
      </c>
      <c r="E83" s="44">
        <v>36635</v>
      </c>
      <c r="F83" s="20">
        <v>25000</v>
      </c>
      <c r="G83" s="20">
        <v>13000</v>
      </c>
      <c r="H83" s="20">
        <f>+F83*G83</f>
        <v>325000000</v>
      </c>
      <c r="I83" s="22" t="s">
        <v>969</v>
      </c>
      <c r="J83" s="38">
        <v>37340</v>
      </c>
      <c r="K83" s="20"/>
      <c r="L83" s="20"/>
      <c r="M83" s="20">
        <v>0</v>
      </c>
      <c r="N83" s="20">
        <v>325000000</v>
      </c>
      <c r="O83" s="20">
        <f t="shared" si="7"/>
        <v>-325000000</v>
      </c>
      <c r="P83" s="20"/>
      <c r="Q83" s="20"/>
      <c r="R83" s="401" t="s">
        <v>29</v>
      </c>
      <c r="S83" s="401"/>
      <c r="T83" s="401" t="s">
        <v>9</v>
      </c>
      <c r="U83" s="401" t="s">
        <v>30</v>
      </c>
      <c r="V83" s="4"/>
      <c r="W83" s="4"/>
      <c r="X83" s="4"/>
      <c r="Y83" s="4"/>
      <c r="AB83" s="252"/>
    </row>
    <row r="84" spans="1:28" s="26" customFormat="1" hidden="1">
      <c r="A84" s="402" t="s">
        <v>900</v>
      </c>
      <c r="B84" s="53" t="s">
        <v>264</v>
      </c>
      <c r="C84" s="53" t="s">
        <v>308</v>
      </c>
      <c r="D84" s="11" t="s">
        <v>78</v>
      </c>
      <c r="E84" s="46"/>
      <c r="F84" s="11"/>
      <c r="G84" s="11"/>
      <c r="H84" s="11"/>
      <c r="I84" s="33"/>
      <c r="J84" s="41">
        <v>38733</v>
      </c>
      <c r="K84" s="11">
        <v>25000</v>
      </c>
      <c r="L84" s="11">
        <v>0</v>
      </c>
      <c r="M84" s="11">
        <v>1000</v>
      </c>
      <c r="N84" s="11">
        <v>0</v>
      </c>
      <c r="O84" s="11">
        <f t="shared" si="7"/>
        <v>1000</v>
      </c>
      <c r="P84" s="11">
        <f>+SUM(H83:H84)-SUM(N83:N84)</f>
        <v>0</v>
      </c>
      <c r="Q84" s="11"/>
      <c r="R84" s="403" t="s">
        <v>891</v>
      </c>
      <c r="S84" s="403"/>
      <c r="T84" s="403" t="s">
        <v>9</v>
      </c>
      <c r="U84" s="403" t="s">
        <v>30</v>
      </c>
      <c r="V84" s="4"/>
      <c r="W84" s="4"/>
      <c r="X84" s="4"/>
      <c r="Y84" s="4"/>
      <c r="AB84" s="252"/>
    </row>
    <row r="85" spans="1:28" s="26" customFormat="1" hidden="1">
      <c r="A85" s="402" t="s">
        <v>900</v>
      </c>
      <c r="B85" s="53" t="s">
        <v>264</v>
      </c>
      <c r="C85" s="53" t="s">
        <v>308</v>
      </c>
      <c r="D85" s="20" t="s">
        <v>79</v>
      </c>
      <c r="E85" s="44">
        <v>36654</v>
      </c>
      <c r="F85" s="20">
        <v>111110</v>
      </c>
      <c r="G85" s="20">
        <v>4500</v>
      </c>
      <c r="H85" s="20">
        <f>+F85*G85</f>
        <v>499995000</v>
      </c>
      <c r="I85" s="22" t="s">
        <v>969</v>
      </c>
      <c r="J85" s="38">
        <v>37621</v>
      </c>
      <c r="K85" s="20"/>
      <c r="L85" s="20"/>
      <c r="M85" s="20">
        <v>0</v>
      </c>
      <c r="N85" s="20">
        <v>466986618</v>
      </c>
      <c r="O85" s="24">
        <f t="shared" si="7"/>
        <v>-466986618</v>
      </c>
      <c r="P85" s="20"/>
      <c r="Q85" s="20"/>
      <c r="R85" s="401" t="s">
        <v>29</v>
      </c>
      <c r="S85" s="401"/>
      <c r="T85" s="401" t="s">
        <v>6</v>
      </c>
      <c r="U85" s="401" t="s">
        <v>30</v>
      </c>
      <c r="AB85" s="252"/>
    </row>
    <row r="86" spans="1:28" s="26" customFormat="1" hidden="1">
      <c r="A86" s="402" t="s">
        <v>900</v>
      </c>
      <c r="B86" s="53" t="s">
        <v>264</v>
      </c>
      <c r="C86" s="53" t="s">
        <v>308</v>
      </c>
      <c r="D86" s="14" t="s">
        <v>79</v>
      </c>
      <c r="E86" s="45"/>
      <c r="F86" s="14"/>
      <c r="G86" s="14"/>
      <c r="H86" s="14"/>
      <c r="I86" s="28"/>
      <c r="J86" s="40">
        <v>37986</v>
      </c>
      <c r="K86" s="14"/>
      <c r="L86" s="14"/>
      <c r="M86" s="14">
        <v>0</v>
      </c>
      <c r="N86" s="14">
        <v>33008382</v>
      </c>
      <c r="O86" s="30">
        <f t="shared" si="7"/>
        <v>-33008382</v>
      </c>
      <c r="P86" s="210"/>
      <c r="Q86" s="14"/>
      <c r="R86" s="407" t="s">
        <v>29</v>
      </c>
      <c r="S86" s="407"/>
      <c r="T86" s="407" t="s">
        <v>6</v>
      </c>
      <c r="U86" s="407" t="s">
        <v>30</v>
      </c>
      <c r="AB86" s="252"/>
    </row>
    <row r="87" spans="1:28" s="26" customFormat="1" hidden="1">
      <c r="A87" s="402" t="s">
        <v>900</v>
      </c>
      <c r="B87" s="53" t="s">
        <v>264</v>
      </c>
      <c r="C87" s="53" t="s">
        <v>308</v>
      </c>
      <c r="D87" s="11" t="s">
        <v>79</v>
      </c>
      <c r="E87" s="46"/>
      <c r="F87" s="11"/>
      <c r="G87" s="11"/>
      <c r="H87" s="11"/>
      <c r="I87" s="33"/>
      <c r="J87" s="41">
        <v>38733</v>
      </c>
      <c r="K87" s="11">
        <v>200120</v>
      </c>
      <c r="L87" s="11"/>
      <c r="M87" s="11">
        <v>1000</v>
      </c>
      <c r="N87" s="11">
        <v>0</v>
      </c>
      <c r="O87" s="35">
        <f t="shared" si="7"/>
        <v>1000</v>
      </c>
      <c r="P87" s="11">
        <f>+SUM(H85:H87)-SUM(N85:N87)</f>
        <v>0</v>
      </c>
      <c r="Q87" s="11"/>
      <c r="R87" s="408" t="s">
        <v>858</v>
      </c>
      <c r="S87" s="408"/>
      <c r="T87" s="408" t="s">
        <v>6</v>
      </c>
      <c r="U87" s="408" t="s">
        <v>30</v>
      </c>
      <c r="AB87" s="252"/>
    </row>
    <row r="88" spans="1:28" s="26" customFormat="1" hidden="1">
      <c r="A88" s="402" t="s">
        <v>900</v>
      </c>
      <c r="B88" s="53" t="s">
        <v>264</v>
      </c>
      <c r="C88" s="53" t="s">
        <v>308</v>
      </c>
      <c r="D88" s="20" t="s">
        <v>80</v>
      </c>
      <c r="E88" s="44">
        <v>36656</v>
      </c>
      <c r="F88" s="20">
        <v>14200</v>
      </c>
      <c r="G88" s="20">
        <v>35000</v>
      </c>
      <c r="H88" s="20">
        <f>+F88*G88</f>
        <v>497000000</v>
      </c>
      <c r="I88" s="22" t="s">
        <v>969</v>
      </c>
      <c r="J88" s="29">
        <v>37621</v>
      </c>
      <c r="K88" s="14"/>
      <c r="L88" s="14"/>
      <c r="M88" s="14">
        <v>0</v>
      </c>
      <c r="N88" s="14">
        <v>321887200</v>
      </c>
      <c r="O88" s="30">
        <f t="shared" si="7"/>
        <v>-321887200</v>
      </c>
      <c r="P88" s="14"/>
      <c r="Q88" s="14"/>
      <c r="R88" s="402" t="s">
        <v>975</v>
      </c>
      <c r="S88" s="407"/>
      <c r="T88" s="407" t="s">
        <v>16</v>
      </c>
      <c r="U88" s="407" t="s">
        <v>30</v>
      </c>
      <c r="AB88" s="252"/>
    </row>
    <row r="89" spans="1:28" s="26" customFormat="1" hidden="1">
      <c r="A89" s="402" t="s">
        <v>900</v>
      </c>
      <c r="B89" s="53" t="s">
        <v>264</v>
      </c>
      <c r="C89" s="53" t="s">
        <v>308</v>
      </c>
      <c r="D89" s="14" t="s">
        <v>80</v>
      </c>
      <c r="E89" s="45"/>
      <c r="F89" s="14"/>
      <c r="G89" s="14"/>
      <c r="H89" s="14"/>
      <c r="I89" s="28"/>
      <c r="J89" s="29">
        <v>37986</v>
      </c>
      <c r="K89" s="14"/>
      <c r="L89" s="14"/>
      <c r="M89" s="14">
        <v>0</v>
      </c>
      <c r="N89" s="14">
        <v>19034000</v>
      </c>
      <c r="O89" s="30">
        <f t="shared" si="7"/>
        <v>-19034000</v>
      </c>
      <c r="P89" s="14"/>
      <c r="Q89" s="14"/>
      <c r="R89" s="402" t="s">
        <v>975</v>
      </c>
      <c r="S89" s="402"/>
      <c r="T89" s="402" t="s">
        <v>1067</v>
      </c>
      <c r="U89" s="407" t="s">
        <v>30</v>
      </c>
      <c r="AB89" s="252"/>
    </row>
    <row r="90" spans="1:28" s="26" customFormat="1" hidden="1">
      <c r="A90" s="402" t="s">
        <v>900</v>
      </c>
      <c r="B90" s="53" t="s">
        <v>264</v>
      </c>
      <c r="C90" s="53" t="s">
        <v>308</v>
      </c>
      <c r="D90" s="14" t="s">
        <v>80</v>
      </c>
      <c r="E90" s="45"/>
      <c r="F90" s="14"/>
      <c r="G90" s="14"/>
      <c r="H90" s="14"/>
      <c r="I90" s="28"/>
      <c r="J90" s="29">
        <v>38419</v>
      </c>
      <c r="K90" s="14"/>
      <c r="L90" s="14"/>
      <c r="M90" s="14">
        <v>9517000</v>
      </c>
      <c r="N90" s="14">
        <v>0</v>
      </c>
      <c r="O90" s="30">
        <f>+M90-N90</f>
        <v>9517000</v>
      </c>
      <c r="P90" s="14"/>
      <c r="Q90" s="14"/>
      <c r="R90" s="402" t="s">
        <v>965</v>
      </c>
      <c r="S90" s="402"/>
      <c r="T90" s="402" t="s">
        <v>1067</v>
      </c>
      <c r="U90" s="407" t="s">
        <v>30</v>
      </c>
      <c r="AB90" s="252"/>
    </row>
    <row r="91" spans="1:28" s="26" customFormat="1" hidden="1">
      <c r="A91" s="402" t="s">
        <v>900</v>
      </c>
      <c r="B91" s="53" t="s">
        <v>264</v>
      </c>
      <c r="C91" s="53" t="s">
        <v>308</v>
      </c>
      <c r="D91" s="14" t="s">
        <v>80</v>
      </c>
      <c r="E91" s="45"/>
      <c r="F91" s="14"/>
      <c r="G91" s="14"/>
      <c r="H91" s="14"/>
      <c r="I91" s="28"/>
      <c r="J91" s="34">
        <v>38419</v>
      </c>
      <c r="K91" s="11">
        <v>190340</v>
      </c>
      <c r="L91" s="11">
        <f>+M91/K91</f>
        <v>1648.288825260061</v>
      </c>
      <c r="M91" s="11">
        <v>313735295</v>
      </c>
      <c r="N91" s="11">
        <v>156078800</v>
      </c>
      <c r="O91" s="35">
        <f t="shared" si="7"/>
        <v>157656495</v>
      </c>
      <c r="P91" s="11">
        <f>+SUM(H88:H91)-SUM(N88:N91)</f>
        <v>0</v>
      </c>
      <c r="Q91" s="11"/>
      <c r="R91" s="403" t="s">
        <v>3</v>
      </c>
      <c r="S91" s="403"/>
      <c r="T91" s="403" t="s">
        <v>16</v>
      </c>
      <c r="U91" s="408" t="s">
        <v>30</v>
      </c>
      <c r="AB91" s="252"/>
    </row>
    <row r="92" spans="1:28" hidden="1">
      <c r="A92" s="402" t="s">
        <v>900</v>
      </c>
      <c r="B92" s="53" t="s">
        <v>264</v>
      </c>
      <c r="C92" s="53" t="s">
        <v>318</v>
      </c>
      <c r="D92" s="15" t="s">
        <v>52</v>
      </c>
      <c r="E92" s="42">
        <v>36607</v>
      </c>
      <c r="F92" s="15"/>
      <c r="G92" s="15"/>
      <c r="H92" s="15">
        <v>1000000000</v>
      </c>
      <c r="I92" s="17" t="s">
        <v>82</v>
      </c>
      <c r="J92" s="43">
        <v>37337</v>
      </c>
      <c r="K92" s="15"/>
      <c r="L92" s="15"/>
      <c r="M92" s="15">
        <f>1000000000+102500000</f>
        <v>1102500000</v>
      </c>
      <c r="N92" s="15">
        <v>1000000000</v>
      </c>
      <c r="O92" s="15">
        <f t="shared" si="7"/>
        <v>102500000</v>
      </c>
      <c r="P92" s="15">
        <f>+H92-N92</f>
        <v>0</v>
      </c>
      <c r="Q92" s="15"/>
      <c r="R92" s="405" t="s">
        <v>3</v>
      </c>
      <c r="S92" s="405"/>
      <c r="T92" s="405" t="s">
        <v>9</v>
      </c>
      <c r="U92" s="405" t="s">
        <v>13</v>
      </c>
    </row>
    <row r="93" spans="1:28" hidden="1">
      <c r="A93" s="402" t="s">
        <v>900</v>
      </c>
      <c r="B93" s="53" t="s">
        <v>264</v>
      </c>
      <c r="C93" s="53" t="s">
        <v>314</v>
      </c>
      <c r="D93" s="20" t="s">
        <v>84</v>
      </c>
      <c r="E93" s="44">
        <v>37741</v>
      </c>
      <c r="F93" s="20"/>
      <c r="G93" s="20"/>
      <c r="H93" s="20">
        <v>122000000</v>
      </c>
      <c r="I93" s="22" t="s">
        <v>32</v>
      </c>
      <c r="J93" s="38">
        <v>38230</v>
      </c>
      <c r="K93" s="20"/>
      <c r="L93" s="20"/>
      <c r="M93" s="20">
        <v>375000000</v>
      </c>
      <c r="N93" s="20">
        <v>375000000</v>
      </c>
      <c r="O93" s="24">
        <f t="shared" si="7"/>
        <v>0</v>
      </c>
      <c r="P93" s="20"/>
      <c r="Q93" s="20"/>
      <c r="R93" s="401" t="s">
        <v>3</v>
      </c>
      <c r="S93" s="401"/>
      <c r="T93" s="401" t="s">
        <v>12</v>
      </c>
      <c r="U93" s="401" t="s">
        <v>30</v>
      </c>
      <c r="V93" s="26"/>
      <c r="W93" s="26"/>
      <c r="X93" s="26"/>
      <c r="Y93" s="26"/>
    </row>
    <row r="94" spans="1:28" s="26" customFormat="1" hidden="1">
      <c r="A94" s="402" t="s">
        <v>900</v>
      </c>
      <c r="B94" s="53" t="s">
        <v>264</v>
      </c>
      <c r="C94" s="53" t="s">
        <v>314</v>
      </c>
      <c r="D94" s="14" t="s">
        <v>84</v>
      </c>
      <c r="E94" s="45">
        <v>37764</v>
      </c>
      <c r="F94" s="14"/>
      <c r="G94" s="14"/>
      <c r="H94" s="14">
        <v>600000000</v>
      </c>
      <c r="I94" s="28" t="s">
        <v>32</v>
      </c>
      <c r="J94" s="40">
        <v>38231</v>
      </c>
      <c r="K94" s="14"/>
      <c r="L94" s="14"/>
      <c r="M94" s="14">
        <v>347000000</v>
      </c>
      <c r="N94" s="14">
        <f>+M94</f>
        <v>347000000</v>
      </c>
      <c r="O94" s="30">
        <f t="shared" si="7"/>
        <v>0</v>
      </c>
      <c r="P94" s="14"/>
      <c r="Q94" s="14"/>
      <c r="R94" s="402" t="s">
        <v>3</v>
      </c>
      <c r="S94" s="402"/>
      <c r="T94" s="402" t="s">
        <v>12</v>
      </c>
      <c r="U94" s="402" t="s">
        <v>30</v>
      </c>
      <c r="AB94" s="252"/>
    </row>
    <row r="95" spans="1:28" s="26" customFormat="1" hidden="1">
      <c r="A95" s="402" t="s">
        <v>900</v>
      </c>
      <c r="B95" s="53" t="s">
        <v>264</v>
      </c>
      <c r="C95" s="53" t="s">
        <v>278</v>
      </c>
      <c r="D95" s="11" t="s">
        <v>84</v>
      </c>
      <c r="E95" s="46">
        <v>37984</v>
      </c>
      <c r="F95" s="11">
        <v>732</v>
      </c>
      <c r="G95" s="11">
        <v>5000</v>
      </c>
      <c r="H95" s="11">
        <f>+F95*G95</f>
        <v>3660000</v>
      </c>
      <c r="I95" s="33" t="s">
        <v>963</v>
      </c>
      <c r="J95" s="41">
        <v>38202</v>
      </c>
      <c r="K95" s="11">
        <v>732</v>
      </c>
      <c r="L95" s="11"/>
      <c r="M95" s="11">
        <f>3660000+41385816</f>
        <v>45045816</v>
      </c>
      <c r="N95" s="11">
        <v>3660000</v>
      </c>
      <c r="O95" s="11">
        <f t="shared" si="7"/>
        <v>41385816</v>
      </c>
      <c r="P95" s="14">
        <f>+SUM(H93:H95)-SUM(N93:N95)</f>
        <v>0</v>
      </c>
      <c r="Q95" s="11"/>
      <c r="R95" s="403" t="s">
        <v>964</v>
      </c>
      <c r="S95" s="403"/>
      <c r="T95" s="403" t="s">
        <v>12</v>
      </c>
      <c r="U95" s="403" t="s">
        <v>30</v>
      </c>
      <c r="AB95" s="252"/>
    </row>
    <row r="96" spans="1:28" s="26" customFormat="1" hidden="1">
      <c r="A96" s="31" t="s">
        <v>521</v>
      </c>
      <c r="B96" s="53" t="s">
        <v>264</v>
      </c>
      <c r="C96" s="53" t="s">
        <v>308</v>
      </c>
      <c r="D96" s="20" t="s">
        <v>87</v>
      </c>
      <c r="E96" s="44">
        <v>37343</v>
      </c>
      <c r="F96" s="20">
        <v>22222</v>
      </c>
      <c r="G96" s="20">
        <v>13500</v>
      </c>
      <c r="H96" s="20">
        <v>299997000</v>
      </c>
      <c r="I96" s="22" t="s">
        <v>969</v>
      </c>
      <c r="J96" s="38">
        <v>38538</v>
      </c>
      <c r="K96" s="20">
        <v>38888</v>
      </c>
      <c r="L96" s="20">
        <v>1929</v>
      </c>
      <c r="M96" s="20">
        <v>74999007</v>
      </c>
      <c r="N96" s="20">
        <v>74999007</v>
      </c>
      <c r="O96" s="24">
        <f t="shared" si="7"/>
        <v>0</v>
      </c>
      <c r="P96" s="20"/>
      <c r="Q96" s="20"/>
      <c r="R96" s="25" t="s">
        <v>64</v>
      </c>
      <c r="S96" s="401"/>
      <c r="T96" s="25" t="s">
        <v>61</v>
      </c>
      <c r="U96" s="25" t="s">
        <v>77</v>
      </c>
      <c r="AB96" s="252"/>
    </row>
    <row r="97" spans="1:28" s="26" customFormat="1" hidden="1">
      <c r="A97" s="31" t="s">
        <v>521</v>
      </c>
      <c r="B97" s="53" t="s">
        <v>264</v>
      </c>
      <c r="C97" s="53" t="s">
        <v>308</v>
      </c>
      <c r="D97" s="11" t="s">
        <v>87</v>
      </c>
      <c r="E97" s="46"/>
      <c r="F97" s="11"/>
      <c r="G97" s="11"/>
      <c r="H97" s="11"/>
      <c r="I97" s="33"/>
      <c r="J97" s="41">
        <v>38779</v>
      </c>
      <c r="K97" s="11">
        <v>116666</v>
      </c>
      <c r="L97" s="11">
        <v>1600</v>
      </c>
      <c r="M97" s="11">
        <v>186665600</v>
      </c>
      <c r="N97" s="11">
        <v>224997993</v>
      </c>
      <c r="O97" s="35">
        <f t="shared" si="7"/>
        <v>-38332393</v>
      </c>
      <c r="P97" s="14">
        <f>+SUM(H96:H97)-SUM(N96:N97)</f>
        <v>0</v>
      </c>
      <c r="Q97" s="11"/>
      <c r="R97" s="36" t="s">
        <v>64</v>
      </c>
      <c r="S97" s="403"/>
      <c r="T97" s="36" t="s">
        <v>61</v>
      </c>
      <c r="U97" s="36" t="s">
        <v>77</v>
      </c>
      <c r="AB97" s="252"/>
    </row>
    <row r="98" spans="1:28" s="411" customFormat="1" hidden="1">
      <c r="A98" s="282" t="s">
        <v>903</v>
      </c>
      <c r="B98" s="81" t="s">
        <v>264</v>
      </c>
      <c r="C98" s="81" t="s">
        <v>873</v>
      </c>
      <c r="D98" s="56" t="s">
        <v>904</v>
      </c>
      <c r="E98" s="62">
        <v>37935</v>
      </c>
      <c r="F98" s="56">
        <v>6</v>
      </c>
      <c r="G98" s="56">
        <v>3100</v>
      </c>
      <c r="H98" s="56">
        <f t="shared" ref="H98:H105" si="8">+F98*G98</f>
        <v>18600</v>
      </c>
      <c r="I98" s="58" t="s">
        <v>875</v>
      </c>
      <c r="J98" s="63">
        <v>37973</v>
      </c>
      <c r="K98" s="56">
        <v>6</v>
      </c>
      <c r="L98" s="56">
        <v>3070</v>
      </c>
      <c r="M98" s="56">
        <f>+N98-180</f>
        <v>18420</v>
      </c>
      <c r="N98" s="56">
        <v>18600</v>
      </c>
      <c r="O98" s="56">
        <f t="shared" si="7"/>
        <v>-180</v>
      </c>
      <c r="P98" s="56">
        <f>+H98-N98</f>
        <v>0</v>
      </c>
      <c r="Q98" s="56"/>
      <c r="R98" s="61" t="s">
        <v>884</v>
      </c>
      <c r="S98" s="61"/>
      <c r="T98" s="61" t="s">
        <v>881</v>
      </c>
      <c r="U98" s="61" t="s">
        <v>878</v>
      </c>
      <c r="V98" s="410"/>
      <c r="W98" s="410"/>
      <c r="X98" s="410"/>
      <c r="Y98" s="410"/>
      <c r="AB98" s="587"/>
    </row>
    <row r="99" spans="1:28" s="411" customFormat="1" hidden="1">
      <c r="A99" s="282" t="s">
        <v>903</v>
      </c>
      <c r="B99" s="81" t="s">
        <v>264</v>
      </c>
      <c r="C99" s="81" t="s">
        <v>278</v>
      </c>
      <c r="D99" s="56" t="s">
        <v>54</v>
      </c>
      <c r="E99" s="62">
        <v>37935</v>
      </c>
      <c r="F99" s="56">
        <v>26</v>
      </c>
      <c r="G99" s="56">
        <v>2800</v>
      </c>
      <c r="H99" s="56">
        <f t="shared" si="8"/>
        <v>72800</v>
      </c>
      <c r="I99" s="58" t="s">
        <v>26</v>
      </c>
      <c r="J99" s="63">
        <v>37973</v>
      </c>
      <c r="K99" s="56">
        <v>26</v>
      </c>
      <c r="L99" s="56">
        <v>4900</v>
      </c>
      <c r="M99" s="56">
        <f>72800+54600</f>
        <v>127400</v>
      </c>
      <c r="N99" s="56">
        <v>72800</v>
      </c>
      <c r="O99" s="56">
        <f t="shared" si="7"/>
        <v>54600</v>
      </c>
      <c r="P99" s="56">
        <f>+H99-N99</f>
        <v>0</v>
      </c>
      <c r="Q99" s="56"/>
      <c r="R99" s="61" t="s">
        <v>3</v>
      </c>
      <c r="S99" s="61"/>
      <c r="T99" s="61" t="s">
        <v>9</v>
      </c>
      <c r="U99" s="61" t="s">
        <v>50</v>
      </c>
      <c r="V99" s="410"/>
      <c r="W99" s="410"/>
      <c r="X99" s="410"/>
      <c r="Y99" s="410"/>
      <c r="AB99" s="587"/>
    </row>
    <row r="100" spans="1:28" s="410" customFormat="1" hidden="1">
      <c r="A100" s="282" t="s">
        <v>900</v>
      </c>
      <c r="B100" s="81" t="s">
        <v>264</v>
      </c>
      <c r="C100" s="414" t="s">
        <v>278</v>
      </c>
      <c r="D100" s="56" t="s">
        <v>55</v>
      </c>
      <c r="E100" s="62">
        <v>37928</v>
      </c>
      <c r="F100" s="56">
        <v>19</v>
      </c>
      <c r="G100" s="56">
        <v>14000</v>
      </c>
      <c r="H100" s="56">
        <f t="shared" si="8"/>
        <v>266000</v>
      </c>
      <c r="I100" s="58" t="s">
        <v>26</v>
      </c>
      <c r="J100" s="84">
        <v>38351</v>
      </c>
      <c r="K100" s="60">
        <v>19</v>
      </c>
      <c r="L100" s="60">
        <v>3510</v>
      </c>
      <c r="M100" s="60">
        <v>66230</v>
      </c>
      <c r="N100" s="56">
        <v>266000</v>
      </c>
      <c r="O100" s="56">
        <f t="shared" si="7"/>
        <v>-199770</v>
      </c>
      <c r="P100" s="56">
        <f>+H100-N100</f>
        <v>0</v>
      </c>
      <c r="Q100" s="56"/>
      <c r="R100" s="61" t="s">
        <v>3</v>
      </c>
      <c r="S100" s="61"/>
      <c r="T100" s="61" t="s">
        <v>9</v>
      </c>
      <c r="U100" s="61" t="s">
        <v>50</v>
      </c>
      <c r="V100" s="411"/>
      <c r="W100" s="411"/>
      <c r="X100" s="411"/>
      <c r="Y100" s="411"/>
      <c r="AB100" s="586"/>
    </row>
    <row r="101" spans="1:28" hidden="1">
      <c r="A101" s="36" t="s">
        <v>521</v>
      </c>
      <c r="B101" s="72" t="s">
        <v>527</v>
      </c>
      <c r="C101" s="132" t="s">
        <v>523</v>
      </c>
      <c r="D101" s="147"/>
      <c r="E101" s="148"/>
      <c r="F101" s="147"/>
      <c r="G101" s="147"/>
      <c r="H101" s="147">
        <f>SUM(H71:H100)</f>
        <v>7576809400</v>
      </c>
      <c r="I101" s="149"/>
      <c r="J101" s="156"/>
      <c r="K101" s="154"/>
      <c r="L101" s="154"/>
      <c r="M101" s="154">
        <f>SUM(M71:M100)</f>
        <v>4881637578</v>
      </c>
      <c r="N101" s="154">
        <f>SUM(N71:N100)</f>
        <v>7576809400</v>
      </c>
      <c r="O101" s="154">
        <f>SUM(O71:O100)</f>
        <v>-2695171822</v>
      </c>
      <c r="P101" s="154">
        <f>SUM(P71:P100)</f>
        <v>0</v>
      </c>
      <c r="Q101" s="133"/>
      <c r="R101" s="138"/>
      <c r="S101" s="138"/>
      <c r="T101" s="138"/>
      <c r="U101" s="138"/>
      <c r="V101" s="26"/>
      <c r="W101" s="26"/>
      <c r="X101" s="26"/>
      <c r="Y101" s="26"/>
    </row>
    <row r="102" spans="1:28" s="26" customFormat="1" hidden="1">
      <c r="A102" s="401" t="s">
        <v>859</v>
      </c>
      <c r="B102" s="404" t="s">
        <v>88</v>
      </c>
      <c r="C102" s="404" t="s">
        <v>278</v>
      </c>
      <c r="D102" s="20" t="s">
        <v>89</v>
      </c>
      <c r="E102" s="44">
        <v>36823</v>
      </c>
      <c r="F102" s="20">
        <v>25368</v>
      </c>
      <c r="G102" s="20">
        <v>25000</v>
      </c>
      <c r="H102" s="20">
        <f t="shared" si="8"/>
        <v>634200000</v>
      </c>
      <c r="I102" s="22" t="s">
        <v>892</v>
      </c>
      <c r="J102" s="38">
        <v>38352</v>
      </c>
      <c r="K102" s="20"/>
      <c r="L102" s="20"/>
      <c r="M102" s="20">
        <v>0</v>
      </c>
      <c r="N102" s="20">
        <v>934200000</v>
      </c>
      <c r="O102" s="20">
        <f>+M102-N102</f>
        <v>-934200000</v>
      </c>
      <c r="P102" s="20"/>
      <c r="Q102" s="20"/>
      <c r="R102" s="401" t="s">
        <v>29</v>
      </c>
      <c r="S102" s="401"/>
      <c r="T102" s="401" t="s">
        <v>12</v>
      </c>
      <c r="U102" s="401" t="s">
        <v>50</v>
      </c>
      <c r="V102" s="4"/>
      <c r="W102" s="20" t="s">
        <v>89</v>
      </c>
      <c r="X102" s="21">
        <v>36823</v>
      </c>
      <c r="Y102" s="20">
        <v>25368</v>
      </c>
      <c r="Z102" s="20">
        <v>-25000</v>
      </c>
      <c r="AA102" s="20">
        <f>+Y102*Z102</f>
        <v>-634200000</v>
      </c>
      <c r="AB102" s="252"/>
    </row>
    <row r="103" spans="1:28" s="26" customFormat="1" hidden="1">
      <c r="A103" s="402" t="s">
        <v>859</v>
      </c>
      <c r="B103" s="53" t="s">
        <v>265</v>
      </c>
      <c r="C103" s="53" t="s">
        <v>278</v>
      </c>
      <c r="D103" s="14" t="s">
        <v>89</v>
      </c>
      <c r="E103" s="45">
        <v>36931</v>
      </c>
      <c r="F103" s="14">
        <v>15000</v>
      </c>
      <c r="G103" s="14">
        <v>20000</v>
      </c>
      <c r="H103" s="14">
        <f t="shared" si="8"/>
        <v>300000000</v>
      </c>
      <c r="I103" s="28" t="s">
        <v>892</v>
      </c>
      <c r="J103" s="40">
        <v>38352</v>
      </c>
      <c r="K103" s="14">
        <v>40368</v>
      </c>
      <c r="L103" s="14">
        <v>0</v>
      </c>
      <c r="M103" s="14">
        <v>2000</v>
      </c>
      <c r="N103" s="14">
        <v>0</v>
      </c>
      <c r="O103" s="11">
        <f t="shared" ref="O103:O115" si="9">+M103-N103</f>
        <v>2000</v>
      </c>
      <c r="P103" s="78">
        <f>+SUM(H102:H103)-SUM(N102:N103)</f>
        <v>0</v>
      </c>
      <c r="Q103" s="78"/>
      <c r="R103" s="282" t="s">
        <v>870</v>
      </c>
      <c r="S103" s="282"/>
      <c r="T103" s="402" t="s">
        <v>12</v>
      </c>
      <c r="U103" s="402" t="s">
        <v>50</v>
      </c>
      <c r="V103" s="4"/>
      <c r="W103" s="14" t="s">
        <v>89</v>
      </c>
      <c r="X103" s="27">
        <v>36931</v>
      </c>
      <c r="Y103" s="14">
        <v>15000</v>
      </c>
      <c r="Z103" s="14">
        <v>-20000</v>
      </c>
      <c r="AA103" s="14">
        <f>+Y103*Z103</f>
        <v>-300000000</v>
      </c>
      <c r="AB103" s="252"/>
    </row>
    <row r="104" spans="1:28" s="26" customFormat="1" hidden="1">
      <c r="A104" s="402" t="s">
        <v>859</v>
      </c>
      <c r="B104" s="53" t="s">
        <v>265</v>
      </c>
      <c r="C104" s="53" t="s">
        <v>308</v>
      </c>
      <c r="D104" s="20" t="s">
        <v>91</v>
      </c>
      <c r="E104" s="44">
        <v>36600</v>
      </c>
      <c r="F104" s="20">
        <v>20000</v>
      </c>
      <c r="G104" s="20">
        <v>5500</v>
      </c>
      <c r="H104" s="20">
        <f t="shared" si="8"/>
        <v>110000000</v>
      </c>
      <c r="I104" s="22" t="s">
        <v>892</v>
      </c>
      <c r="J104" s="38">
        <v>37789</v>
      </c>
      <c r="K104" s="20">
        <v>5000</v>
      </c>
      <c r="L104" s="20">
        <v>3350</v>
      </c>
      <c r="M104" s="20">
        <f>16632750+67000+50250</f>
        <v>16750000</v>
      </c>
      <c r="N104" s="20">
        <f>+M104+9474589</f>
        <v>26224589</v>
      </c>
      <c r="O104" s="24">
        <f t="shared" si="9"/>
        <v>-9474589</v>
      </c>
      <c r="P104" s="20"/>
      <c r="Q104" s="20"/>
      <c r="R104" s="401" t="s">
        <v>3</v>
      </c>
      <c r="S104" s="401"/>
      <c r="T104" s="401" t="s">
        <v>9</v>
      </c>
      <c r="U104" s="401" t="s">
        <v>50</v>
      </c>
      <c r="X104" s="40">
        <v>38352</v>
      </c>
      <c r="Y104" s="14">
        <v>40368</v>
      </c>
      <c r="Z104" s="14">
        <v>0</v>
      </c>
      <c r="AA104" s="14">
        <v>2000</v>
      </c>
      <c r="AB104" s="252">
        <f>+XIRR(AA102:AA104,X102:X104)</f>
        <v>-0.95983302376698687</v>
      </c>
    </row>
    <row r="105" spans="1:28" hidden="1">
      <c r="A105" s="402" t="s">
        <v>859</v>
      </c>
      <c r="B105" s="53" t="s">
        <v>265</v>
      </c>
      <c r="C105" s="53" t="s">
        <v>308</v>
      </c>
      <c r="D105" s="14" t="s">
        <v>91</v>
      </c>
      <c r="E105" s="45">
        <v>36823</v>
      </c>
      <c r="F105" s="14">
        <v>20830</v>
      </c>
      <c r="G105" s="14">
        <v>5000</v>
      </c>
      <c r="H105" s="14">
        <f t="shared" si="8"/>
        <v>104150000</v>
      </c>
      <c r="I105" s="28" t="s">
        <v>892</v>
      </c>
      <c r="J105" s="40">
        <v>37790</v>
      </c>
      <c r="K105" s="14">
        <v>25000</v>
      </c>
      <c r="L105" s="14">
        <v>3440</v>
      </c>
      <c r="M105" s="14">
        <f>85398000+344000+258000</f>
        <v>86000000</v>
      </c>
      <c r="N105" s="14">
        <f>+M105+45122948</f>
        <v>131122948</v>
      </c>
      <c r="O105" s="30">
        <f t="shared" si="9"/>
        <v>-45122948</v>
      </c>
      <c r="P105" s="14"/>
      <c r="Q105" s="14"/>
      <c r="R105" s="402" t="s">
        <v>3</v>
      </c>
      <c r="S105" s="402"/>
      <c r="T105" s="402" t="s">
        <v>9</v>
      </c>
      <c r="U105" s="402" t="s">
        <v>50</v>
      </c>
      <c r="V105" s="26"/>
      <c r="W105" s="20" t="s">
        <v>91</v>
      </c>
      <c r="X105" s="44">
        <v>36600</v>
      </c>
      <c r="Y105" s="20">
        <v>20000</v>
      </c>
      <c r="Z105" s="20">
        <v>-5500</v>
      </c>
      <c r="AA105" s="20">
        <f>+Y105*Z105</f>
        <v>-110000000</v>
      </c>
    </row>
    <row r="106" spans="1:28" hidden="1">
      <c r="A106" s="402" t="s">
        <v>859</v>
      </c>
      <c r="B106" s="53" t="s">
        <v>265</v>
      </c>
      <c r="C106" s="53" t="s">
        <v>308</v>
      </c>
      <c r="D106" s="11" t="s">
        <v>91</v>
      </c>
      <c r="E106" s="46"/>
      <c r="F106" s="11"/>
      <c r="G106" s="11"/>
      <c r="H106" s="11"/>
      <c r="I106" s="28" t="s">
        <v>892</v>
      </c>
      <c r="J106" s="41">
        <v>37965</v>
      </c>
      <c r="K106" s="11">
        <v>10830</v>
      </c>
      <c r="L106" s="11">
        <v>2010</v>
      </c>
      <c r="M106" s="11">
        <f>+K106*L106</f>
        <v>21768300</v>
      </c>
      <c r="N106" s="11">
        <v>56802463</v>
      </c>
      <c r="O106" s="35">
        <f t="shared" si="9"/>
        <v>-35034163</v>
      </c>
      <c r="P106" s="14">
        <f>+SUM(H104:H106)-SUM(N104:N106)</f>
        <v>0</v>
      </c>
      <c r="Q106" s="11"/>
      <c r="R106" s="403" t="s">
        <v>3</v>
      </c>
      <c r="S106" s="403"/>
      <c r="T106" s="403" t="s">
        <v>9</v>
      </c>
      <c r="U106" s="403" t="s">
        <v>50</v>
      </c>
      <c r="V106" s="26"/>
      <c r="W106" s="14" t="s">
        <v>91</v>
      </c>
      <c r="X106" s="45">
        <v>36823</v>
      </c>
      <c r="Y106" s="14">
        <v>20830</v>
      </c>
      <c r="Z106" s="14">
        <v>-5000</v>
      </c>
      <c r="AA106" s="14">
        <f>+Y106*Z106</f>
        <v>-104150000</v>
      </c>
    </row>
    <row r="107" spans="1:28" s="26" customFormat="1" hidden="1">
      <c r="A107" s="402" t="s">
        <v>859</v>
      </c>
      <c r="B107" s="53" t="s">
        <v>265</v>
      </c>
      <c r="C107" s="53" t="s">
        <v>308</v>
      </c>
      <c r="D107" s="20" t="s">
        <v>92</v>
      </c>
      <c r="E107" s="44">
        <v>36823</v>
      </c>
      <c r="F107" s="20">
        <v>120000</v>
      </c>
      <c r="G107" s="20">
        <v>2500</v>
      </c>
      <c r="H107" s="20">
        <f>+F107*G107</f>
        <v>300000000</v>
      </c>
      <c r="I107" s="22" t="s">
        <v>892</v>
      </c>
      <c r="J107" s="38">
        <v>37715</v>
      </c>
      <c r="K107" s="20">
        <v>120000</v>
      </c>
      <c r="L107" s="20">
        <v>1183</v>
      </c>
      <c r="M107" s="20">
        <v>142000000</v>
      </c>
      <c r="N107" s="20">
        <v>142000000</v>
      </c>
      <c r="O107" s="24">
        <f t="shared" si="9"/>
        <v>0</v>
      </c>
      <c r="P107" s="20"/>
      <c r="Q107" s="20"/>
      <c r="R107" s="401" t="s">
        <v>3</v>
      </c>
      <c r="S107" s="401"/>
      <c r="T107" s="401" t="s">
        <v>9</v>
      </c>
      <c r="U107" s="401" t="s">
        <v>50</v>
      </c>
      <c r="X107" s="38">
        <v>37789</v>
      </c>
      <c r="Y107" s="20">
        <v>5000</v>
      </c>
      <c r="Z107" s="20">
        <v>3350</v>
      </c>
      <c r="AA107" s="20">
        <f>16632750+67000+50250</f>
        <v>16750000</v>
      </c>
      <c r="AB107" s="252"/>
    </row>
    <row r="108" spans="1:28" s="26" customFormat="1" hidden="1">
      <c r="A108" s="402" t="s">
        <v>859</v>
      </c>
      <c r="B108" s="53" t="s">
        <v>265</v>
      </c>
      <c r="C108" s="53" t="s">
        <v>308</v>
      </c>
      <c r="D108" s="11" t="s">
        <v>92</v>
      </c>
      <c r="E108" s="46"/>
      <c r="F108" s="11"/>
      <c r="G108" s="11"/>
      <c r="H108" s="11"/>
      <c r="I108" s="33" t="s">
        <v>892</v>
      </c>
      <c r="J108" s="41">
        <v>38352</v>
      </c>
      <c r="K108" s="11"/>
      <c r="L108" s="11"/>
      <c r="M108" s="11">
        <v>0</v>
      </c>
      <c r="N108" s="11">
        <v>158000000</v>
      </c>
      <c r="O108" s="35">
        <f>+M108-N108</f>
        <v>-158000000</v>
      </c>
      <c r="P108" s="14">
        <f>+SUM(H107:H108)-SUM(N107:N108)</f>
        <v>0</v>
      </c>
      <c r="Q108" s="11"/>
      <c r="R108" s="403" t="s">
        <v>29</v>
      </c>
      <c r="S108" s="403"/>
      <c r="T108" s="408" t="s">
        <v>1068</v>
      </c>
      <c r="U108" s="403" t="s">
        <v>50</v>
      </c>
      <c r="X108" s="40">
        <v>37790</v>
      </c>
      <c r="Y108" s="14">
        <v>25000</v>
      </c>
      <c r="Z108" s="14">
        <v>3440</v>
      </c>
      <c r="AA108" s="14">
        <f>85398000+344000+258000</f>
        <v>86000000</v>
      </c>
      <c r="AB108" s="252"/>
    </row>
    <row r="109" spans="1:28" s="26" customFormat="1" hidden="1">
      <c r="A109" s="402" t="s">
        <v>859</v>
      </c>
      <c r="B109" s="53" t="s">
        <v>265</v>
      </c>
      <c r="C109" s="53" t="s">
        <v>308</v>
      </c>
      <c r="D109" s="15" t="s">
        <v>93</v>
      </c>
      <c r="E109" s="42">
        <v>36823</v>
      </c>
      <c r="F109" s="15">
        <v>10800</v>
      </c>
      <c r="G109" s="15">
        <v>25000</v>
      </c>
      <c r="H109" s="15">
        <f>+F109*G109</f>
        <v>270000000</v>
      </c>
      <c r="I109" s="17" t="s">
        <v>892</v>
      </c>
      <c r="J109" s="43">
        <v>37013</v>
      </c>
      <c r="K109" s="15">
        <v>25000</v>
      </c>
      <c r="L109" s="15">
        <v>10800</v>
      </c>
      <c r="M109" s="15">
        <f>+K109*L109</f>
        <v>270000000</v>
      </c>
      <c r="N109" s="15">
        <f>+M109</f>
        <v>270000000</v>
      </c>
      <c r="O109" s="15">
        <f>+M109-N109</f>
        <v>0</v>
      </c>
      <c r="P109" s="15">
        <f>+H109-N109</f>
        <v>0</v>
      </c>
      <c r="Q109" s="15"/>
      <c r="R109" s="405" t="s">
        <v>3</v>
      </c>
      <c r="S109" s="405"/>
      <c r="T109" s="405" t="s">
        <v>12</v>
      </c>
      <c r="U109" s="405" t="s">
        <v>50</v>
      </c>
      <c r="V109" s="4"/>
      <c r="W109" s="4"/>
      <c r="X109" s="41">
        <v>37965</v>
      </c>
      <c r="Y109" s="11">
        <v>10830</v>
      </c>
      <c r="Z109" s="11">
        <v>2010</v>
      </c>
      <c r="AA109" s="11">
        <f>+Y109*Z109</f>
        <v>21768300</v>
      </c>
      <c r="AB109" s="252">
        <f>+XIRR(AA105:AA109,X105:X109)</f>
        <v>-0.16329821832478045</v>
      </c>
    </row>
    <row r="110" spans="1:28" s="26" customFormat="1" hidden="1">
      <c r="A110" s="402" t="s">
        <v>859</v>
      </c>
      <c r="B110" s="53" t="s">
        <v>265</v>
      </c>
      <c r="C110" s="53" t="s">
        <v>308</v>
      </c>
      <c r="D110" s="20" t="s">
        <v>94</v>
      </c>
      <c r="E110" s="44">
        <v>36637</v>
      </c>
      <c r="F110" s="20">
        <v>16000</v>
      </c>
      <c r="G110" s="20">
        <v>32000</v>
      </c>
      <c r="H110" s="20">
        <f>+F110*G110</f>
        <v>512000000</v>
      </c>
      <c r="I110" s="22" t="s">
        <v>892</v>
      </c>
      <c r="J110" s="38">
        <v>38247</v>
      </c>
      <c r="K110" s="20"/>
      <c r="L110" s="20"/>
      <c r="M110" s="20">
        <v>35586287</v>
      </c>
      <c r="N110" s="20">
        <v>558614232</v>
      </c>
      <c r="O110" s="24">
        <f>+M110-N110</f>
        <v>-523027945</v>
      </c>
      <c r="P110" s="20"/>
      <c r="Q110" s="20"/>
      <c r="R110" s="401" t="s">
        <v>3</v>
      </c>
      <c r="S110" s="401"/>
      <c r="T110" s="401" t="s">
        <v>12</v>
      </c>
      <c r="U110" s="401" t="s">
        <v>50</v>
      </c>
      <c r="W110" s="20" t="s">
        <v>92</v>
      </c>
      <c r="X110" s="44">
        <v>36823</v>
      </c>
      <c r="Y110" s="20">
        <v>120000</v>
      </c>
      <c r="Z110" s="20">
        <v>-2500</v>
      </c>
      <c r="AA110" s="20">
        <f>+Y110*Z110</f>
        <v>-300000000</v>
      </c>
      <c r="AB110" s="252"/>
    </row>
    <row r="111" spans="1:28" s="26" customFormat="1" hidden="1">
      <c r="A111" s="402" t="s">
        <v>859</v>
      </c>
      <c r="B111" s="53" t="s">
        <v>265</v>
      </c>
      <c r="C111" s="53" t="s">
        <v>308</v>
      </c>
      <c r="D111" s="14" t="s">
        <v>94</v>
      </c>
      <c r="E111" s="45">
        <v>37333</v>
      </c>
      <c r="F111" s="14">
        <v>10000</v>
      </c>
      <c r="G111" s="14">
        <v>30000</v>
      </c>
      <c r="H111" s="14">
        <f>+F111*G111</f>
        <v>300000000</v>
      </c>
      <c r="I111" s="28" t="s">
        <v>892</v>
      </c>
      <c r="J111" s="40">
        <v>38251</v>
      </c>
      <c r="K111" s="14"/>
      <c r="L111" s="14"/>
      <c r="M111" s="14">
        <v>6931857</v>
      </c>
      <c r="N111" s="14">
        <v>108529740</v>
      </c>
      <c r="O111" s="30">
        <f>+M111-N111</f>
        <v>-101597883</v>
      </c>
      <c r="P111" s="14"/>
      <c r="Q111" s="14"/>
      <c r="R111" s="402" t="s">
        <v>3</v>
      </c>
      <c r="S111" s="402"/>
      <c r="T111" s="402" t="s">
        <v>12</v>
      </c>
      <c r="U111" s="402" t="s">
        <v>50</v>
      </c>
      <c r="X111" s="38">
        <v>37715</v>
      </c>
      <c r="Y111" s="20">
        <v>120000</v>
      </c>
      <c r="Z111" s="20">
        <v>1183</v>
      </c>
      <c r="AA111" s="20">
        <v>142000000</v>
      </c>
      <c r="AB111" s="252">
        <f>+XIRR(AA110:AA111,X110:X111)</f>
        <v>-0.26365607939660562</v>
      </c>
    </row>
    <row r="112" spans="1:28" s="26" customFormat="1" hidden="1">
      <c r="A112" s="402" t="s">
        <v>859</v>
      </c>
      <c r="B112" s="53" t="s">
        <v>265</v>
      </c>
      <c r="C112" s="53" t="s">
        <v>308</v>
      </c>
      <c r="D112" s="14" t="s">
        <v>94</v>
      </c>
      <c r="E112" s="45">
        <v>37468</v>
      </c>
      <c r="F112" s="14">
        <v>3500</v>
      </c>
      <c r="G112" s="14">
        <v>20000</v>
      </c>
      <c r="H112" s="14">
        <f>+F112*G112</f>
        <v>70000000</v>
      </c>
      <c r="I112" s="28" t="s">
        <v>892</v>
      </c>
      <c r="J112" s="40">
        <v>38252</v>
      </c>
      <c r="K112" s="14"/>
      <c r="L112" s="14"/>
      <c r="M112" s="14">
        <v>13836421</v>
      </c>
      <c r="N112" s="14">
        <v>214847028</v>
      </c>
      <c r="O112" s="30">
        <f>+M112-N112</f>
        <v>-201010607</v>
      </c>
      <c r="P112" s="14"/>
      <c r="Q112" s="14"/>
      <c r="R112" s="402" t="s">
        <v>3</v>
      </c>
      <c r="S112" s="402"/>
      <c r="T112" s="402" t="s">
        <v>12</v>
      </c>
      <c r="U112" s="402" t="s">
        <v>50</v>
      </c>
      <c r="W112" s="15" t="s">
        <v>93</v>
      </c>
      <c r="X112" s="42">
        <v>36823</v>
      </c>
      <c r="Y112" s="15">
        <v>10800</v>
      </c>
      <c r="Z112" s="15">
        <v>-25000</v>
      </c>
      <c r="AA112" s="15">
        <f>+Y112*Z112</f>
        <v>-270000000</v>
      </c>
      <c r="AB112" s="252"/>
    </row>
    <row r="113" spans="1:28" s="26" customFormat="1" hidden="1">
      <c r="A113" s="402" t="s">
        <v>859</v>
      </c>
      <c r="B113" s="53" t="s">
        <v>265</v>
      </c>
      <c r="C113" s="53" t="s">
        <v>308</v>
      </c>
      <c r="D113" s="14" t="s">
        <v>94</v>
      </c>
      <c r="E113" s="46"/>
      <c r="F113" s="11"/>
      <c r="G113" s="11"/>
      <c r="H113" s="11"/>
      <c r="I113" s="28" t="s">
        <v>892</v>
      </c>
      <c r="J113" s="41">
        <v>38252</v>
      </c>
      <c r="K113" s="11"/>
      <c r="L113" s="11"/>
      <c r="M113" s="11">
        <v>0</v>
      </c>
      <c r="N113" s="11">
        <v>9000</v>
      </c>
      <c r="O113" s="35">
        <f t="shared" si="9"/>
        <v>-9000</v>
      </c>
      <c r="P113" s="14">
        <f>+SUM(H110:H113)-SUM(N110:N113)</f>
        <v>0</v>
      </c>
      <c r="Q113" s="11"/>
      <c r="R113" s="403" t="s">
        <v>3</v>
      </c>
      <c r="S113" s="403"/>
      <c r="T113" s="403" t="s">
        <v>12</v>
      </c>
      <c r="U113" s="403" t="s">
        <v>50</v>
      </c>
      <c r="X113" s="43">
        <v>37013</v>
      </c>
      <c r="Y113" s="15">
        <v>25000</v>
      </c>
      <c r="Z113" s="15">
        <v>10800</v>
      </c>
      <c r="AA113" s="15">
        <f>+Y113*Z113</f>
        <v>270000000</v>
      </c>
      <c r="AB113" s="252">
        <f>+XIRR(AA112:AA113,X112:X113)</f>
        <v>2.9802322387695314E-9</v>
      </c>
    </row>
    <row r="114" spans="1:28" s="26" customFormat="1" hidden="1">
      <c r="A114" s="402" t="s">
        <v>859</v>
      </c>
      <c r="B114" s="53" t="s">
        <v>265</v>
      </c>
      <c r="C114" s="53" t="s">
        <v>278</v>
      </c>
      <c r="D114" s="20" t="s">
        <v>95</v>
      </c>
      <c r="E114" s="44">
        <v>36888</v>
      </c>
      <c r="F114" s="20">
        <v>16666</v>
      </c>
      <c r="G114" s="20">
        <v>30000</v>
      </c>
      <c r="H114" s="20">
        <f>+F114*G114</f>
        <v>499980000</v>
      </c>
      <c r="I114" s="22" t="s">
        <v>892</v>
      </c>
      <c r="J114" s="38">
        <v>38352</v>
      </c>
      <c r="K114" s="20"/>
      <c r="L114" s="20"/>
      <c r="M114" s="20">
        <v>0</v>
      </c>
      <c r="N114" s="20">
        <v>487634940</v>
      </c>
      <c r="O114" s="24">
        <f t="shared" si="9"/>
        <v>-487634940</v>
      </c>
      <c r="P114" s="20"/>
      <c r="Q114" s="20"/>
      <c r="R114" s="401" t="s">
        <v>29</v>
      </c>
      <c r="S114" s="401"/>
      <c r="T114" s="401" t="s">
        <v>9</v>
      </c>
      <c r="U114" s="401" t="s">
        <v>96</v>
      </c>
      <c r="W114" s="20" t="s">
        <v>94</v>
      </c>
      <c r="X114" s="44">
        <v>36637</v>
      </c>
      <c r="Y114" s="20">
        <v>16000</v>
      </c>
      <c r="Z114" s="20">
        <v>-32000</v>
      </c>
      <c r="AA114" s="20">
        <f>+Y114*Z114</f>
        <v>-512000000</v>
      </c>
      <c r="AB114" s="252"/>
    </row>
    <row r="115" spans="1:28" s="26" customFormat="1" hidden="1">
      <c r="A115" s="402" t="s">
        <v>859</v>
      </c>
      <c r="B115" s="53" t="s">
        <v>265</v>
      </c>
      <c r="C115" s="53" t="s">
        <v>278</v>
      </c>
      <c r="D115" s="14" t="s">
        <v>95</v>
      </c>
      <c r="E115" s="45"/>
      <c r="F115" s="14"/>
      <c r="G115" s="14"/>
      <c r="H115" s="14"/>
      <c r="I115" s="28" t="s">
        <v>892</v>
      </c>
      <c r="J115" s="40">
        <v>38541</v>
      </c>
      <c r="K115" s="14">
        <v>166660</v>
      </c>
      <c r="L115" s="14">
        <v>662</v>
      </c>
      <c r="M115" s="14">
        <v>110260240</v>
      </c>
      <c r="N115" s="14">
        <v>12345060</v>
      </c>
      <c r="O115" s="30">
        <f t="shared" si="9"/>
        <v>97915180</v>
      </c>
      <c r="P115" s="14">
        <f>+SUM(H114:H115)-SUM(N114:N115)</f>
        <v>0</v>
      </c>
      <c r="Q115" s="14"/>
      <c r="R115" s="402" t="s">
        <v>858</v>
      </c>
      <c r="S115" s="402"/>
      <c r="T115" s="402" t="s">
        <v>9</v>
      </c>
      <c r="U115" s="402" t="s">
        <v>96</v>
      </c>
      <c r="V115" s="4"/>
      <c r="W115" s="14" t="s">
        <v>94</v>
      </c>
      <c r="X115" s="45">
        <v>37333</v>
      </c>
      <c r="Y115" s="14">
        <v>10000</v>
      </c>
      <c r="Z115" s="14">
        <v>-30000</v>
      </c>
      <c r="AA115" s="14">
        <f>+Y115*Z115</f>
        <v>-300000000</v>
      </c>
      <c r="AB115" s="252"/>
    </row>
    <row r="116" spans="1:28" s="26" customFormat="1" hidden="1">
      <c r="A116" s="402" t="s">
        <v>859</v>
      </c>
      <c r="B116" s="53" t="s">
        <v>265</v>
      </c>
      <c r="C116" s="53" t="s">
        <v>308</v>
      </c>
      <c r="D116" s="20" t="s">
        <v>65</v>
      </c>
      <c r="E116" s="44">
        <v>36552</v>
      </c>
      <c r="F116" s="20">
        <v>6683</v>
      </c>
      <c r="G116" s="20">
        <v>75000</v>
      </c>
      <c r="H116" s="20">
        <f>+F116*G116</f>
        <v>501225000</v>
      </c>
      <c r="I116" s="22" t="s">
        <v>892</v>
      </c>
      <c r="J116" s="38">
        <v>38352</v>
      </c>
      <c r="K116" s="20"/>
      <c r="L116" s="20"/>
      <c r="M116" s="20">
        <v>0</v>
      </c>
      <c r="N116" s="20">
        <v>523947280</v>
      </c>
      <c r="O116" s="24">
        <f t="shared" ref="O116:O122" si="10">+M116-N116</f>
        <v>-523947280</v>
      </c>
      <c r="P116" s="20"/>
      <c r="Q116" s="20"/>
      <c r="R116" s="401" t="s">
        <v>29</v>
      </c>
      <c r="S116" s="401"/>
      <c r="T116" s="401" t="s">
        <v>12</v>
      </c>
      <c r="U116" s="401" t="s">
        <v>30</v>
      </c>
      <c r="W116" s="14" t="s">
        <v>94</v>
      </c>
      <c r="X116" s="45">
        <v>37468</v>
      </c>
      <c r="Y116" s="14">
        <v>3500</v>
      </c>
      <c r="Z116" s="14">
        <v>-20000</v>
      </c>
      <c r="AA116" s="14">
        <f>+Y116*Z116</f>
        <v>-70000000</v>
      </c>
      <c r="AB116" s="252"/>
    </row>
    <row r="117" spans="1:28" s="26" customFormat="1" hidden="1">
      <c r="A117" s="402" t="s">
        <v>859</v>
      </c>
      <c r="B117" s="53" t="s">
        <v>265</v>
      </c>
      <c r="C117" s="53" t="s">
        <v>308</v>
      </c>
      <c r="D117" s="14" t="s">
        <v>65</v>
      </c>
      <c r="E117" s="45">
        <v>36950</v>
      </c>
      <c r="F117" s="14">
        <v>66830</v>
      </c>
      <c r="G117" s="14">
        <v>500</v>
      </c>
      <c r="H117" s="14">
        <f>+F117*G117</f>
        <v>33415000</v>
      </c>
      <c r="I117" s="28" t="s">
        <v>892</v>
      </c>
      <c r="J117" s="40">
        <v>38541</v>
      </c>
      <c r="K117" s="11">
        <v>44553</v>
      </c>
      <c r="L117" s="11">
        <v>240</v>
      </c>
      <c r="M117" s="11">
        <v>10692720</v>
      </c>
      <c r="N117" s="11">
        <v>10692720</v>
      </c>
      <c r="O117" s="11">
        <f t="shared" si="10"/>
        <v>0</v>
      </c>
      <c r="P117" s="78">
        <f>+SUM(H116:H117)-SUM(N116:N117)</f>
        <v>0</v>
      </c>
      <c r="Q117" s="78"/>
      <c r="R117" s="282" t="s">
        <v>870</v>
      </c>
      <c r="S117" s="282"/>
      <c r="T117" s="402" t="s">
        <v>12</v>
      </c>
      <c r="U117" s="402" t="s">
        <v>30</v>
      </c>
      <c r="X117" s="38">
        <v>38247</v>
      </c>
      <c r="Y117" s="20"/>
      <c r="Z117" s="20"/>
      <c r="AA117" s="20">
        <v>35586287</v>
      </c>
      <c r="AB117" s="252"/>
    </row>
    <row r="118" spans="1:28" s="26" customFormat="1" hidden="1">
      <c r="A118" s="402" t="s">
        <v>859</v>
      </c>
      <c r="B118" s="53" t="s">
        <v>265</v>
      </c>
      <c r="C118" s="53" t="s">
        <v>308</v>
      </c>
      <c r="D118" s="20" t="s">
        <v>68</v>
      </c>
      <c r="E118" s="44">
        <v>36570</v>
      </c>
      <c r="F118" s="20">
        <v>2000</v>
      </c>
      <c r="G118" s="20">
        <v>200000</v>
      </c>
      <c r="H118" s="20">
        <f>+F118*G118</f>
        <v>400000000</v>
      </c>
      <c r="I118" s="22" t="s">
        <v>892</v>
      </c>
      <c r="J118" s="38">
        <v>38352</v>
      </c>
      <c r="K118" s="20"/>
      <c r="L118" s="20"/>
      <c r="M118" s="20">
        <v>0</v>
      </c>
      <c r="N118" s="20">
        <v>150720000</v>
      </c>
      <c r="O118" s="24">
        <f t="shared" si="10"/>
        <v>-150720000</v>
      </c>
      <c r="P118" s="20">
        <v>0</v>
      </c>
      <c r="Q118" s="20"/>
      <c r="R118" s="401" t="s">
        <v>29</v>
      </c>
      <c r="S118" s="401"/>
      <c r="T118" s="401" t="s">
        <v>12</v>
      </c>
      <c r="U118" s="401" t="s">
        <v>33</v>
      </c>
      <c r="X118" s="40">
        <v>38251</v>
      </c>
      <c r="Y118" s="14"/>
      <c r="Z118" s="14"/>
      <c r="AA118" s="14">
        <v>6931857</v>
      </c>
      <c r="AB118" s="252"/>
    </row>
    <row r="119" spans="1:28" s="26" customFormat="1" hidden="1">
      <c r="A119" s="402" t="s">
        <v>859</v>
      </c>
      <c r="B119" s="53" t="s">
        <v>265</v>
      </c>
      <c r="C119" s="53" t="s">
        <v>308</v>
      </c>
      <c r="D119" s="14" t="s">
        <v>68</v>
      </c>
      <c r="E119" s="45"/>
      <c r="F119" s="14"/>
      <c r="G119" s="14"/>
      <c r="H119" s="14"/>
      <c r="I119" s="28" t="s">
        <v>892</v>
      </c>
      <c r="J119" s="40">
        <v>38541</v>
      </c>
      <c r="K119" s="14">
        <v>320000</v>
      </c>
      <c r="L119" s="14">
        <v>1250</v>
      </c>
      <c r="M119" s="14">
        <v>400000000</v>
      </c>
      <c r="N119" s="14">
        <v>249280000</v>
      </c>
      <c r="O119" s="30">
        <f t="shared" si="10"/>
        <v>150720000</v>
      </c>
      <c r="P119" s="14">
        <f>+SUM(H118:H119)-SUM(N118:N119)</f>
        <v>0</v>
      </c>
      <c r="Q119" s="14"/>
      <c r="R119" s="402" t="s">
        <v>858</v>
      </c>
      <c r="S119" s="402"/>
      <c r="T119" s="402" t="s">
        <v>12</v>
      </c>
      <c r="U119" s="402" t="s">
        <v>33</v>
      </c>
      <c r="V119" s="4"/>
      <c r="W119" s="4"/>
      <c r="X119" s="40">
        <v>38252</v>
      </c>
      <c r="Y119" s="14"/>
      <c r="Z119" s="14"/>
      <c r="AA119" s="14">
        <v>13836421</v>
      </c>
      <c r="AB119" s="252">
        <f>+XIRR(AA114:AA119,X114:X119)</f>
        <v>-0.57929258905351155</v>
      </c>
    </row>
    <row r="120" spans="1:28" s="26" customFormat="1" hidden="1">
      <c r="A120" s="402" t="s">
        <v>859</v>
      </c>
      <c r="B120" s="53" t="s">
        <v>265</v>
      </c>
      <c r="C120" s="53" t="s">
        <v>308</v>
      </c>
      <c r="D120" s="20" t="s">
        <v>56</v>
      </c>
      <c r="E120" s="44">
        <v>36573</v>
      </c>
      <c r="F120" s="20">
        <v>57077</v>
      </c>
      <c r="G120" s="20">
        <v>35000</v>
      </c>
      <c r="H120" s="20">
        <f>+F120*G120</f>
        <v>1997695000</v>
      </c>
      <c r="I120" s="22" t="s">
        <v>892</v>
      </c>
      <c r="J120" s="38">
        <v>38352</v>
      </c>
      <c r="K120" s="20"/>
      <c r="L120" s="20"/>
      <c r="M120" s="20">
        <v>0</v>
      </c>
      <c r="N120" s="20">
        <v>1997695000</v>
      </c>
      <c r="O120" s="20">
        <f t="shared" si="10"/>
        <v>-1997695000</v>
      </c>
      <c r="P120" s="20"/>
      <c r="Q120" s="20"/>
      <c r="R120" s="401" t="s">
        <v>29</v>
      </c>
      <c r="S120" s="401"/>
      <c r="T120" s="401" t="s">
        <v>9</v>
      </c>
      <c r="U120" s="401" t="s">
        <v>50</v>
      </c>
      <c r="W120" s="20" t="s">
        <v>95</v>
      </c>
      <c r="X120" s="44">
        <v>36888</v>
      </c>
      <c r="Y120" s="20">
        <v>16666</v>
      </c>
      <c r="Z120" s="20">
        <v>-30000</v>
      </c>
      <c r="AA120" s="20">
        <f>+Y120*Z120</f>
        <v>-499980000</v>
      </c>
      <c r="AB120" s="252"/>
    </row>
    <row r="121" spans="1:28" s="26" customFormat="1" hidden="1">
      <c r="A121" s="402" t="s">
        <v>859</v>
      </c>
      <c r="B121" s="53" t="s">
        <v>265</v>
      </c>
      <c r="C121" s="53" t="s">
        <v>308</v>
      </c>
      <c r="D121" s="14" t="s">
        <v>56</v>
      </c>
      <c r="E121" s="45">
        <v>37368</v>
      </c>
      <c r="F121" s="14">
        <v>162823</v>
      </c>
      <c r="G121" s="14">
        <v>4000</v>
      </c>
      <c r="H121" s="14">
        <f>+F121*G121</f>
        <v>651292000</v>
      </c>
      <c r="I121" s="28" t="s">
        <v>892</v>
      </c>
      <c r="J121" s="40">
        <v>38352</v>
      </c>
      <c r="K121" s="14"/>
      <c r="L121" s="14"/>
      <c r="M121" s="14">
        <v>0</v>
      </c>
      <c r="N121" s="14">
        <v>1285852000</v>
      </c>
      <c r="O121" s="14">
        <f t="shared" si="10"/>
        <v>-1285852000</v>
      </c>
      <c r="P121" s="14"/>
      <c r="Q121" s="14"/>
      <c r="R121" s="402" t="s">
        <v>29</v>
      </c>
      <c r="S121" s="402"/>
      <c r="T121" s="402" t="s">
        <v>9</v>
      </c>
      <c r="U121" s="402" t="s">
        <v>50</v>
      </c>
      <c r="X121" s="40">
        <v>38541</v>
      </c>
      <c r="Y121" s="14">
        <v>166660</v>
      </c>
      <c r="Z121" s="14">
        <v>662</v>
      </c>
      <c r="AA121" s="14">
        <v>110260240</v>
      </c>
      <c r="AB121" s="252">
        <f>+XIRR(AA120:AA121,X120:X121)</f>
        <v>-0.28380650989711287</v>
      </c>
    </row>
    <row r="122" spans="1:28" s="26" customFormat="1" hidden="1">
      <c r="A122" s="402" t="s">
        <v>859</v>
      </c>
      <c r="B122" s="53" t="s">
        <v>265</v>
      </c>
      <c r="C122" s="53" t="s">
        <v>308</v>
      </c>
      <c r="D122" s="11" t="s">
        <v>56</v>
      </c>
      <c r="E122" s="46">
        <v>37406</v>
      </c>
      <c r="F122" s="11">
        <v>158640</v>
      </c>
      <c r="G122" s="11">
        <v>4000</v>
      </c>
      <c r="H122" s="11">
        <f>+F122*G122</f>
        <v>634560000</v>
      </c>
      <c r="I122" s="33" t="s">
        <v>892</v>
      </c>
      <c r="J122" s="41">
        <v>38541</v>
      </c>
      <c r="K122" s="11"/>
      <c r="L122" s="11"/>
      <c r="M122" s="11">
        <v>2000</v>
      </c>
      <c r="N122" s="11">
        <v>0</v>
      </c>
      <c r="O122" s="11">
        <f t="shared" si="10"/>
        <v>2000</v>
      </c>
      <c r="P122" s="14">
        <f>+SUM(H120:H122)-SUM(N120:N122)</f>
        <v>0</v>
      </c>
      <c r="Q122" s="11"/>
      <c r="R122" s="403" t="s">
        <v>858</v>
      </c>
      <c r="S122" s="403"/>
      <c r="T122" s="403" t="s">
        <v>9</v>
      </c>
      <c r="U122" s="403" t="s">
        <v>50</v>
      </c>
      <c r="W122" s="20" t="s">
        <v>65</v>
      </c>
      <c r="X122" s="44">
        <v>36552</v>
      </c>
      <c r="Y122" s="20">
        <v>6683</v>
      </c>
      <c r="Z122" s="20">
        <v>-75000</v>
      </c>
      <c r="AA122" s="20">
        <f>+Y122*Z122</f>
        <v>-501225000</v>
      </c>
      <c r="AB122" s="252"/>
    </row>
    <row r="123" spans="1:28" s="26" customFormat="1" hidden="1">
      <c r="A123" s="402" t="s">
        <v>859</v>
      </c>
      <c r="B123" s="53" t="s">
        <v>265</v>
      </c>
      <c r="C123" s="53" t="s">
        <v>308</v>
      </c>
      <c r="D123" s="20" t="s">
        <v>97</v>
      </c>
      <c r="E123" s="44">
        <v>36581</v>
      </c>
      <c r="F123" s="20">
        <v>20000</v>
      </c>
      <c r="G123" s="20">
        <v>50000</v>
      </c>
      <c r="H123" s="20">
        <f>+F123*G123</f>
        <v>1000000000</v>
      </c>
      <c r="I123" s="22" t="s">
        <v>892</v>
      </c>
      <c r="J123" s="38">
        <v>38352</v>
      </c>
      <c r="K123" s="20"/>
      <c r="L123" s="20"/>
      <c r="M123" s="20">
        <v>0</v>
      </c>
      <c r="N123" s="20">
        <v>1000000000</v>
      </c>
      <c r="O123" s="20">
        <f t="shared" ref="O123:O130" si="11">+M123-N123</f>
        <v>-1000000000</v>
      </c>
      <c r="P123" s="20"/>
      <c r="Q123" s="20"/>
      <c r="R123" s="401" t="s">
        <v>29</v>
      </c>
      <c r="S123" s="401"/>
      <c r="T123" s="401" t="s">
        <v>98</v>
      </c>
      <c r="U123" s="401" t="s">
        <v>50</v>
      </c>
      <c r="V123" s="4"/>
      <c r="W123" s="14" t="s">
        <v>65</v>
      </c>
      <c r="X123" s="45">
        <v>36950</v>
      </c>
      <c r="Y123" s="14">
        <v>66830</v>
      </c>
      <c r="Z123" s="14">
        <v>-500</v>
      </c>
      <c r="AA123" s="14">
        <f>+Y123*Z123</f>
        <v>-33415000</v>
      </c>
      <c r="AB123" s="252"/>
    </row>
    <row r="124" spans="1:28" s="26" customFormat="1" hidden="1">
      <c r="A124" s="402" t="s">
        <v>859</v>
      </c>
      <c r="B124" s="53" t="s">
        <v>265</v>
      </c>
      <c r="C124" s="53" t="s">
        <v>308</v>
      </c>
      <c r="D124" s="11" t="s">
        <v>97</v>
      </c>
      <c r="E124" s="46"/>
      <c r="F124" s="11"/>
      <c r="G124" s="11"/>
      <c r="H124" s="11"/>
      <c r="I124" s="33"/>
      <c r="J124" s="41">
        <v>38541</v>
      </c>
      <c r="K124" s="11">
        <v>20000</v>
      </c>
      <c r="L124" s="11"/>
      <c r="M124" s="11">
        <v>1000</v>
      </c>
      <c r="N124" s="11">
        <v>0</v>
      </c>
      <c r="O124" s="11">
        <f t="shared" si="11"/>
        <v>1000</v>
      </c>
      <c r="P124" s="14">
        <f>+SUM(H123:H124)-SUM(N123:N124)</f>
        <v>0</v>
      </c>
      <c r="Q124" s="11"/>
      <c r="R124" s="403" t="s">
        <v>858</v>
      </c>
      <c r="S124" s="403"/>
      <c r="T124" s="403" t="s">
        <v>861</v>
      </c>
      <c r="U124" s="408" t="s">
        <v>1069</v>
      </c>
      <c r="V124" s="4"/>
      <c r="W124" s="4"/>
      <c r="X124" s="40">
        <v>38541</v>
      </c>
      <c r="Y124" s="11">
        <v>44553</v>
      </c>
      <c r="Z124" s="11">
        <v>240</v>
      </c>
      <c r="AA124" s="11">
        <v>10692720</v>
      </c>
      <c r="AB124" s="252">
        <f>+XIRR(AA122:AA124,X122:X124)</f>
        <v>-0.51875494047999382</v>
      </c>
    </row>
    <row r="125" spans="1:28" s="26" customFormat="1" hidden="1">
      <c r="A125" s="402" t="s">
        <v>859</v>
      </c>
      <c r="B125" s="53" t="s">
        <v>265</v>
      </c>
      <c r="C125" s="53" t="s">
        <v>308</v>
      </c>
      <c r="D125" s="20" t="s">
        <v>70</v>
      </c>
      <c r="E125" s="44">
        <v>36622</v>
      </c>
      <c r="F125" s="20">
        <v>3334</v>
      </c>
      <c r="G125" s="20">
        <v>150000</v>
      </c>
      <c r="H125" s="20">
        <f>+F125*G125</f>
        <v>500100000</v>
      </c>
      <c r="I125" s="22" t="s">
        <v>892</v>
      </c>
      <c r="J125" s="38">
        <v>36634</v>
      </c>
      <c r="K125" s="20">
        <v>670</v>
      </c>
      <c r="L125" s="20">
        <v>151000</v>
      </c>
      <c r="M125" s="20">
        <f>+K125*L125</f>
        <v>101170000</v>
      </c>
      <c r="N125" s="20">
        <f>+M125-670000</f>
        <v>100500000</v>
      </c>
      <c r="O125" s="24">
        <f t="shared" si="11"/>
        <v>670000</v>
      </c>
      <c r="P125" s="20"/>
      <c r="Q125" s="20"/>
      <c r="R125" s="401" t="s">
        <v>3</v>
      </c>
      <c r="S125" s="401"/>
      <c r="T125" s="401" t="s">
        <v>6</v>
      </c>
      <c r="U125" s="401" t="s">
        <v>31</v>
      </c>
      <c r="W125" s="20" t="s">
        <v>68</v>
      </c>
      <c r="X125" s="44">
        <v>36570</v>
      </c>
      <c r="Y125" s="20">
        <v>2000</v>
      </c>
      <c r="Z125" s="20">
        <v>-200000</v>
      </c>
      <c r="AA125" s="20">
        <f>+Y125*Z125</f>
        <v>-400000000</v>
      </c>
      <c r="AB125" s="252"/>
    </row>
    <row r="126" spans="1:28" hidden="1">
      <c r="A126" s="402" t="s">
        <v>859</v>
      </c>
      <c r="B126" s="53" t="s">
        <v>265</v>
      </c>
      <c r="C126" s="53" t="s">
        <v>308</v>
      </c>
      <c r="D126" s="14" t="s">
        <v>70</v>
      </c>
      <c r="E126" s="45"/>
      <c r="F126" s="14"/>
      <c r="G126" s="14"/>
      <c r="H126" s="14"/>
      <c r="I126" s="28"/>
      <c r="J126" s="40">
        <v>38352</v>
      </c>
      <c r="K126" s="14"/>
      <c r="L126" s="14"/>
      <c r="M126" s="14">
        <v>0</v>
      </c>
      <c r="N126" s="14">
        <v>399600000</v>
      </c>
      <c r="O126" s="30">
        <f t="shared" si="11"/>
        <v>-399600000</v>
      </c>
      <c r="P126" s="14"/>
      <c r="Q126" s="14"/>
      <c r="R126" s="402" t="s">
        <v>29</v>
      </c>
      <c r="S126" s="402"/>
      <c r="T126" s="402" t="s">
        <v>6</v>
      </c>
      <c r="U126" s="407" t="s">
        <v>1070</v>
      </c>
      <c r="V126" s="26"/>
      <c r="W126" s="26"/>
      <c r="X126" s="40">
        <v>38541</v>
      </c>
      <c r="Y126" s="14">
        <v>320000</v>
      </c>
      <c r="Z126" s="14">
        <v>1250</v>
      </c>
      <c r="AA126" s="14">
        <v>400000000</v>
      </c>
      <c r="AB126" s="252">
        <f>+XIRR(AA125:AA126,X125:X126)</f>
        <v>2.9802322387695314E-9</v>
      </c>
    </row>
    <row r="127" spans="1:28" hidden="1">
      <c r="A127" s="402" t="s">
        <v>859</v>
      </c>
      <c r="B127" s="53" t="s">
        <v>265</v>
      </c>
      <c r="C127" s="53" t="s">
        <v>308</v>
      </c>
      <c r="D127" s="14" t="s">
        <v>70</v>
      </c>
      <c r="E127" s="46"/>
      <c r="F127" s="11"/>
      <c r="G127" s="11"/>
      <c r="H127" s="11"/>
      <c r="I127" s="33"/>
      <c r="J127" s="41">
        <v>38541</v>
      </c>
      <c r="K127" s="11">
        <v>2664</v>
      </c>
      <c r="L127" s="11">
        <v>0</v>
      </c>
      <c r="M127" s="11">
        <v>1000</v>
      </c>
      <c r="N127" s="11">
        <v>0</v>
      </c>
      <c r="O127" s="35">
        <f t="shared" si="11"/>
        <v>1000</v>
      </c>
      <c r="P127" s="78">
        <f>+SUM(H125:H127)-SUM(N125:N127)</f>
        <v>0</v>
      </c>
      <c r="Q127" s="60"/>
      <c r="R127" s="412" t="s">
        <v>870</v>
      </c>
      <c r="S127" s="412"/>
      <c r="T127" s="403" t="s">
        <v>6</v>
      </c>
      <c r="U127" s="408" t="s">
        <v>1070</v>
      </c>
      <c r="V127" s="26"/>
      <c r="W127" s="20" t="s">
        <v>56</v>
      </c>
      <c r="X127" s="44">
        <v>36573</v>
      </c>
      <c r="Y127" s="20">
        <v>57077</v>
      </c>
      <c r="Z127" s="20">
        <v>-35000</v>
      </c>
      <c r="AA127" s="20">
        <f>+Y127*Z127</f>
        <v>-1997695000</v>
      </c>
    </row>
    <row r="128" spans="1:28" hidden="1">
      <c r="A128" s="402" t="s">
        <v>859</v>
      </c>
      <c r="B128" s="53" t="s">
        <v>265</v>
      </c>
      <c r="C128" s="53" t="s">
        <v>308</v>
      </c>
      <c r="D128" s="20" t="s">
        <v>99</v>
      </c>
      <c r="E128" s="44">
        <v>36623</v>
      </c>
      <c r="F128" s="20">
        <v>2600</v>
      </c>
      <c r="G128" s="20">
        <v>70000</v>
      </c>
      <c r="H128" s="20">
        <f>+F128*G128</f>
        <v>182000000</v>
      </c>
      <c r="I128" s="22" t="s">
        <v>892</v>
      </c>
      <c r="J128" s="38">
        <v>38352</v>
      </c>
      <c r="K128" s="20"/>
      <c r="L128" s="20"/>
      <c r="M128" s="20">
        <v>0</v>
      </c>
      <c r="N128" s="20">
        <v>182000000</v>
      </c>
      <c r="O128" s="20">
        <f t="shared" si="11"/>
        <v>-182000000</v>
      </c>
      <c r="P128" s="20"/>
      <c r="Q128" s="20"/>
      <c r="R128" s="401" t="s">
        <v>29</v>
      </c>
      <c r="S128" s="401"/>
      <c r="T128" s="401" t="s">
        <v>12</v>
      </c>
      <c r="U128" s="401" t="s">
        <v>30</v>
      </c>
      <c r="W128" s="14" t="s">
        <v>56</v>
      </c>
      <c r="X128" s="45">
        <v>37368</v>
      </c>
      <c r="Y128" s="14">
        <v>162823</v>
      </c>
      <c r="Z128" s="14">
        <v>-4000</v>
      </c>
      <c r="AA128" s="14">
        <f>+Y128*Z128</f>
        <v>-651292000</v>
      </c>
    </row>
    <row r="129" spans="1:28" hidden="1">
      <c r="A129" s="402" t="s">
        <v>859</v>
      </c>
      <c r="B129" s="53" t="s">
        <v>265</v>
      </c>
      <c r="C129" s="53" t="s">
        <v>308</v>
      </c>
      <c r="D129" s="11" t="s">
        <v>99</v>
      </c>
      <c r="E129" s="46"/>
      <c r="F129" s="11"/>
      <c r="G129" s="11"/>
      <c r="H129" s="11"/>
      <c r="I129" s="33"/>
      <c r="J129" s="41">
        <v>38541</v>
      </c>
      <c r="K129" s="11"/>
      <c r="L129" s="11"/>
      <c r="M129" s="11">
        <v>1000</v>
      </c>
      <c r="N129" s="11">
        <v>0</v>
      </c>
      <c r="O129" s="11">
        <f t="shared" si="11"/>
        <v>1000</v>
      </c>
      <c r="P129" s="78">
        <f>+SUM(H128:H129)-SUM(N128:N129)</f>
        <v>0</v>
      </c>
      <c r="Q129" s="11"/>
      <c r="R129" s="403" t="s">
        <v>858</v>
      </c>
      <c r="S129" s="403"/>
      <c r="T129" s="403" t="s">
        <v>12</v>
      </c>
      <c r="U129" s="408" t="s">
        <v>1071</v>
      </c>
      <c r="W129" s="11" t="s">
        <v>56</v>
      </c>
      <c r="X129" s="46">
        <v>37406</v>
      </c>
      <c r="Y129" s="11">
        <v>158640</v>
      </c>
      <c r="Z129" s="11">
        <v>-4000</v>
      </c>
      <c r="AA129" s="11">
        <f>+Y129*Z129</f>
        <v>-634560000</v>
      </c>
    </row>
    <row r="130" spans="1:28" hidden="1">
      <c r="A130" s="402" t="s">
        <v>859</v>
      </c>
      <c r="B130" s="53" t="s">
        <v>265</v>
      </c>
      <c r="C130" s="53" t="s">
        <v>308</v>
      </c>
      <c r="D130" s="21" t="s">
        <v>100</v>
      </c>
      <c r="E130" s="44">
        <v>36662</v>
      </c>
      <c r="F130" s="20">
        <v>5500</v>
      </c>
      <c r="G130" s="20">
        <v>55000</v>
      </c>
      <c r="H130" s="20">
        <f>+F130*G130</f>
        <v>302500000</v>
      </c>
      <c r="I130" s="22" t="s">
        <v>26</v>
      </c>
      <c r="J130" s="38">
        <v>37365</v>
      </c>
      <c r="K130" s="20">
        <v>1639</v>
      </c>
      <c r="L130" s="20">
        <v>13933</v>
      </c>
      <c r="M130" s="20">
        <f>+K130*L130</f>
        <v>22836187</v>
      </c>
      <c r="N130" s="20">
        <v>7838697</v>
      </c>
      <c r="O130" s="24">
        <f t="shared" si="11"/>
        <v>14997490</v>
      </c>
      <c r="P130" s="20"/>
      <c r="Q130" s="20"/>
      <c r="R130" s="401" t="s">
        <v>3</v>
      </c>
      <c r="S130" s="401"/>
      <c r="T130" s="401" t="s">
        <v>862</v>
      </c>
      <c r="U130" s="401" t="s">
        <v>50</v>
      </c>
      <c r="V130" s="26"/>
      <c r="W130" s="26"/>
      <c r="X130" s="41">
        <v>38541</v>
      </c>
      <c r="Y130" s="11"/>
      <c r="Z130" s="11"/>
      <c r="AA130" s="11">
        <v>2000</v>
      </c>
      <c r="AB130" s="252">
        <f>+XIRR(AA127:AA130,X127:X130)</f>
        <v>-0.98554599855812319</v>
      </c>
    </row>
    <row r="131" spans="1:28" s="26" customFormat="1" hidden="1">
      <c r="A131" s="402" t="s">
        <v>859</v>
      </c>
      <c r="B131" s="53" t="s">
        <v>265</v>
      </c>
      <c r="C131" s="53" t="s">
        <v>308</v>
      </c>
      <c r="D131" s="27" t="s">
        <v>100</v>
      </c>
      <c r="E131" s="45"/>
      <c r="F131" s="14"/>
      <c r="G131" s="14"/>
      <c r="H131" s="14"/>
      <c r="I131" s="28"/>
      <c r="J131" s="40">
        <v>37368</v>
      </c>
      <c r="K131" s="14">
        <v>11611</v>
      </c>
      <c r="L131" s="14">
        <v>13306</v>
      </c>
      <c r="M131" s="14">
        <f>+K131*L131</f>
        <v>154495966</v>
      </c>
      <c r="N131" s="14">
        <v>55530884</v>
      </c>
      <c r="O131" s="30">
        <f>+M131-N131</f>
        <v>98965082</v>
      </c>
      <c r="P131" s="14"/>
      <c r="Q131" s="14"/>
      <c r="R131" s="402" t="s">
        <v>3</v>
      </c>
      <c r="S131" s="402"/>
      <c r="T131" s="402" t="s">
        <v>862</v>
      </c>
      <c r="U131" s="402" t="s">
        <v>50</v>
      </c>
      <c r="W131" s="20" t="s">
        <v>97</v>
      </c>
      <c r="X131" s="44">
        <v>36581</v>
      </c>
      <c r="Y131" s="20">
        <v>20000</v>
      </c>
      <c r="Z131" s="20">
        <v>-50000</v>
      </c>
      <c r="AA131" s="20">
        <f>+Y131*Z131</f>
        <v>-1000000000</v>
      </c>
      <c r="AB131" s="252"/>
    </row>
    <row r="132" spans="1:28" s="26" customFormat="1" hidden="1">
      <c r="A132" s="402" t="s">
        <v>859</v>
      </c>
      <c r="B132" s="53" t="s">
        <v>265</v>
      </c>
      <c r="C132" s="53" t="s">
        <v>308</v>
      </c>
      <c r="D132" s="27" t="s">
        <v>100</v>
      </c>
      <c r="E132" s="45"/>
      <c r="F132" s="14"/>
      <c r="G132" s="14"/>
      <c r="H132" s="14"/>
      <c r="I132" s="28"/>
      <c r="J132" s="40">
        <v>37398</v>
      </c>
      <c r="K132" s="14">
        <v>27966</v>
      </c>
      <c r="L132" s="14">
        <v>10130</v>
      </c>
      <c r="M132" s="14">
        <f>+K132*L132</f>
        <v>283295580</v>
      </c>
      <c r="N132" s="14">
        <v>133750471</v>
      </c>
      <c r="O132" s="30">
        <f>+M132-N132</f>
        <v>149545109</v>
      </c>
      <c r="P132" s="14"/>
      <c r="Q132" s="14"/>
      <c r="R132" s="402" t="s">
        <v>3</v>
      </c>
      <c r="S132" s="402"/>
      <c r="T132" s="402" t="s">
        <v>862</v>
      </c>
      <c r="U132" s="402" t="s">
        <v>50</v>
      </c>
      <c r="X132" s="41">
        <v>38541</v>
      </c>
      <c r="Y132" s="11">
        <v>20000</v>
      </c>
      <c r="Z132" s="11"/>
      <c r="AA132" s="11">
        <v>1000</v>
      </c>
      <c r="AB132" s="252">
        <f>+XIRR(AA131:AA132,X131:X132)</f>
        <v>-0.92367741684429339</v>
      </c>
    </row>
    <row r="133" spans="1:28" s="26" customFormat="1" hidden="1">
      <c r="A133" s="402" t="s">
        <v>859</v>
      </c>
      <c r="B133" s="53" t="s">
        <v>265</v>
      </c>
      <c r="C133" s="53" t="s">
        <v>308</v>
      </c>
      <c r="D133" s="32" t="s">
        <v>100</v>
      </c>
      <c r="E133" s="46"/>
      <c r="F133" s="11"/>
      <c r="G133" s="11"/>
      <c r="H133" s="11"/>
      <c r="I133" s="33"/>
      <c r="J133" s="41">
        <v>37405</v>
      </c>
      <c r="K133" s="11">
        <v>22034</v>
      </c>
      <c r="L133" s="11">
        <v>7473</v>
      </c>
      <c r="M133" s="11">
        <f>+K133*L133</f>
        <v>164660082</v>
      </c>
      <c r="N133" s="11">
        <v>105379948</v>
      </c>
      <c r="O133" s="35">
        <f>+M133-N133</f>
        <v>59280134</v>
      </c>
      <c r="P133" s="14">
        <f>+SUM(H130:H133)-SUM(N130:N133)</f>
        <v>0</v>
      </c>
      <c r="Q133" s="11"/>
      <c r="R133" s="403" t="s">
        <v>3</v>
      </c>
      <c r="S133" s="403"/>
      <c r="T133" s="403" t="s">
        <v>862</v>
      </c>
      <c r="U133" s="403" t="s">
        <v>50</v>
      </c>
      <c r="W133" s="20" t="s">
        <v>70</v>
      </c>
      <c r="X133" s="44">
        <v>36622</v>
      </c>
      <c r="Y133" s="20">
        <v>3334</v>
      </c>
      <c r="Z133" s="20">
        <v>-150000</v>
      </c>
      <c r="AA133" s="20">
        <f>+Y133*Z133</f>
        <v>-500100000</v>
      </c>
      <c r="AB133" s="252"/>
    </row>
    <row r="134" spans="1:28" hidden="1">
      <c r="A134" s="402" t="s">
        <v>859</v>
      </c>
      <c r="B134" s="53" t="s">
        <v>265</v>
      </c>
      <c r="C134" s="53" t="s">
        <v>318</v>
      </c>
      <c r="D134" s="15" t="s">
        <v>52</v>
      </c>
      <c r="E134" s="42">
        <v>36607</v>
      </c>
      <c r="F134" s="15"/>
      <c r="G134" s="15"/>
      <c r="H134" s="15">
        <v>1000000000</v>
      </c>
      <c r="I134" s="17" t="s">
        <v>82</v>
      </c>
      <c r="J134" s="43">
        <v>37337</v>
      </c>
      <c r="K134" s="15"/>
      <c r="L134" s="15"/>
      <c r="M134" s="15">
        <v>1102500000</v>
      </c>
      <c r="N134" s="15">
        <f>+M134-102500000</f>
        <v>1000000000</v>
      </c>
      <c r="O134" s="15">
        <f t="shared" ref="O134:O148" si="12">+M134-N134</f>
        <v>102500000</v>
      </c>
      <c r="P134" s="15">
        <f>+H134-N134</f>
        <v>0</v>
      </c>
      <c r="Q134" s="15"/>
      <c r="R134" s="405" t="s">
        <v>3</v>
      </c>
      <c r="S134" s="405"/>
      <c r="T134" s="405" t="s">
        <v>9</v>
      </c>
      <c r="U134" s="405" t="s">
        <v>13</v>
      </c>
      <c r="X134" s="38">
        <v>36634</v>
      </c>
      <c r="Y134" s="20">
        <v>670</v>
      </c>
      <c r="Z134" s="20">
        <v>151000</v>
      </c>
      <c r="AA134" s="20">
        <f>+Y134*Z134</f>
        <v>101170000</v>
      </c>
    </row>
    <row r="135" spans="1:28" hidden="1">
      <c r="A135" s="402" t="s">
        <v>859</v>
      </c>
      <c r="B135" s="53" t="s">
        <v>265</v>
      </c>
      <c r="C135" s="53" t="s">
        <v>318</v>
      </c>
      <c r="D135" s="15" t="s">
        <v>101</v>
      </c>
      <c r="E135" s="42">
        <v>36839</v>
      </c>
      <c r="F135" s="15"/>
      <c r="G135" s="15"/>
      <c r="H135" s="15">
        <v>341100000</v>
      </c>
      <c r="I135" s="17" t="s">
        <v>863</v>
      </c>
      <c r="J135" s="43">
        <v>37208</v>
      </c>
      <c r="K135" s="15"/>
      <c r="L135" s="15"/>
      <c r="M135" s="15">
        <f>341100000+70999800</f>
        <v>412099800</v>
      </c>
      <c r="N135" s="15">
        <f>+H135</f>
        <v>341100000</v>
      </c>
      <c r="O135" s="15">
        <f t="shared" si="12"/>
        <v>70999800</v>
      </c>
      <c r="P135" s="15">
        <f>+H135-N135</f>
        <v>0</v>
      </c>
      <c r="Q135" s="15"/>
      <c r="R135" s="405" t="s">
        <v>3</v>
      </c>
      <c r="S135" s="405"/>
      <c r="T135" s="430" t="s">
        <v>1181</v>
      </c>
      <c r="U135" s="405" t="s">
        <v>50</v>
      </c>
      <c r="X135" s="41">
        <v>38541</v>
      </c>
      <c r="Y135" s="11">
        <v>2664</v>
      </c>
      <c r="Z135" s="11">
        <v>0</v>
      </c>
      <c r="AA135" s="11">
        <v>1000</v>
      </c>
      <c r="AB135" s="252">
        <f>+XIRR(AA133:AA135,X133:X135)</f>
        <v>-0.91360936854034658</v>
      </c>
    </row>
    <row r="136" spans="1:28" s="26" customFormat="1" hidden="1">
      <c r="A136" s="402" t="s">
        <v>859</v>
      </c>
      <c r="B136" s="53" t="s">
        <v>265</v>
      </c>
      <c r="C136" s="53" t="s">
        <v>308</v>
      </c>
      <c r="D136" s="64" t="s">
        <v>72</v>
      </c>
      <c r="E136" s="65">
        <v>36853</v>
      </c>
      <c r="F136" s="64">
        <v>20000</v>
      </c>
      <c r="G136" s="64">
        <v>15000</v>
      </c>
      <c r="H136" s="64">
        <f>+F136*G136</f>
        <v>300000000</v>
      </c>
      <c r="I136" s="66" t="s">
        <v>892</v>
      </c>
      <c r="J136" s="67">
        <v>37621</v>
      </c>
      <c r="K136" s="64"/>
      <c r="L136" s="64"/>
      <c r="M136" s="64">
        <v>0</v>
      </c>
      <c r="N136" s="64">
        <v>300000000</v>
      </c>
      <c r="O136" s="64">
        <f t="shared" si="12"/>
        <v>-300000000</v>
      </c>
      <c r="P136" s="64"/>
      <c r="Q136" s="64"/>
      <c r="R136" s="71" t="s">
        <v>29</v>
      </c>
      <c r="S136" s="71"/>
      <c r="T136" s="71" t="s">
        <v>9</v>
      </c>
      <c r="U136" s="71" t="s">
        <v>30</v>
      </c>
      <c r="V136" s="4"/>
      <c r="W136" s="20" t="s">
        <v>99</v>
      </c>
      <c r="X136" s="44">
        <v>36623</v>
      </c>
      <c r="Y136" s="20">
        <v>2600</v>
      </c>
      <c r="Z136" s="20">
        <v>-70000</v>
      </c>
      <c r="AA136" s="20">
        <f>+Y136*Z136</f>
        <v>-182000000</v>
      </c>
      <c r="AB136" s="252"/>
    </row>
    <row r="137" spans="1:28" s="26" customFormat="1" hidden="1">
      <c r="A137" s="402" t="s">
        <v>859</v>
      </c>
      <c r="B137" s="53" t="s">
        <v>265</v>
      </c>
      <c r="C137" s="53" t="s">
        <v>308</v>
      </c>
      <c r="D137" s="68" t="s">
        <v>72</v>
      </c>
      <c r="E137" s="360"/>
      <c r="F137" s="68"/>
      <c r="G137" s="68"/>
      <c r="H137" s="68"/>
      <c r="I137" s="69"/>
      <c r="J137" s="70">
        <v>38541</v>
      </c>
      <c r="K137" s="68">
        <v>20000</v>
      </c>
      <c r="L137" s="68"/>
      <c r="M137" s="68">
        <v>1000</v>
      </c>
      <c r="N137" s="68">
        <v>0</v>
      </c>
      <c r="O137" s="68">
        <f t="shared" si="12"/>
        <v>1000</v>
      </c>
      <c r="P137" s="78">
        <f>+SUM(H136:H137)-SUM(N136:N137)</f>
        <v>0</v>
      </c>
      <c r="Q137" s="68"/>
      <c r="R137" s="361" t="s">
        <v>858</v>
      </c>
      <c r="S137" s="361"/>
      <c r="T137" s="361" t="s">
        <v>9</v>
      </c>
      <c r="U137" s="361" t="s">
        <v>1071</v>
      </c>
      <c r="V137" s="4"/>
      <c r="W137" s="4"/>
      <c r="X137" s="41">
        <v>38541</v>
      </c>
      <c r="Y137" s="11"/>
      <c r="Z137" s="11"/>
      <c r="AA137" s="11">
        <v>1000</v>
      </c>
      <c r="AB137" s="252">
        <f>+XIRR(AA136:AA137,X136:X137)</f>
        <v>-0.90023095840588208</v>
      </c>
    </row>
    <row r="138" spans="1:28" s="26" customFormat="1" hidden="1">
      <c r="A138" s="402" t="s">
        <v>859</v>
      </c>
      <c r="B138" s="53" t="s">
        <v>265</v>
      </c>
      <c r="C138" s="53" t="s">
        <v>308</v>
      </c>
      <c r="D138" s="15" t="s">
        <v>864</v>
      </c>
      <c r="E138" s="42">
        <v>37291</v>
      </c>
      <c r="F138" s="15">
        <v>5000</v>
      </c>
      <c r="G138" s="15">
        <v>20000</v>
      </c>
      <c r="H138" s="15">
        <v>100000000</v>
      </c>
      <c r="I138" s="17" t="s">
        <v>26</v>
      </c>
      <c r="J138" s="43">
        <v>37708</v>
      </c>
      <c r="K138" s="15">
        <v>5000</v>
      </c>
      <c r="L138" s="15">
        <v>20000</v>
      </c>
      <c r="M138" s="15">
        <f>+K138*L138</f>
        <v>100000000</v>
      </c>
      <c r="N138" s="15">
        <v>100000000</v>
      </c>
      <c r="O138" s="15">
        <f t="shared" si="12"/>
        <v>0</v>
      </c>
      <c r="P138" s="15">
        <f>+H138-N138</f>
        <v>0</v>
      </c>
      <c r="Q138" s="15"/>
      <c r="R138" s="405" t="s">
        <v>3</v>
      </c>
      <c r="S138" s="405"/>
      <c r="T138" s="405" t="s">
        <v>9</v>
      </c>
      <c r="U138" s="405" t="s">
        <v>50</v>
      </c>
      <c r="V138" s="4"/>
      <c r="W138" s="21" t="s">
        <v>100</v>
      </c>
      <c r="X138" s="44">
        <v>36662</v>
      </c>
      <c r="Y138" s="20">
        <v>5500</v>
      </c>
      <c r="Z138" s="20">
        <v>-55000</v>
      </c>
      <c r="AA138" s="20">
        <f>+Y138*Z138</f>
        <v>-302500000</v>
      </c>
      <c r="AB138" s="252"/>
    </row>
    <row r="139" spans="1:28" hidden="1">
      <c r="A139" s="402" t="s">
        <v>859</v>
      </c>
      <c r="B139" s="53" t="s">
        <v>265</v>
      </c>
      <c r="C139" s="53" t="s">
        <v>308</v>
      </c>
      <c r="D139" s="20" t="s">
        <v>865</v>
      </c>
      <c r="E139" s="44">
        <v>37291</v>
      </c>
      <c r="F139" s="20">
        <v>1000</v>
      </c>
      <c r="G139" s="20">
        <v>25000</v>
      </c>
      <c r="H139" s="20">
        <v>25000000</v>
      </c>
      <c r="I139" s="22" t="s">
        <v>26</v>
      </c>
      <c r="J139" s="38">
        <v>37708</v>
      </c>
      <c r="K139" s="20">
        <v>553</v>
      </c>
      <c r="L139" s="20">
        <v>28083</v>
      </c>
      <c r="M139" s="20">
        <v>15530000</v>
      </c>
      <c r="N139" s="20">
        <v>25000000</v>
      </c>
      <c r="O139" s="20">
        <f t="shared" si="12"/>
        <v>-9470000</v>
      </c>
      <c r="P139" s="20"/>
      <c r="Q139" s="20"/>
      <c r="R139" s="401" t="s">
        <v>3</v>
      </c>
      <c r="S139" s="401"/>
      <c r="T139" s="401" t="s">
        <v>9</v>
      </c>
      <c r="U139" s="401" t="s">
        <v>50</v>
      </c>
      <c r="V139" s="26"/>
      <c r="W139" s="26"/>
      <c r="X139" s="38">
        <v>37365</v>
      </c>
      <c r="Y139" s="20">
        <v>1639</v>
      </c>
      <c r="Z139" s="20">
        <v>13933</v>
      </c>
      <c r="AA139" s="20">
        <f>+Y139*Z139</f>
        <v>22836187</v>
      </c>
    </row>
    <row r="140" spans="1:28" hidden="1">
      <c r="A140" s="402" t="s">
        <v>859</v>
      </c>
      <c r="B140" s="53" t="s">
        <v>265</v>
      </c>
      <c r="C140" s="53" t="s">
        <v>308</v>
      </c>
      <c r="D140" s="11" t="s">
        <v>865</v>
      </c>
      <c r="E140" s="46">
        <v>37442</v>
      </c>
      <c r="F140" s="11">
        <v>553</v>
      </c>
      <c r="G140" s="11">
        <v>5000</v>
      </c>
      <c r="H140" s="11">
        <v>2765000</v>
      </c>
      <c r="I140" s="33" t="s">
        <v>26</v>
      </c>
      <c r="J140" s="41">
        <v>37708</v>
      </c>
      <c r="K140" s="11">
        <v>553</v>
      </c>
      <c r="L140" s="11">
        <v>28083</v>
      </c>
      <c r="M140" s="11">
        <v>15530000</v>
      </c>
      <c r="N140" s="11">
        <v>2765000</v>
      </c>
      <c r="O140" s="11">
        <f t="shared" si="12"/>
        <v>12765000</v>
      </c>
      <c r="P140" s="14">
        <f>+SUM(H139:H140)-SUM(N139:N140)</f>
        <v>0</v>
      </c>
      <c r="Q140" s="11"/>
      <c r="R140" s="403" t="s">
        <v>3</v>
      </c>
      <c r="S140" s="403"/>
      <c r="T140" s="403" t="s">
        <v>9</v>
      </c>
      <c r="U140" s="403" t="s">
        <v>50</v>
      </c>
      <c r="V140" s="26"/>
      <c r="W140" s="26"/>
      <c r="X140" s="40">
        <v>37368</v>
      </c>
      <c r="Y140" s="14">
        <v>11611</v>
      </c>
      <c r="Z140" s="14">
        <v>13306</v>
      </c>
      <c r="AA140" s="14">
        <f>+Y140*Z140</f>
        <v>154495966</v>
      </c>
    </row>
    <row r="141" spans="1:28" hidden="1">
      <c r="A141" s="402" t="s">
        <v>859</v>
      </c>
      <c r="B141" s="53" t="s">
        <v>265</v>
      </c>
      <c r="C141" s="53" t="s">
        <v>308</v>
      </c>
      <c r="D141" s="15" t="s">
        <v>105</v>
      </c>
      <c r="E141" s="42">
        <v>37291</v>
      </c>
      <c r="F141" s="15">
        <v>20000</v>
      </c>
      <c r="G141" s="15">
        <v>2500</v>
      </c>
      <c r="H141" s="15">
        <v>50000000</v>
      </c>
      <c r="I141" s="17" t="s">
        <v>26</v>
      </c>
      <c r="J141" s="43">
        <v>37708</v>
      </c>
      <c r="K141" s="15">
        <v>20000</v>
      </c>
      <c r="L141" s="15">
        <v>2500</v>
      </c>
      <c r="M141" s="15">
        <f>+K141*L141</f>
        <v>50000000</v>
      </c>
      <c r="N141" s="15">
        <v>50000000</v>
      </c>
      <c r="O141" s="15">
        <f t="shared" si="12"/>
        <v>0</v>
      </c>
      <c r="P141" s="15">
        <f>+H141-N141</f>
        <v>0</v>
      </c>
      <c r="Q141" s="15"/>
      <c r="R141" s="405" t="s">
        <v>3</v>
      </c>
      <c r="S141" s="405"/>
      <c r="T141" s="405" t="s">
        <v>98</v>
      </c>
      <c r="U141" s="405" t="s">
        <v>30</v>
      </c>
      <c r="X141" s="40">
        <v>37398</v>
      </c>
      <c r="Y141" s="14">
        <v>27966</v>
      </c>
      <c r="Z141" s="14">
        <v>10130</v>
      </c>
      <c r="AA141" s="14">
        <f>+Y141*Z141</f>
        <v>283295580</v>
      </c>
    </row>
    <row r="142" spans="1:28" hidden="1">
      <c r="A142" s="402" t="s">
        <v>859</v>
      </c>
      <c r="B142" s="53" t="s">
        <v>265</v>
      </c>
      <c r="C142" s="53" t="s">
        <v>308</v>
      </c>
      <c r="D142" s="15" t="s">
        <v>866</v>
      </c>
      <c r="E142" s="42">
        <v>37292</v>
      </c>
      <c r="F142" s="15">
        <v>10000</v>
      </c>
      <c r="G142" s="15">
        <v>5000</v>
      </c>
      <c r="H142" s="15">
        <v>50000000</v>
      </c>
      <c r="I142" s="17" t="s">
        <v>26</v>
      </c>
      <c r="J142" s="43">
        <v>37708</v>
      </c>
      <c r="K142" s="15">
        <v>10000</v>
      </c>
      <c r="L142" s="15">
        <v>52000</v>
      </c>
      <c r="M142" s="15">
        <v>52000000</v>
      </c>
      <c r="N142" s="15">
        <v>50000000</v>
      </c>
      <c r="O142" s="15">
        <f t="shared" si="12"/>
        <v>2000000</v>
      </c>
      <c r="P142" s="15">
        <f>+H142-N142</f>
        <v>0</v>
      </c>
      <c r="Q142" s="15"/>
      <c r="R142" s="405" t="s">
        <v>3</v>
      </c>
      <c r="S142" s="405"/>
      <c r="T142" s="405" t="s">
        <v>12</v>
      </c>
      <c r="U142" s="405" t="s">
        <v>50</v>
      </c>
      <c r="X142" s="41">
        <v>37405</v>
      </c>
      <c r="Y142" s="11">
        <v>22034</v>
      </c>
      <c r="Z142" s="11">
        <v>7473</v>
      </c>
      <c r="AA142" s="11">
        <f>+Y142*Z142</f>
        <v>164660082</v>
      </c>
      <c r="AB142" s="252">
        <f>+XIRR(AA138:AA142,X138:X142)</f>
        <v>0.43836634755134585</v>
      </c>
    </row>
    <row r="143" spans="1:28" s="26" customFormat="1" hidden="1">
      <c r="A143" s="402" t="s">
        <v>859</v>
      </c>
      <c r="B143" s="53" t="s">
        <v>265</v>
      </c>
      <c r="C143" s="53" t="s">
        <v>308</v>
      </c>
      <c r="D143" s="15" t="s">
        <v>107</v>
      </c>
      <c r="E143" s="42">
        <v>37291</v>
      </c>
      <c r="F143" s="15">
        <v>667</v>
      </c>
      <c r="G143" s="15">
        <v>74962</v>
      </c>
      <c r="H143" s="15">
        <v>50000000</v>
      </c>
      <c r="I143" s="17" t="s">
        <v>26</v>
      </c>
      <c r="J143" s="43">
        <v>37708</v>
      </c>
      <c r="K143" s="15">
        <v>667</v>
      </c>
      <c r="L143" s="15">
        <v>78000</v>
      </c>
      <c r="M143" s="15">
        <f>+K143*L143</f>
        <v>52026000</v>
      </c>
      <c r="N143" s="15">
        <v>50000000</v>
      </c>
      <c r="O143" s="15">
        <f t="shared" si="12"/>
        <v>2026000</v>
      </c>
      <c r="P143" s="15">
        <f>+H143-N143</f>
        <v>0</v>
      </c>
      <c r="Q143" s="15"/>
      <c r="R143" s="405" t="s">
        <v>3</v>
      </c>
      <c r="S143" s="405"/>
      <c r="T143" s="405" t="s">
        <v>862</v>
      </c>
      <c r="U143" s="405" t="s">
        <v>50</v>
      </c>
      <c r="V143" s="4"/>
      <c r="W143" s="15" t="s">
        <v>52</v>
      </c>
      <c r="X143" s="42">
        <v>36607</v>
      </c>
      <c r="Y143" s="15"/>
      <c r="Z143" s="15"/>
      <c r="AA143" s="15">
        <v>-1000000000</v>
      </c>
      <c r="AB143" s="252"/>
    </row>
    <row r="144" spans="1:28" s="26" customFormat="1" hidden="1">
      <c r="A144" s="402" t="s">
        <v>859</v>
      </c>
      <c r="B144" s="53" t="s">
        <v>265</v>
      </c>
      <c r="C144" s="53" t="s">
        <v>308</v>
      </c>
      <c r="D144" s="20" t="s">
        <v>108</v>
      </c>
      <c r="E144" s="44">
        <v>37329</v>
      </c>
      <c r="F144" s="20">
        <v>12000</v>
      </c>
      <c r="G144" s="20">
        <v>25000</v>
      </c>
      <c r="H144" s="20">
        <f>+F144*G144</f>
        <v>300000000</v>
      </c>
      <c r="I144" s="22" t="s">
        <v>26</v>
      </c>
      <c r="J144" s="38">
        <v>38352</v>
      </c>
      <c r="K144" s="20"/>
      <c r="L144" s="20"/>
      <c r="M144" s="20">
        <v>0</v>
      </c>
      <c r="N144" s="20">
        <v>300000000</v>
      </c>
      <c r="O144" s="20">
        <f t="shared" si="12"/>
        <v>-300000000</v>
      </c>
      <c r="P144" s="20"/>
      <c r="Q144" s="20"/>
      <c r="R144" s="401" t="s">
        <v>29</v>
      </c>
      <c r="S144" s="401"/>
      <c r="T144" s="401" t="s">
        <v>12</v>
      </c>
      <c r="U144" s="401" t="s">
        <v>50</v>
      </c>
      <c r="V144" s="4"/>
      <c r="W144" s="4"/>
      <c r="X144" s="43">
        <v>37337</v>
      </c>
      <c r="Y144" s="15"/>
      <c r="Z144" s="15"/>
      <c r="AA144" s="15">
        <v>1102500000</v>
      </c>
      <c r="AB144" s="252">
        <f>+XIRR(AA143:AA144,X143:X144)</f>
        <v>4.9999997019767761E-2</v>
      </c>
    </row>
    <row r="145" spans="1:28" s="26" customFormat="1" hidden="1">
      <c r="A145" s="402" t="s">
        <v>859</v>
      </c>
      <c r="B145" s="53" t="s">
        <v>265</v>
      </c>
      <c r="C145" s="53" t="s">
        <v>308</v>
      </c>
      <c r="D145" s="11" t="s">
        <v>108</v>
      </c>
      <c r="E145" s="46"/>
      <c r="F145" s="11"/>
      <c r="G145" s="11"/>
      <c r="H145" s="11"/>
      <c r="I145" s="33"/>
      <c r="J145" s="41">
        <v>38541</v>
      </c>
      <c r="K145" s="11">
        <v>12000</v>
      </c>
      <c r="L145" s="11"/>
      <c r="M145" s="11">
        <v>1000</v>
      </c>
      <c r="N145" s="11">
        <v>0</v>
      </c>
      <c r="O145" s="11">
        <f t="shared" si="12"/>
        <v>1000</v>
      </c>
      <c r="P145" s="78">
        <f>+SUM(H144:H145)-SUM(N144:N145)</f>
        <v>0</v>
      </c>
      <c r="Q145" s="60"/>
      <c r="R145" s="412" t="s">
        <v>858</v>
      </c>
      <c r="S145" s="412"/>
      <c r="T145" s="403" t="s">
        <v>12</v>
      </c>
      <c r="U145" s="408" t="s">
        <v>1069</v>
      </c>
      <c r="V145" s="4"/>
      <c r="W145" s="15" t="s">
        <v>101</v>
      </c>
      <c r="X145" s="42">
        <v>36839</v>
      </c>
      <c r="Y145" s="15"/>
      <c r="Z145" s="15"/>
      <c r="AA145" s="15">
        <v>-341100000</v>
      </c>
      <c r="AB145" s="252"/>
    </row>
    <row r="146" spans="1:28" s="26" customFormat="1" hidden="1">
      <c r="A146" s="402" t="s">
        <v>859</v>
      </c>
      <c r="B146" s="53" t="s">
        <v>265</v>
      </c>
      <c r="C146" s="53" t="s">
        <v>318</v>
      </c>
      <c r="D146" s="20" t="s">
        <v>867</v>
      </c>
      <c r="E146" s="44">
        <v>37330</v>
      </c>
      <c r="F146" s="20">
        <v>50000</v>
      </c>
      <c r="G146" s="20">
        <v>8000</v>
      </c>
      <c r="H146" s="20">
        <v>400000000</v>
      </c>
      <c r="I146" s="22" t="s">
        <v>82</v>
      </c>
      <c r="J146" s="38">
        <v>38352</v>
      </c>
      <c r="K146" s="20"/>
      <c r="L146" s="20"/>
      <c r="M146" s="20">
        <v>0</v>
      </c>
      <c r="N146" s="20">
        <v>400000000</v>
      </c>
      <c r="O146" s="20">
        <f t="shared" si="12"/>
        <v>-400000000</v>
      </c>
      <c r="P146" s="20"/>
      <c r="Q146" s="20"/>
      <c r="R146" s="401" t="s">
        <v>29</v>
      </c>
      <c r="S146" s="401"/>
      <c r="T146" s="401" t="s">
        <v>862</v>
      </c>
      <c r="U146" s="401" t="s">
        <v>50</v>
      </c>
      <c r="X146" s="43">
        <v>37208</v>
      </c>
      <c r="Y146" s="15"/>
      <c r="Z146" s="15"/>
      <c r="AA146" s="15">
        <f>341100000+70999800</f>
        <v>412099800</v>
      </c>
      <c r="AB146" s="252">
        <f>+XIRR(AA145:AA146,X145:X146)</f>
        <v>0.2056756436824799</v>
      </c>
    </row>
    <row r="147" spans="1:28" s="26" customFormat="1" hidden="1">
      <c r="A147" s="402" t="s">
        <v>859</v>
      </c>
      <c r="B147" s="53" t="s">
        <v>265</v>
      </c>
      <c r="C147" s="53" t="s">
        <v>318</v>
      </c>
      <c r="D147" s="11" t="s">
        <v>867</v>
      </c>
      <c r="E147" s="46"/>
      <c r="F147" s="11"/>
      <c r="G147" s="11"/>
      <c r="H147" s="11"/>
      <c r="I147" s="33"/>
      <c r="J147" s="41">
        <v>38541</v>
      </c>
      <c r="K147" s="11"/>
      <c r="L147" s="11"/>
      <c r="M147" s="11">
        <v>149271000</v>
      </c>
      <c r="N147" s="11">
        <v>0</v>
      </c>
      <c r="O147" s="11">
        <f t="shared" si="12"/>
        <v>149271000</v>
      </c>
      <c r="P147" s="78">
        <f>+SUM(H146:H147)-SUM(N146:N147)</f>
        <v>0</v>
      </c>
      <c r="Q147" s="60"/>
      <c r="R147" s="412" t="s">
        <v>858</v>
      </c>
      <c r="S147" s="412"/>
      <c r="T147" s="403" t="s">
        <v>862</v>
      </c>
      <c r="U147" s="403" t="s">
        <v>50</v>
      </c>
      <c r="V147" s="4"/>
      <c r="W147" s="64" t="s">
        <v>72</v>
      </c>
      <c r="X147" s="65">
        <v>36853</v>
      </c>
      <c r="Y147" s="64">
        <v>20000</v>
      </c>
      <c r="Z147" s="64">
        <v>-15000</v>
      </c>
      <c r="AA147" s="64">
        <f>+Y147*Z147</f>
        <v>-300000000</v>
      </c>
      <c r="AB147" s="252"/>
    </row>
    <row r="148" spans="1:28" hidden="1">
      <c r="A148" s="402" t="s">
        <v>859</v>
      </c>
      <c r="B148" s="53" t="s">
        <v>265</v>
      </c>
      <c r="C148" s="53" t="s">
        <v>308</v>
      </c>
      <c r="D148" s="15" t="s">
        <v>868</v>
      </c>
      <c r="E148" s="42">
        <v>37293</v>
      </c>
      <c r="F148" s="15">
        <v>22000</v>
      </c>
      <c r="G148" s="15">
        <v>2700</v>
      </c>
      <c r="H148" s="15">
        <v>59400000</v>
      </c>
      <c r="I148" s="17" t="s">
        <v>26</v>
      </c>
      <c r="J148" s="43">
        <v>37708</v>
      </c>
      <c r="K148" s="15">
        <v>22000</v>
      </c>
      <c r="L148" s="15">
        <v>3000</v>
      </c>
      <c r="M148" s="15">
        <v>66000000</v>
      </c>
      <c r="N148" s="15">
        <v>59400000</v>
      </c>
      <c r="O148" s="15">
        <f t="shared" si="12"/>
        <v>6600000</v>
      </c>
      <c r="P148" s="15">
        <f>+H148-N148</f>
        <v>0</v>
      </c>
      <c r="Q148" s="15"/>
      <c r="R148" s="405" t="s">
        <v>3</v>
      </c>
      <c r="S148" s="405"/>
      <c r="T148" s="405" t="s">
        <v>869</v>
      </c>
      <c r="U148" s="405" t="s">
        <v>50</v>
      </c>
      <c r="X148" s="70">
        <v>38541</v>
      </c>
      <c r="Y148" s="68">
        <v>20000</v>
      </c>
      <c r="Z148" s="68"/>
      <c r="AA148" s="68">
        <v>1000</v>
      </c>
      <c r="AB148" s="252">
        <f>+XIRR(AA147:AA148,X147:X148)</f>
        <v>-0.93458612603135416</v>
      </c>
    </row>
    <row r="149" spans="1:28" s="26" customFormat="1" hidden="1">
      <c r="A149" s="402" t="s">
        <v>859</v>
      </c>
      <c r="B149" s="53" t="s">
        <v>265</v>
      </c>
      <c r="C149" s="53" t="s">
        <v>308</v>
      </c>
      <c r="D149" s="15" t="s">
        <v>111</v>
      </c>
      <c r="E149" s="42">
        <v>37313</v>
      </c>
      <c r="F149" s="15">
        <v>2500</v>
      </c>
      <c r="G149" s="15">
        <v>10000</v>
      </c>
      <c r="H149" s="15">
        <v>25000000</v>
      </c>
      <c r="I149" s="17" t="s">
        <v>26</v>
      </c>
      <c r="J149" s="43">
        <v>37350</v>
      </c>
      <c r="K149" s="15">
        <v>2500</v>
      </c>
      <c r="L149" s="15">
        <v>13300</v>
      </c>
      <c r="M149" s="15">
        <f>+K149*L149</f>
        <v>33250000</v>
      </c>
      <c r="N149" s="15">
        <v>25000000</v>
      </c>
      <c r="O149" s="15">
        <f>+M149-N149</f>
        <v>8250000</v>
      </c>
      <c r="P149" s="15">
        <f>+H149-N149</f>
        <v>0</v>
      </c>
      <c r="Q149" s="15"/>
      <c r="R149" s="405" t="s">
        <v>3</v>
      </c>
      <c r="S149" s="405"/>
      <c r="T149" s="405" t="s">
        <v>862</v>
      </c>
      <c r="U149" s="405" t="s">
        <v>50</v>
      </c>
      <c r="V149" s="4"/>
      <c r="W149" s="15" t="s">
        <v>864</v>
      </c>
      <c r="X149" s="42">
        <v>37291</v>
      </c>
      <c r="Y149" s="15">
        <v>5000</v>
      </c>
      <c r="Z149" s="15">
        <v>20000</v>
      </c>
      <c r="AA149" s="15">
        <v>-100000000</v>
      </c>
      <c r="AB149" s="252"/>
    </row>
    <row r="150" spans="1:28" s="26" customFormat="1" hidden="1">
      <c r="A150" s="320" t="s">
        <v>522</v>
      </c>
      <c r="B150" s="320" t="s">
        <v>265</v>
      </c>
      <c r="C150" s="72" t="s">
        <v>280</v>
      </c>
      <c r="D150" s="15" t="s">
        <v>112</v>
      </c>
      <c r="E150" s="42">
        <v>37305</v>
      </c>
      <c r="F150" s="15">
        <v>40000</v>
      </c>
      <c r="G150" s="15">
        <v>500</v>
      </c>
      <c r="H150" s="15">
        <v>20000000</v>
      </c>
      <c r="I150" s="17" t="s">
        <v>59</v>
      </c>
      <c r="J150" s="43">
        <v>37678</v>
      </c>
      <c r="K150" s="15">
        <v>40000</v>
      </c>
      <c r="L150" s="15">
        <v>700</v>
      </c>
      <c r="M150" s="15">
        <v>28000000</v>
      </c>
      <c r="N150" s="15">
        <v>20000000</v>
      </c>
      <c r="O150" s="15">
        <f>+M150-N150</f>
        <v>8000000</v>
      </c>
      <c r="P150" s="15">
        <f>+H150-N150</f>
        <v>0</v>
      </c>
      <c r="Q150" s="15"/>
      <c r="R150" s="322" t="s">
        <v>64</v>
      </c>
      <c r="S150" s="405"/>
      <c r="T150" s="322" t="s">
        <v>86</v>
      </c>
      <c r="U150" s="322" t="s">
        <v>62</v>
      </c>
      <c r="V150" s="4"/>
      <c r="W150" s="4"/>
      <c r="X150" s="43">
        <v>37708</v>
      </c>
      <c r="Y150" s="15">
        <v>5000</v>
      </c>
      <c r="Z150" s="15">
        <v>20000</v>
      </c>
      <c r="AA150" s="15">
        <f>+Y150*Z150</f>
        <v>100000000</v>
      </c>
      <c r="AB150" s="252">
        <f>+XIRR(AA149:AA150,X149:X150)</f>
        <v>2.9802322387695314E-9</v>
      </c>
    </row>
    <row r="151" spans="1:28" s="26" customFormat="1" hidden="1">
      <c r="A151" s="36" t="s">
        <v>522</v>
      </c>
      <c r="B151" s="31" t="s">
        <v>528</v>
      </c>
      <c r="C151" s="146" t="s">
        <v>523</v>
      </c>
      <c r="D151" s="147"/>
      <c r="E151" s="148"/>
      <c r="F151" s="147"/>
      <c r="G151" s="147"/>
      <c r="H151" s="147">
        <f>SUM(H102:H150)</f>
        <v>12026382000</v>
      </c>
      <c r="I151" s="149"/>
      <c r="J151" s="150"/>
      <c r="K151" s="147"/>
      <c r="L151" s="147"/>
      <c r="M151" s="147">
        <f>SUM(M102:M150)</f>
        <v>3916499440</v>
      </c>
      <c r="N151" s="147">
        <f>SUM(N102:N150)</f>
        <v>12026382000</v>
      </c>
      <c r="O151" s="147">
        <f>SUM(O102:O150)</f>
        <v>-8109882560</v>
      </c>
      <c r="P151" s="147">
        <f>SUM(P102:P150)</f>
        <v>0</v>
      </c>
      <c r="Q151" s="147"/>
      <c r="R151" s="151"/>
      <c r="S151" s="151"/>
      <c r="T151" s="151"/>
      <c r="U151" s="151"/>
      <c r="V151" s="4"/>
      <c r="W151" s="20" t="s">
        <v>865</v>
      </c>
      <c r="X151" s="44">
        <v>37291</v>
      </c>
      <c r="Y151" s="20">
        <v>1000</v>
      </c>
      <c r="Z151" s="20">
        <v>-25000</v>
      </c>
      <c r="AA151" s="20">
        <v>-25000000</v>
      </c>
      <c r="AB151" s="252"/>
    </row>
    <row r="152" spans="1:28" s="26" customFormat="1" hidden="1">
      <c r="A152" s="25" t="s">
        <v>521</v>
      </c>
      <c r="B152" s="52" t="s">
        <v>113</v>
      </c>
      <c r="C152" s="52" t="s">
        <v>323</v>
      </c>
      <c r="D152" s="15" t="s">
        <v>114</v>
      </c>
      <c r="E152" s="42">
        <v>36558</v>
      </c>
      <c r="F152" s="15">
        <v>180000</v>
      </c>
      <c r="G152" s="15">
        <v>5000</v>
      </c>
      <c r="H152" s="15">
        <f>+F152*G152</f>
        <v>900000000</v>
      </c>
      <c r="I152" s="17" t="s">
        <v>969</v>
      </c>
      <c r="J152" s="43">
        <v>38383</v>
      </c>
      <c r="K152" s="15">
        <v>180000</v>
      </c>
      <c r="L152" s="15">
        <f>+M152/K152</f>
        <v>3012</v>
      </c>
      <c r="M152" s="15">
        <v>542160000</v>
      </c>
      <c r="N152" s="15">
        <v>900000000</v>
      </c>
      <c r="O152" s="37">
        <f>+M152-N152</f>
        <v>-357840000</v>
      </c>
      <c r="P152" s="15">
        <f>+H152-N152</f>
        <v>0</v>
      </c>
      <c r="Q152" s="15"/>
      <c r="R152" s="19" t="s">
        <v>64</v>
      </c>
      <c r="S152" s="405"/>
      <c r="T152" s="19" t="s">
        <v>115</v>
      </c>
      <c r="U152" s="19" t="s">
        <v>62</v>
      </c>
      <c r="V152" s="4"/>
      <c r="W152" s="11" t="s">
        <v>865</v>
      </c>
      <c r="X152" s="46">
        <v>37442</v>
      </c>
      <c r="Y152" s="11">
        <v>553</v>
      </c>
      <c r="Z152" s="11">
        <v>-5000</v>
      </c>
      <c r="AA152" s="11">
        <v>-2765000</v>
      </c>
      <c r="AB152" s="252"/>
    </row>
    <row r="153" spans="1:28" hidden="1">
      <c r="A153" s="31" t="s">
        <v>521</v>
      </c>
      <c r="B153" s="53" t="s">
        <v>266</v>
      </c>
      <c r="C153" s="53" t="s">
        <v>323</v>
      </c>
      <c r="D153" s="20" t="s">
        <v>116</v>
      </c>
      <c r="E153" s="44">
        <v>36581</v>
      </c>
      <c r="F153" s="20">
        <v>32000</v>
      </c>
      <c r="G153" s="20">
        <v>2500</v>
      </c>
      <c r="H153" s="20">
        <f>+F153*G153</f>
        <v>80000000</v>
      </c>
      <c r="I153" s="22" t="s">
        <v>969</v>
      </c>
      <c r="J153" s="38">
        <v>37621</v>
      </c>
      <c r="K153" s="20"/>
      <c r="L153" s="20"/>
      <c r="M153" s="20">
        <v>0</v>
      </c>
      <c r="N153" s="20">
        <v>80000000</v>
      </c>
      <c r="O153" s="24">
        <f t="shared" ref="O153:O158" si="13">+M153-N153</f>
        <v>-80000000</v>
      </c>
      <c r="P153" s="20">
        <f t="shared" ref="P153:P158" si="14">+H153-N153</f>
        <v>0</v>
      </c>
      <c r="Q153" s="20"/>
      <c r="R153" s="25" t="s">
        <v>60</v>
      </c>
      <c r="S153" s="401"/>
      <c r="T153" s="25" t="s">
        <v>66</v>
      </c>
      <c r="U153" s="25" t="s">
        <v>62</v>
      </c>
      <c r="X153" s="38">
        <v>37708</v>
      </c>
      <c r="Y153" s="20">
        <v>553</v>
      </c>
      <c r="Z153" s="20">
        <v>28083</v>
      </c>
      <c r="AA153" s="20">
        <v>15530000</v>
      </c>
    </row>
    <row r="154" spans="1:28" hidden="1">
      <c r="A154" s="31" t="s">
        <v>521</v>
      </c>
      <c r="B154" s="53" t="s">
        <v>266</v>
      </c>
      <c r="C154" s="53" t="s">
        <v>323</v>
      </c>
      <c r="D154" s="11" t="s">
        <v>116</v>
      </c>
      <c r="E154" s="46"/>
      <c r="F154" s="11"/>
      <c r="G154" s="11"/>
      <c r="H154" s="11"/>
      <c r="I154" s="33"/>
      <c r="J154" s="41">
        <v>38511</v>
      </c>
      <c r="K154" s="11">
        <v>32000</v>
      </c>
      <c r="L154" s="11">
        <v>0</v>
      </c>
      <c r="M154" s="11">
        <v>1000</v>
      </c>
      <c r="N154" s="11">
        <v>0</v>
      </c>
      <c r="O154" s="35">
        <f>+M154-N154</f>
        <v>1000</v>
      </c>
      <c r="P154" s="11"/>
      <c r="Q154" s="11"/>
      <c r="R154" s="403" t="s">
        <v>858</v>
      </c>
      <c r="S154" s="403"/>
      <c r="T154" s="36" t="s">
        <v>6</v>
      </c>
      <c r="U154" s="36" t="s">
        <v>50</v>
      </c>
      <c r="X154" s="41">
        <v>37708</v>
      </c>
      <c r="Y154" s="11">
        <v>553</v>
      </c>
      <c r="Z154" s="11">
        <v>28083</v>
      </c>
      <c r="AA154" s="11">
        <v>15530000</v>
      </c>
      <c r="AB154" s="252">
        <f>+XIRR(AA151:AA154,X151:X154)</f>
        <v>0.10711879134178162</v>
      </c>
    </row>
    <row r="155" spans="1:28" hidden="1">
      <c r="A155" s="31" t="s">
        <v>521</v>
      </c>
      <c r="B155" s="53" t="s">
        <v>266</v>
      </c>
      <c r="C155" s="53" t="s">
        <v>320</v>
      </c>
      <c r="D155" s="15" t="s">
        <v>117</v>
      </c>
      <c r="E155" s="42">
        <v>37474</v>
      </c>
      <c r="F155" s="15">
        <v>19607</v>
      </c>
      <c r="G155" s="15">
        <v>57252</v>
      </c>
      <c r="H155" s="15">
        <v>550019964</v>
      </c>
      <c r="I155" s="17" t="s">
        <v>969</v>
      </c>
      <c r="J155" s="43">
        <v>38383</v>
      </c>
      <c r="K155" s="15">
        <v>19607</v>
      </c>
      <c r="L155" s="15">
        <v>0</v>
      </c>
      <c r="M155" s="15">
        <v>0</v>
      </c>
      <c r="N155" s="15">
        <v>550019964</v>
      </c>
      <c r="O155" s="37">
        <f t="shared" si="13"/>
        <v>-550019964</v>
      </c>
      <c r="P155" s="15">
        <f t="shared" si="14"/>
        <v>0</v>
      </c>
      <c r="Q155" s="15"/>
      <c r="R155" s="19" t="s">
        <v>60</v>
      </c>
      <c r="S155" s="405"/>
      <c r="T155" s="19" t="s">
        <v>98</v>
      </c>
      <c r="U155" s="19" t="s">
        <v>62</v>
      </c>
      <c r="W155" s="15" t="s">
        <v>105</v>
      </c>
      <c r="X155" s="42">
        <v>37291</v>
      </c>
      <c r="Y155" s="15">
        <v>20000</v>
      </c>
      <c r="Z155" s="15">
        <v>2500</v>
      </c>
      <c r="AA155" s="15">
        <v>-50000000</v>
      </c>
    </row>
    <row r="156" spans="1:28" s="410" customFormat="1" hidden="1">
      <c r="A156" s="282" t="s">
        <v>893</v>
      </c>
      <c r="B156" s="81" t="s">
        <v>266</v>
      </c>
      <c r="C156" s="81" t="s">
        <v>850</v>
      </c>
      <c r="D156" s="56" t="s">
        <v>901</v>
      </c>
      <c r="E156" s="62">
        <v>37935</v>
      </c>
      <c r="F156" s="56">
        <v>6</v>
      </c>
      <c r="G156" s="56">
        <v>3100</v>
      </c>
      <c r="H156" s="56">
        <f>+F156*G156</f>
        <v>18600</v>
      </c>
      <c r="I156" s="58" t="s">
        <v>844</v>
      </c>
      <c r="J156" s="63">
        <v>37973</v>
      </c>
      <c r="K156" s="56">
        <v>6</v>
      </c>
      <c r="L156" s="56">
        <v>3070</v>
      </c>
      <c r="M156" s="56">
        <f>+N156-160</f>
        <v>18440</v>
      </c>
      <c r="N156" s="56">
        <v>18600</v>
      </c>
      <c r="O156" s="415">
        <f t="shared" si="13"/>
        <v>-160</v>
      </c>
      <c r="P156" s="56">
        <f t="shared" si="14"/>
        <v>0</v>
      </c>
      <c r="Q156" s="56"/>
      <c r="R156" s="61" t="s">
        <v>845</v>
      </c>
      <c r="S156" s="61"/>
      <c r="T156" s="61" t="s">
        <v>849</v>
      </c>
      <c r="U156" s="61" t="s">
        <v>847</v>
      </c>
      <c r="X156" s="43">
        <v>37708</v>
      </c>
      <c r="Y156" s="15">
        <v>20000</v>
      </c>
      <c r="Z156" s="15">
        <v>2500</v>
      </c>
      <c r="AA156" s="15">
        <f>+Y156*Z156</f>
        <v>50000000</v>
      </c>
      <c r="AB156" s="252">
        <f>+XIRR(AA155:AA156,X155:X156)</f>
        <v>2.9802322387695314E-9</v>
      </c>
    </row>
    <row r="157" spans="1:28" s="410" customFormat="1" hidden="1">
      <c r="A157" s="282" t="s">
        <v>893</v>
      </c>
      <c r="B157" s="81" t="s">
        <v>266</v>
      </c>
      <c r="C157" s="81" t="s">
        <v>850</v>
      </c>
      <c r="D157" s="56" t="s">
        <v>902</v>
      </c>
      <c r="E157" s="62">
        <v>37935</v>
      </c>
      <c r="F157" s="56">
        <v>26</v>
      </c>
      <c r="G157" s="56">
        <v>2800</v>
      </c>
      <c r="H157" s="56">
        <f>+F157*G157</f>
        <v>72800</v>
      </c>
      <c r="I157" s="58" t="s">
        <v>844</v>
      </c>
      <c r="J157" s="63">
        <v>37973</v>
      </c>
      <c r="K157" s="56">
        <v>26</v>
      </c>
      <c r="L157" s="56">
        <v>4905</v>
      </c>
      <c r="M157" s="56">
        <f>72800+54730</f>
        <v>127530</v>
      </c>
      <c r="N157" s="56">
        <v>72800</v>
      </c>
      <c r="O157" s="415">
        <f t="shared" si="13"/>
        <v>54730</v>
      </c>
      <c r="P157" s="56">
        <f t="shared" si="14"/>
        <v>0</v>
      </c>
      <c r="Q157" s="56"/>
      <c r="R157" s="61" t="s">
        <v>845</v>
      </c>
      <c r="S157" s="61"/>
      <c r="T157" s="61" t="s">
        <v>846</v>
      </c>
      <c r="U157" s="61" t="s">
        <v>847</v>
      </c>
      <c r="W157" s="15" t="s">
        <v>866</v>
      </c>
      <c r="X157" s="42">
        <v>37292</v>
      </c>
      <c r="Y157" s="15">
        <v>10000</v>
      </c>
      <c r="Z157" s="15">
        <v>5000</v>
      </c>
      <c r="AA157" s="15">
        <v>-50000000</v>
      </c>
      <c r="AB157" s="586"/>
    </row>
    <row r="158" spans="1:28" s="411" customFormat="1" hidden="1">
      <c r="A158" s="282" t="s">
        <v>893</v>
      </c>
      <c r="B158" s="81" t="s">
        <v>266</v>
      </c>
      <c r="C158" s="414" t="s">
        <v>850</v>
      </c>
      <c r="D158" s="56" t="s">
        <v>898</v>
      </c>
      <c r="E158" s="62">
        <v>37928</v>
      </c>
      <c r="F158" s="56">
        <v>28</v>
      </c>
      <c r="G158" s="56">
        <v>14000</v>
      </c>
      <c r="H158" s="56">
        <f>+F158*G158</f>
        <v>392000</v>
      </c>
      <c r="I158" s="58" t="s">
        <v>844</v>
      </c>
      <c r="J158" s="84">
        <v>38351</v>
      </c>
      <c r="K158" s="60">
        <v>7</v>
      </c>
      <c r="L158" s="60">
        <v>28</v>
      </c>
      <c r="M158" s="60">
        <v>97590</v>
      </c>
      <c r="N158" s="60">
        <v>392000</v>
      </c>
      <c r="O158" s="415">
        <f t="shared" si="13"/>
        <v>-294410</v>
      </c>
      <c r="P158" s="56">
        <f t="shared" si="14"/>
        <v>0</v>
      </c>
      <c r="Q158" s="56"/>
      <c r="R158" s="61" t="s">
        <v>845</v>
      </c>
      <c r="S158" s="61"/>
      <c r="T158" s="61" t="s">
        <v>846</v>
      </c>
      <c r="U158" s="61" t="s">
        <v>847</v>
      </c>
      <c r="X158" s="43">
        <v>37708</v>
      </c>
      <c r="Y158" s="15">
        <v>10000</v>
      </c>
      <c r="Z158" s="15">
        <v>52000</v>
      </c>
      <c r="AA158" s="15">
        <v>52000000</v>
      </c>
      <c r="AB158" s="252">
        <f>+XIRR(AA157:AA158,X157:X158)</f>
        <v>3.5011360049247736E-2</v>
      </c>
    </row>
    <row r="159" spans="1:28" s="26" customFormat="1" hidden="1">
      <c r="A159" s="36" t="s">
        <v>521</v>
      </c>
      <c r="B159" s="72" t="s">
        <v>529</v>
      </c>
      <c r="C159" s="146" t="s">
        <v>523</v>
      </c>
      <c r="D159" s="133"/>
      <c r="E159" s="144"/>
      <c r="F159" s="133"/>
      <c r="G159" s="133"/>
      <c r="H159" s="133">
        <f>SUM(H152:H158)</f>
        <v>1530503364</v>
      </c>
      <c r="I159" s="135"/>
      <c r="J159" s="145"/>
      <c r="K159" s="137"/>
      <c r="L159" s="137"/>
      <c r="M159" s="137">
        <f>SUM(M152:M158)</f>
        <v>542404560</v>
      </c>
      <c r="N159" s="137">
        <f>SUM(N152:N158)</f>
        <v>1530503364</v>
      </c>
      <c r="O159" s="137">
        <f>SUM(O152:O158)</f>
        <v>-988098804</v>
      </c>
      <c r="P159" s="137">
        <f>SUM(P152:P158)</f>
        <v>0</v>
      </c>
      <c r="Q159" s="133"/>
      <c r="R159" s="138"/>
      <c r="S159" s="138"/>
      <c r="T159" s="138"/>
      <c r="U159" s="138"/>
      <c r="W159" s="15" t="s">
        <v>107</v>
      </c>
      <c r="X159" s="42">
        <v>37291</v>
      </c>
      <c r="Y159" s="15">
        <v>667</v>
      </c>
      <c r="Z159" s="15">
        <v>74962</v>
      </c>
      <c r="AA159" s="15">
        <v>-50000000</v>
      </c>
      <c r="AB159" s="252"/>
    </row>
    <row r="160" spans="1:28" s="26" customFormat="1" hidden="1">
      <c r="A160" s="25" t="s">
        <v>521</v>
      </c>
      <c r="B160" s="404" t="s">
        <v>118</v>
      </c>
      <c r="C160" s="404" t="s">
        <v>278</v>
      </c>
      <c r="D160" s="20" t="s">
        <v>105</v>
      </c>
      <c r="E160" s="44">
        <v>36714</v>
      </c>
      <c r="F160" s="20">
        <v>80000</v>
      </c>
      <c r="G160" s="20">
        <v>2500</v>
      </c>
      <c r="H160" s="20">
        <f>+F160*G160</f>
        <v>200000000</v>
      </c>
      <c r="I160" s="22" t="s">
        <v>963</v>
      </c>
      <c r="J160" s="38">
        <v>37621</v>
      </c>
      <c r="K160" s="20"/>
      <c r="L160" s="20"/>
      <c r="M160" s="20">
        <v>0</v>
      </c>
      <c r="N160" s="20">
        <v>186965265</v>
      </c>
      <c r="O160" s="20">
        <f>+M160-N160</f>
        <v>-186965265</v>
      </c>
      <c r="P160" s="20"/>
      <c r="Q160" s="20"/>
      <c r="R160" s="25" t="s">
        <v>60</v>
      </c>
      <c r="S160" s="401"/>
      <c r="T160" s="25" t="s">
        <v>98</v>
      </c>
      <c r="U160" s="25" t="s">
        <v>67</v>
      </c>
      <c r="X160" s="43">
        <v>37708</v>
      </c>
      <c r="Y160" s="15">
        <v>667</v>
      </c>
      <c r="Z160" s="15">
        <v>78000</v>
      </c>
      <c r="AA160" s="15">
        <f>+Y160*Z160</f>
        <v>52026000</v>
      </c>
      <c r="AB160" s="252">
        <f>+XIRR(AA159:AA160,X159:X160)</f>
        <v>3.5378876328468339E-2</v>
      </c>
    </row>
    <row r="161" spans="1:28" s="26" customFormat="1" hidden="1">
      <c r="A161" s="31" t="s">
        <v>521</v>
      </c>
      <c r="B161" s="53" t="s">
        <v>267</v>
      </c>
      <c r="C161" s="53" t="s">
        <v>278</v>
      </c>
      <c r="D161" s="14" t="s">
        <v>105</v>
      </c>
      <c r="E161" s="45"/>
      <c r="F161" s="14"/>
      <c r="G161" s="14"/>
      <c r="H161" s="14"/>
      <c r="I161" s="28" t="s">
        <v>958</v>
      </c>
      <c r="J161" s="40">
        <v>37986</v>
      </c>
      <c r="K161" s="14"/>
      <c r="L161" s="14"/>
      <c r="M161" s="14">
        <v>0</v>
      </c>
      <c r="N161" s="14">
        <v>13034735</v>
      </c>
      <c r="O161" s="14">
        <f>+M161-N161</f>
        <v>-13034735</v>
      </c>
      <c r="P161" s="14"/>
      <c r="Q161" s="14"/>
      <c r="R161" s="31" t="s">
        <v>60</v>
      </c>
      <c r="S161" s="402"/>
      <c r="T161" s="31" t="s">
        <v>98</v>
      </c>
      <c r="U161" s="31" t="s">
        <v>67</v>
      </c>
      <c r="W161" s="20" t="s">
        <v>108</v>
      </c>
      <c r="X161" s="44">
        <v>37329</v>
      </c>
      <c r="Y161" s="20">
        <v>12000</v>
      </c>
      <c r="Z161" s="20">
        <v>-25000</v>
      </c>
      <c r="AA161" s="20">
        <f>+Y161*Z161</f>
        <v>-300000000</v>
      </c>
      <c r="AB161" s="252"/>
    </row>
    <row r="162" spans="1:28" s="48" customFormat="1" hidden="1">
      <c r="A162" s="31" t="s">
        <v>521</v>
      </c>
      <c r="B162" s="53" t="s">
        <v>267</v>
      </c>
      <c r="C162" s="53" t="s">
        <v>278</v>
      </c>
      <c r="D162" s="11" t="s">
        <v>105</v>
      </c>
      <c r="E162" s="46"/>
      <c r="F162" s="11"/>
      <c r="G162" s="11"/>
      <c r="H162" s="11"/>
      <c r="I162" s="33" t="s">
        <v>958</v>
      </c>
      <c r="J162" s="41">
        <v>38730</v>
      </c>
      <c r="K162" s="11">
        <v>80000</v>
      </c>
      <c r="L162" s="11">
        <f>+M162/K162</f>
        <v>25</v>
      </c>
      <c r="M162" s="11">
        <v>2000000</v>
      </c>
      <c r="N162" s="11">
        <v>0</v>
      </c>
      <c r="O162" s="424">
        <f>+M162-N162</f>
        <v>2000000</v>
      </c>
      <c r="P162" s="11">
        <f>+SUM(H160:H162)-SUM(N160:N162)</f>
        <v>0</v>
      </c>
      <c r="Q162" s="11"/>
      <c r="R162" s="403" t="s">
        <v>972</v>
      </c>
      <c r="S162" s="403" t="s">
        <v>980</v>
      </c>
      <c r="T162" s="36" t="s">
        <v>98</v>
      </c>
      <c r="U162" s="36" t="s">
        <v>67</v>
      </c>
      <c r="X162" s="41">
        <v>38541</v>
      </c>
      <c r="Y162" s="11">
        <v>12000</v>
      </c>
      <c r="Z162" s="11"/>
      <c r="AA162" s="11">
        <v>1000</v>
      </c>
      <c r="AB162" s="252">
        <f>+XIRR(AA161:AA162,X161:X162)</f>
        <v>-0.97758509442210229</v>
      </c>
    </row>
    <row r="163" spans="1:28" s="26" customFormat="1" hidden="1">
      <c r="A163" s="31" t="s">
        <v>521</v>
      </c>
      <c r="B163" s="53" t="s">
        <v>267</v>
      </c>
      <c r="C163" s="53" t="s">
        <v>318</v>
      </c>
      <c r="D163" s="14" t="s">
        <v>119</v>
      </c>
      <c r="E163" s="45">
        <v>36889</v>
      </c>
      <c r="F163" s="14"/>
      <c r="G163" s="14"/>
      <c r="H163" s="14">
        <v>1000000000</v>
      </c>
      <c r="I163" s="28" t="s">
        <v>82</v>
      </c>
      <c r="J163" s="40">
        <v>37620</v>
      </c>
      <c r="K163" s="14">
        <f>500000000/2000</f>
        <v>250000</v>
      </c>
      <c r="L163" s="14">
        <v>2000</v>
      </c>
      <c r="M163" s="14">
        <v>699025000</v>
      </c>
      <c r="N163" s="14">
        <v>500000000</v>
      </c>
      <c r="O163" s="14">
        <f>+M163-N163</f>
        <v>199025000</v>
      </c>
      <c r="P163" s="14"/>
      <c r="Q163" s="14"/>
      <c r="R163" s="402" t="s">
        <v>978</v>
      </c>
      <c r="S163" s="402"/>
      <c r="T163" s="31" t="s">
        <v>61</v>
      </c>
      <c r="U163" s="31" t="s">
        <v>67</v>
      </c>
      <c r="W163" s="20" t="s">
        <v>867</v>
      </c>
      <c r="X163" s="44">
        <v>37330</v>
      </c>
      <c r="Y163" s="20">
        <v>50000</v>
      </c>
      <c r="Z163" s="20">
        <v>8000</v>
      </c>
      <c r="AA163" s="20">
        <v>-400000000</v>
      </c>
      <c r="AB163" s="252"/>
    </row>
    <row r="164" spans="1:28" s="26" customFormat="1" hidden="1">
      <c r="A164" s="31" t="s">
        <v>521</v>
      </c>
      <c r="B164" s="53" t="s">
        <v>267</v>
      </c>
      <c r="C164" s="53" t="s">
        <v>318</v>
      </c>
      <c r="D164" s="11" t="s">
        <v>119</v>
      </c>
      <c r="E164" s="46"/>
      <c r="F164" s="11"/>
      <c r="G164" s="11"/>
      <c r="H164" s="11"/>
      <c r="I164" s="33" t="s">
        <v>82</v>
      </c>
      <c r="J164" s="41">
        <v>37672</v>
      </c>
      <c r="K164" s="11"/>
      <c r="L164" s="11"/>
      <c r="M164" s="11">
        <v>507835610</v>
      </c>
      <c r="N164" s="11">
        <v>500000000</v>
      </c>
      <c r="O164" s="11">
        <f t="shared" ref="O164:O205" si="15">+M164-N164</f>
        <v>7835610</v>
      </c>
      <c r="P164" s="11">
        <f>+SUM(H163:H164)-SUM(N163:N164)</f>
        <v>0</v>
      </c>
      <c r="Q164" s="11"/>
      <c r="R164" s="403" t="s">
        <v>978</v>
      </c>
      <c r="S164" s="403"/>
      <c r="T164" s="36" t="s">
        <v>61</v>
      </c>
      <c r="U164" s="36" t="s">
        <v>67</v>
      </c>
      <c r="X164" s="41">
        <v>38541</v>
      </c>
      <c r="Y164" s="11"/>
      <c r="Z164" s="11"/>
      <c r="AA164" s="11">
        <v>149271000</v>
      </c>
      <c r="AB164" s="252">
        <f>+XIRR(AA163:AA164,X163:X164)</f>
        <v>-0.25702586993575105</v>
      </c>
    </row>
    <row r="165" spans="1:28" s="26" customFormat="1" hidden="1">
      <c r="A165" s="31" t="s">
        <v>521</v>
      </c>
      <c r="B165" s="53" t="s">
        <v>267</v>
      </c>
      <c r="C165" s="53" t="s">
        <v>323</v>
      </c>
      <c r="D165" s="20" t="s">
        <v>116</v>
      </c>
      <c r="E165" s="44">
        <v>36581</v>
      </c>
      <c r="F165" s="20">
        <v>200000</v>
      </c>
      <c r="G165" s="20">
        <v>2500</v>
      </c>
      <c r="H165" s="20">
        <f>+F165*G165</f>
        <v>500000000</v>
      </c>
      <c r="I165" s="22" t="s">
        <v>969</v>
      </c>
      <c r="J165" s="38">
        <v>37621</v>
      </c>
      <c r="K165" s="20"/>
      <c r="L165" s="20"/>
      <c r="M165" s="20">
        <v>0</v>
      </c>
      <c r="N165" s="20">
        <v>500000000</v>
      </c>
      <c r="O165" s="20">
        <f t="shared" si="15"/>
        <v>-500000000</v>
      </c>
      <c r="P165" s="20"/>
      <c r="Q165" s="20"/>
      <c r="R165" s="25" t="s">
        <v>60</v>
      </c>
      <c r="S165" s="401"/>
      <c r="T165" s="25" t="s">
        <v>66</v>
      </c>
      <c r="U165" s="25" t="s">
        <v>62</v>
      </c>
      <c r="V165" s="4"/>
      <c r="W165" s="15" t="s">
        <v>868</v>
      </c>
      <c r="X165" s="42">
        <v>37293</v>
      </c>
      <c r="Y165" s="15">
        <v>22000</v>
      </c>
      <c r="Z165" s="15">
        <v>2700</v>
      </c>
      <c r="AA165" s="15">
        <v>-59400000</v>
      </c>
      <c r="AB165" s="17"/>
    </row>
    <row r="166" spans="1:28" s="26" customFormat="1" hidden="1">
      <c r="A166" s="31" t="s">
        <v>521</v>
      </c>
      <c r="B166" s="53" t="s">
        <v>267</v>
      </c>
      <c r="C166" s="53" t="s">
        <v>323</v>
      </c>
      <c r="D166" s="11" t="s">
        <v>116</v>
      </c>
      <c r="E166" s="46"/>
      <c r="F166" s="11"/>
      <c r="G166" s="11"/>
      <c r="H166" s="11"/>
      <c r="I166" s="33" t="s">
        <v>961</v>
      </c>
      <c r="J166" s="41">
        <v>38733</v>
      </c>
      <c r="K166" s="11">
        <v>200000</v>
      </c>
      <c r="L166" s="11"/>
      <c r="M166" s="11">
        <v>1000</v>
      </c>
      <c r="N166" s="11">
        <v>0</v>
      </c>
      <c r="O166" s="11">
        <f t="shared" si="15"/>
        <v>1000</v>
      </c>
      <c r="P166" s="11">
        <f>+SUM(H165:H166)-SUM(N165:N166)</f>
        <v>0</v>
      </c>
      <c r="Q166" s="11"/>
      <c r="R166" s="403" t="s">
        <v>858</v>
      </c>
      <c r="S166" s="403"/>
      <c r="T166" s="36" t="s">
        <v>6</v>
      </c>
      <c r="U166" s="36" t="s">
        <v>50</v>
      </c>
      <c r="V166" s="4"/>
      <c r="W166" s="4"/>
      <c r="X166" s="43">
        <v>37708</v>
      </c>
      <c r="Y166" s="15">
        <v>22000</v>
      </c>
      <c r="Z166" s="15">
        <v>3000</v>
      </c>
      <c r="AA166" s="15">
        <v>66000000</v>
      </c>
      <c r="AB166" s="252">
        <f>+XIRR(AA165:AA166,X165:X166)</f>
        <v>9.709576964378358E-2</v>
      </c>
    </row>
    <row r="167" spans="1:28" s="26" customFormat="1" hidden="1">
      <c r="A167" s="31" t="s">
        <v>521</v>
      </c>
      <c r="B167" s="53" t="s">
        <v>267</v>
      </c>
      <c r="C167" s="53" t="s">
        <v>323</v>
      </c>
      <c r="D167" s="20" t="s">
        <v>120</v>
      </c>
      <c r="E167" s="44">
        <v>36595</v>
      </c>
      <c r="F167" s="20">
        <v>6667</v>
      </c>
      <c r="G167" s="20">
        <v>75000</v>
      </c>
      <c r="H167" s="20">
        <v>500000000</v>
      </c>
      <c r="I167" s="22" t="s">
        <v>961</v>
      </c>
      <c r="J167" s="38">
        <v>37621</v>
      </c>
      <c r="K167" s="20"/>
      <c r="L167" s="20"/>
      <c r="M167" s="20">
        <v>0</v>
      </c>
      <c r="N167" s="20">
        <v>448814090</v>
      </c>
      <c r="O167" s="20">
        <f t="shared" si="15"/>
        <v>-448814090</v>
      </c>
      <c r="P167" s="20"/>
      <c r="Q167" s="20"/>
      <c r="R167" s="25" t="s">
        <v>60</v>
      </c>
      <c r="S167" s="401"/>
      <c r="T167" s="25" t="s">
        <v>66</v>
      </c>
      <c r="U167" s="25" t="s">
        <v>67</v>
      </c>
      <c r="W167" s="15" t="s">
        <v>111</v>
      </c>
      <c r="X167" s="42">
        <v>37313</v>
      </c>
      <c r="Y167" s="15">
        <v>2500</v>
      </c>
      <c r="Z167" s="15">
        <v>10000</v>
      </c>
      <c r="AA167" s="15">
        <v>-25000000</v>
      </c>
      <c r="AB167" s="17"/>
    </row>
    <row r="168" spans="1:28" s="26" customFormat="1" hidden="1">
      <c r="A168" s="31" t="s">
        <v>521</v>
      </c>
      <c r="B168" s="53" t="s">
        <v>267</v>
      </c>
      <c r="C168" s="53" t="s">
        <v>323</v>
      </c>
      <c r="D168" s="14" t="s">
        <v>120</v>
      </c>
      <c r="E168" s="45"/>
      <c r="F168" s="14"/>
      <c r="G168" s="14"/>
      <c r="H168" s="14"/>
      <c r="I168" s="28" t="s">
        <v>961</v>
      </c>
      <c r="J168" s="40">
        <v>37986</v>
      </c>
      <c r="K168" s="14"/>
      <c r="L168" s="14"/>
      <c r="M168" s="14">
        <v>0</v>
      </c>
      <c r="N168" s="14">
        <v>51185910</v>
      </c>
      <c r="O168" s="14">
        <f t="shared" si="15"/>
        <v>-51185910</v>
      </c>
      <c r="P168" s="14">
        <f>+SUM(H167:H168)-SUM(N167:N168)</f>
        <v>0</v>
      </c>
      <c r="Q168" s="14"/>
      <c r="R168" s="31" t="s">
        <v>60</v>
      </c>
      <c r="S168" s="402"/>
      <c r="T168" s="31" t="s">
        <v>66</v>
      </c>
      <c r="U168" s="31" t="s">
        <v>67</v>
      </c>
      <c r="X168" s="43">
        <v>37350</v>
      </c>
      <c r="Y168" s="15">
        <v>2500</v>
      </c>
      <c r="Z168" s="15">
        <v>13300</v>
      </c>
      <c r="AA168" s="15">
        <f>+Y168*Z168</f>
        <v>33250000</v>
      </c>
      <c r="AB168" s="252">
        <f>+XIRR(AA167:AA168,X167:X168)</f>
        <v>15.664017009735105</v>
      </c>
    </row>
    <row r="169" spans="1:28" s="26" customFormat="1" hidden="1">
      <c r="A169" s="31" t="s">
        <v>521</v>
      </c>
      <c r="B169" s="53" t="s">
        <v>267</v>
      </c>
      <c r="C169" s="53" t="s">
        <v>323</v>
      </c>
      <c r="D169" s="11" t="s">
        <v>120</v>
      </c>
      <c r="E169" s="46"/>
      <c r="F169" s="11"/>
      <c r="G169" s="11"/>
      <c r="H169" s="11"/>
      <c r="I169" s="33" t="s">
        <v>961</v>
      </c>
      <c r="J169" s="41">
        <v>38733</v>
      </c>
      <c r="K169" s="11">
        <v>16667</v>
      </c>
      <c r="L169" s="11"/>
      <c r="M169" s="11">
        <v>1000</v>
      </c>
      <c r="N169" s="11">
        <v>0</v>
      </c>
      <c r="O169" s="11">
        <f t="shared" si="15"/>
        <v>1000</v>
      </c>
      <c r="P169" s="11">
        <f>+SUM(H167:H169)-SUM(N167:N169)</f>
        <v>0</v>
      </c>
      <c r="Q169" s="11"/>
      <c r="R169" s="403" t="s">
        <v>858</v>
      </c>
      <c r="S169" s="403"/>
      <c r="T169" s="36" t="s">
        <v>6</v>
      </c>
      <c r="U169" s="36" t="s">
        <v>30</v>
      </c>
      <c r="W169" s="15" t="s">
        <v>112</v>
      </c>
      <c r="X169" s="42">
        <v>37305</v>
      </c>
      <c r="Y169" s="15">
        <v>40000</v>
      </c>
      <c r="Z169" s="15">
        <v>500</v>
      </c>
      <c r="AA169" s="15">
        <v>-20000000</v>
      </c>
      <c r="AB169" s="252"/>
    </row>
    <row r="170" spans="1:28" s="26" customFormat="1" hidden="1">
      <c r="A170" s="31" t="s">
        <v>521</v>
      </c>
      <c r="B170" s="53" t="s">
        <v>267</v>
      </c>
      <c r="C170" s="53" t="s">
        <v>323</v>
      </c>
      <c r="D170" s="20" t="s">
        <v>121</v>
      </c>
      <c r="E170" s="44">
        <v>36606</v>
      </c>
      <c r="F170" s="20">
        <v>4000</v>
      </c>
      <c r="G170" s="20">
        <v>30000</v>
      </c>
      <c r="H170" s="20">
        <f>+F170*G170</f>
        <v>120000000</v>
      </c>
      <c r="I170" s="22" t="s">
        <v>961</v>
      </c>
      <c r="J170" s="38">
        <v>37621</v>
      </c>
      <c r="K170" s="20"/>
      <c r="L170" s="20"/>
      <c r="M170" s="20">
        <v>0</v>
      </c>
      <c r="N170" s="20">
        <v>103921655</v>
      </c>
      <c r="O170" s="20">
        <f t="shared" si="15"/>
        <v>-103921655</v>
      </c>
      <c r="P170" s="20"/>
      <c r="Q170" s="20"/>
      <c r="R170" s="25" t="s">
        <v>60</v>
      </c>
      <c r="S170" s="401"/>
      <c r="T170" s="25" t="s">
        <v>86</v>
      </c>
      <c r="U170" s="25" t="s">
        <v>67</v>
      </c>
      <c r="X170" s="43">
        <v>37678</v>
      </c>
      <c r="Y170" s="15">
        <v>40000</v>
      </c>
      <c r="Z170" s="15">
        <v>700</v>
      </c>
      <c r="AA170" s="15">
        <v>28000000</v>
      </c>
      <c r="AB170" s="252">
        <f>+XIRR(AA169:AA170,X169:X170)</f>
        <v>0.3899331748485565</v>
      </c>
    </row>
    <row r="171" spans="1:28" s="26" customFormat="1" hidden="1">
      <c r="A171" s="31" t="s">
        <v>521</v>
      </c>
      <c r="B171" s="53" t="s">
        <v>267</v>
      </c>
      <c r="C171" s="53" t="s">
        <v>323</v>
      </c>
      <c r="D171" s="14" t="s">
        <v>121</v>
      </c>
      <c r="E171" s="45"/>
      <c r="F171" s="14"/>
      <c r="G171" s="14"/>
      <c r="H171" s="14"/>
      <c r="I171" s="28" t="s">
        <v>961</v>
      </c>
      <c r="J171" s="40">
        <v>37986</v>
      </c>
      <c r="K171" s="14"/>
      <c r="L171" s="14"/>
      <c r="M171" s="14">
        <v>0</v>
      </c>
      <c r="N171" s="14">
        <v>16078345</v>
      </c>
      <c r="O171" s="14">
        <f t="shared" si="15"/>
        <v>-16078345</v>
      </c>
      <c r="P171" s="14">
        <f>+SUM(H170:H171)-SUM(N170:N171)</f>
        <v>0</v>
      </c>
      <c r="Q171" s="14"/>
      <c r="R171" s="31" t="s">
        <v>60</v>
      </c>
      <c r="S171" s="402"/>
      <c r="T171" s="31" t="s">
        <v>86</v>
      </c>
      <c r="U171" s="31" t="s">
        <v>67</v>
      </c>
      <c r="AB171" s="252"/>
    </row>
    <row r="172" spans="1:28" s="26" customFormat="1" hidden="1">
      <c r="A172" s="31" t="s">
        <v>521</v>
      </c>
      <c r="B172" s="53" t="s">
        <v>267</v>
      </c>
      <c r="C172" s="53" t="s">
        <v>323</v>
      </c>
      <c r="D172" s="11" t="s">
        <v>121</v>
      </c>
      <c r="E172" s="46"/>
      <c r="F172" s="11"/>
      <c r="G172" s="11"/>
      <c r="H172" s="11"/>
      <c r="I172" s="33" t="s">
        <v>961</v>
      </c>
      <c r="J172" s="41">
        <v>38733</v>
      </c>
      <c r="K172" s="11">
        <v>11096</v>
      </c>
      <c r="L172" s="11"/>
      <c r="M172" s="11">
        <v>1000</v>
      </c>
      <c r="N172" s="11">
        <v>0</v>
      </c>
      <c r="O172" s="11">
        <f t="shared" si="15"/>
        <v>1000</v>
      </c>
      <c r="P172" s="11"/>
      <c r="Q172" s="11"/>
      <c r="R172" s="403" t="s">
        <v>858</v>
      </c>
      <c r="S172" s="403"/>
      <c r="T172" s="36" t="s">
        <v>12</v>
      </c>
      <c r="U172" s="36" t="s">
        <v>30</v>
      </c>
      <c r="AB172" s="252"/>
    </row>
    <row r="173" spans="1:28" s="26" customFormat="1" hidden="1">
      <c r="A173" s="31" t="s">
        <v>521</v>
      </c>
      <c r="B173" s="53" t="s">
        <v>267</v>
      </c>
      <c r="C173" s="53" t="s">
        <v>323</v>
      </c>
      <c r="D173" s="20" t="s">
        <v>122</v>
      </c>
      <c r="E173" s="44">
        <v>36612</v>
      </c>
      <c r="F173" s="20">
        <v>536</v>
      </c>
      <c r="G173" s="20">
        <v>750000</v>
      </c>
      <c r="H173" s="20">
        <f>+F173*G173</f>
        <v>402000000</v>
      </c>
      <c r="I173" s="22" t="s">
        <v>961</v>
      </c>
      <c r="J173" s="38">
        <v>37621</v>
      </c>
      <c r="K173" s="20"/>
      <c r="L173" s="20"/>
      <c r="M173" s="20">
        <v>0</v>
      </c>
      <c r="N173" s="20">
        <v>389276910</v>
      </c>
      <c r="O173" s="20">
        <f t="shared" si="15"/>
        <v>-389276910</v>
      </c>
      <c r="P173" s="20"/>
      <c r="Q173" s="20"/>
      <c r="R173" s="25" t="s">
        <v>60</v>
      </c>
      <c r="S173" s="401"/>
      <c r="T173" s="25" t="s">
        <v>61</v>
      </c>
      <c r="U173" s="25" t="s">
        <v>67</v>
      </c>
      <c r="AB173" s="252"/>
    </row>
    <row r="174" spans="1:28" s="26" customFormat="1" hidden="1">
      <c r="A174" s="31" t="s">
        <v>521</v>
      </c>
      <c r="B174" s="53" t="s">
        <v>267</v>
      </c>
      <c r="C174" s="53" t="s">
        <v>323</v>
      </c>
      <c r="D174" s="14" t="s">
        <v>122</v>
      </c>
      <c r="E174" s="45"/>
      <c r="F174" s="14"/>
      <c r="G174" s="14"/>
      <c r="H174" s="14"/>
      <c r="I174" s="28" t="s">
        <v>961</v>
      </c>
      <c r="J174" s="40">
        <v>37986</v>
      </c>
      <c r="K174" s="14"/>
      <c r="L174" s="14"/>
      <c r="M174" s="14">
        <v>0</v>
      </c>
      <c r="N174" s="14">
        <v>12723090</v>
      </c>
      <c r="O174" s="14">
        <f t="shared" si="15"/>
        <v>-12723090</v>
      </c>
      <c r="P174" s="14"/>
      <c r="Q174" s="14"/>
      <c r="R174" s="31" t="s">
        <v>60</v>
      </c>
      <c r="S174" s="402"/>
      <c r="T174" s="31" t="s">
        <v>61</v>
      </c>
      <c r="U174" s="31" t="s">
        <v>67</v>
      </c>
      <c r="AB174" s="252"/>
    </row>
    <row r="175" spans="1:28" s="26" customFormat="1" hidden="1">
      <c r="A175" s="31" t="s">
        <v>521</v>
      </c>
      <c r="B175" s="53" t="s">
        <v>267</v>
      </c>
      <c r="C175" s="53" t="s">
        <v>323</v>
      </c>
      <c r="D175" s="11" t="s">
        <v>122</v>
      </c>
      <c r="E175" s="46"/>
      <c r="F175" s="11"/>
      <c r="G175" s="11"/>
      <c r="H175" s="11"/>
      <c r="I175" s="33" t="s">
        <v>961</v>
      </c>
      <c r="J175" s="41">
        <v>38733</v>
      </c>
      <c r="K175" s="11">
        <v>7796</v>
      </c>
      <c r="L175" s="11"/>
      <c r="M175" s="11">
        <v>1000</v>
      </c>
      <c r="N175" s="11">
        <v>0</v>
      </c>
      <c r="O175" s="11">
        <f t="shared" si="15"/>
        <v>1000</v>
      </c>
      <c r="P175" s="11">
        <f>+SUM(H173:H175)-SUM(N173:N175)</f>
        <v>0</v>
      </c>
      <c r="Q175" s="11"/>
      <c r="R175" s="403" t="s">
        <v>858</v>
      </c>
      <c r="S175" s="403"/>
      <c r="T175" s="36" t="s">
        <v>9</v>
      </c>
      <c r="U175" s="36" t="s">
        <v>30</v>
      </c>
      <c r="AB175" s="252"/>
    </row>
    <row r="176" spans="1:28" s="26" customFormat="1" hidden="1">
      <c r="A176" s="31" t="s">
        <v>521</v>
      </c>
      <c r="B176" s="53" t="s">
        <v>267</v>
      </c>
      <c r="C176" s="53" t="s">
        <v>323</v>
      </c>
      <c r="D176" s="20" t="s">
        <v>70</v>
      </c>
      <c r="E176" s="44">
        <v>36620</v>
      </c>
      <c r="F176" s="20">
        <v>3340</v>
      </c>
      <c r="G176" s="20">
        <v>150000</v>
      </c>
      <c r="H176" s="20">
        <f>+F176*G176</f>
        <v>501000000</v>
      </c>
      <c r="I176" s="22" t="s">
        <v>961</v>
      </c>
      <c r="J176" s="38">
        <v>37621</v>
      </c>
      <c r="K176" s="20"/>
      <c r="L176" s="20"/>
      <c r="M176" s="20">
        <v>0</v>
      </c>
      <c r="N176" s="20">
        <v>482173989</v>
      </c>
      <c r="O176" s="20">
        <f t="shared" si="15"/>
        <v>-482173989</v>
      </c>
      <c r="P176" s="20"/>
      <c r="Q176" s="20"/>
      <c r="R176" s="25" t="s">
        <v>60</v>
      </c>
      <c r="S176" s="401"/>
      <c r="T176" s="25" t="s">
        <v>66</v>
      </c>
      <c r="U176" s="25" t="s">
        <v>71</v>
      </c>
      <c r="AB176" s="252"/>
    </row>
    <row r="177" spans="1:28" s="26" customFormat="1" hidden="1">
      <c r="A177" s="31" t="s">
        <v>521</v>
      </c>
      <c r="B177" s="53" t="s">
        <v>267</v>
      </c>
      <c r="C177" s="53" t="s">
        <v>323</v>
      </c>
      <c r="D177" s="14" t="s">
        <v>70</v>
      </c>
      <c r="E177" s="45"/>
      <c r="F177" s="14"/>
      <c r="G177" s="14"/>
      <c r="H177" s="14"/>
      <c r="I177" s="28" t="s">
        <v>961</v>
      </c>
      <c r="J177" s="40">
        <v>37986</v>
      </c>
      <c r="K177" s="14"/>
      <c r="L177" s="14"/>
      <c r="M177" s="14">
        <v>0</v>
      </c>
      <c r="N177" s="14">
        <v>18826011</v>
      </c>
      <c r="O177" s="14">
        <f t="shared" si="15"/>
        <v>-18826011</v>
      </c>
      <c r="P177" s="14"/>
      <c r="Q177" s="14"/>
      <c r="R177" s="31" t="s">
        <v>60</v>
      </c>
      <c r="S177" s="402"/>
      <c r="T177" s="31" t="str">
        <f>+T176</f>
        <v>엔터테인먼트</v>
      </c>
      <c r="U177" s="31" t="s">
        <v>71</v>
      </c>
      <c r="AB177" s="252"/>
    </row>
    <row r="178" spans="1:28" s="26" customFormat="1" hidden="1">
      <c r="A178" s="31" t="s">
        <v>521</v>
      </c>
      <c r="B178" s="53" t="s">
        <v>267</v>
      </c>
      <c r="C178" s="53" t="s">
        <v>323</v>
      </c>
      <c r="D178" s="11" t="s">
        <v>70</v>
      </c>
      <c r="E178" s="46"/>
      <c r="F178" s="11"/>
      <c r="G178" s="11"/>
      <c r="H178" s="11"/>
      <c r="I178" s="33" t="s">
        <v>961</v>
      </c>
      <c r="J178" s="41">
        <v>38733</v>
      </c>
      <c r="K178" s="11">
        <v>4715</v>
      </c>
      <c r="L178" s="11"/>
      <c r="M178" s="11">
        <v>165000</v>
      </c>
      <c r="N178" s="11">
        <v>0</v>
      </c>
      <c r="O178" s="11">
        <f t="shared" si="15"/>
        <v>165000</v>
      </c>
      <c r="P178" s="14">
        <f>+SUM(H176:H178)-SUM(N176:N178)</f>
        <v>0</v>
      </c>
      <c r="Q178" s="11"/>
      <c r="R178" s="403" t="s">
        <v>891</v>
      </c>
      <c r="S178" s="403"/>
      <c r="T178" s="36" t="str">
        <f>+T177</f>
        <v>엔터테인먼트</v>
      </c>
      <c r="U178" s="36" t="s">
        <v>31</v>
      </c>
      <c r="AB178" s="252"/>
    </row>
    <row r="179" spans="1:28" s="26" customFormat="1" hidden="1">
      <c r="A179" s="31" t="s">
        <v>521</v>
      </c>
      <c r="B179" s="53" t="s">
        <v>267</v>
      </c>
      <c r="C179" s="53" t="s">
        <v>323</v>
      </c>
      <c r="D179" s="20" t="s">
        <v>123</v>
      </c>
      <c r="E179" s="44">
        <v>36699</v>
      </c>
      <c r="F179" s="20">
        <v>16800</v>
      </c>
      <c r="G179" s="20">
        <v>30000</v>
      </c>
      <c r="H179" s="20">
        <f>+F179*G179</f>
        <v>504000000</v>
      </c>
      <c r="I179" s="22" t="s">
        <v>961</v>
      </c>
      <c r="J179" s="38">
        <v>37621</v>
      </c>
      <c r="K179" s="20"/>
      <c r="L179" s="20"/>
      <c r="M179" s="20">
        <v>0</v>
      </c>
      <c r="N179" s="20">
        <v>479177207</v>
      </c>
      <c r="O179" s="20">
        <f t="shared" si="15"/>
        <v>-479177207</v>
      </c>
      <c r="P179" s="20"/>
      <c r="Q179" s="20"/>
      <c r="R179" s="25" t="s">
        <v>60</v>
      </c>
      <c r="S179" s="401"/>
      <c r="T179" s="25" t="s">
        <v>86</v>
      </c>
      <c r="U179" s="25" t="s">
        <v>67</v>
      </c>
      <c r="AB179" s="252"/>
    </row>
    <row r="180" spans="1:28" s="26" customFormat="1" hidden="1">
      <c r="A180" s="31" t="s">
        <v>521</v>
      </c>
      <c r="B180" s="53" t="s">
        <v>267</v>
      </c>
      <c r="C180" s="53" t="s">
        <v>323</v>
      </c>
      <c r="D180" s="14" t="s">
        <v>123</v>
      </c>
      <c r="E180" s="45"/>
      <c r="F180" s="14"/>
      <c r="G180" s="14"/>
      <c r="H180" s="14"/>
      <c r="I180" s="28" t="s">
        <v>961</v>
      </c>
      <c r="J180" s="40">
        <v>37986</v>
      </c>
      <c r="K180" s="14"/>
      <c r="L180" s="14"/>
      <c r="M180" s="14">
        <v>0</v>
      </c>
      <c r="N180" s="14">
        <v>24822793</v>
      </c>
      <c r="O180" s="14">
        <f t="shared" si="15"/>
        <v>-24822793</v>
      </c>
      <c r="P180" s="14">
        <f>+SUM(H179:H180)-SUM(N179:N180)</f>
        <v>0</v>
      </c>
      <c r="Q180" s="14"/>
      <c r="R180" s="31" t="s">
        <v>60</v>
      </c>
      <c r="S180" s="402"/>
      <c r="T180" s="31" t="s">
        <v>86</v>
      </c>
      <c r="U180" s="31" t="s">
        <v>67</v>
      </c>
      <c r="AB180" s="252"/>
    </row>
    <row r="181" spans="1:28" s="26" customFormat="1" hidden="1">
      <c r="A181" s="31" t="s">
        <v>521</v>
      </c>
      <c r="B181" s="53" t="s">
        <v>267</v>
      </c>
      <c r="C181" s="53" t="s">
        <v>323</v>
      </c>
      <c r="D181" s="11" t="s">
        <v>123</v>
      </c>
      <c r="E181" s="46"/>
      <c r="F181" s="11"/>
      <c r="G181" s="11"/>
      <c r="H181" s="11"/>
      <c r="I181" s="33" t="s">
        <v>961</v>
      </c>
      <c r="J181" s="41">
        <v>38733</v>
      </c>
      <c r="K181" s="11">
        <v>16800</v>
      </c>
      <c r="L181" s="11"/>
      <c r="M181" s="11">
        <v>165000</v>
      </c>
      <c r="N181" s="11">
        <v>0</v>
      </c>
      <c r="O181" s="11">
        <f t="shared" si="15"/>
        <v>165000</v>
      </c>
      <c r="P181" s="11">
        <f>+SUM(H179:H181)-SUM(N179:N181)</f>
        <v>0</v>
      </c>
      <c r="Q181" s="11"/>
      <c r="R181" s="403" t="s">
        <v>858</v>
      </c>
      <c r="S181" s="403"/>
      <c r="T181" s="36" t="s">
        <v>12</v>
      </c>
      <c r="U181" s="36" t="s">
        <v>30</v>
      </c>
      <c r="AB181" s="252"/>
    </row>
    <row r="182" spans="1:28" hidden="1">
      <c r="A182" s="31" t="s">
        <v>521</v>
      </c>
      <c r="B182" s="53" t="s">
        <v>267</v>
      </c>
      <c r="C182" s="53" t="s">
        <v>323</v>
      </c>
      <c r="D182" s="20" t="s">
        <v>124</v>
      </c>
      <c r="E182" s="44">
        <v>36600</v>
      </c>
      <c r="F182" s="20">
        <v>14570</v>
      </c>
      <c r="G182" s="20">
        <v>35000</v>
      </c>
      <c r="H182" s="20">
        <f>+F182*G182</f>
        <v>509950000</v>
      </c>
      <c r="I182" s="22" t="s">
        <v>961</v>
      </c>
      <c r="J182" s="38">
        <v>37635</v>
      </c>
      <c r="K182" s="20">
        <v>9100</v>
      </c>
      <c r="L182" s="20">
        <v>9334</v>
      </c>
      <c r="M182" s="20">
        <f t="shared" ref="M182:M202" si="16">+K182*L182</f>
        <v>84939400</v>
      </c>
      <c r="N182" s="20">
        <f>142392823+M182-713</f>
        <v>227331510</v>
      </c>
      <c r="O182" s="20">
        <f t="shared" si="15"/>
        <v>-142392110</v>
      </c>
      <c r="P182" s="20"/>
      <c r="Q182" s="20"/>
      <c r="R182" s="25" t="s">
        <v>64</v>
      </c>
      <c r="S182" s="401"/>
      <c r="T182" s="25" t="s">
        <v>61</v>
      </c>
      <c r="U182" s="25" t="s">
        <v>67</v>
      </c>
      <c r="V182" s="26"/>
      <c r="W182" s="26"/>
      <c r="X182" s="26"/>
      <c r="Y182" s="26"/>
    </row>
    <row r="183" spans="1:28" s="26" customFormat="1" hidden="1">
      <c r="A183" s="31" t="s">
        <v>521</v>
      </c>
      <c r="B183" s="53" t="s">
        <v>267</v>
      </c>
      <c r="C183" s="53" t="s">
        <v>323</v>
      </c>
      <c r="D183" s="11" t="s">
        <v>124</v>
      </c>
      <c r="E183" s="46"/>
      <c r="F183" s="11"/>
      <c r="G183" s="11"/>
      <c r="H183" s="11"/>
      <c r="I183" s="33" t="s">
        <v>961</v>
      </c>
      <c r="J183" s="41">
        <v>37636</v>
      </c>
      <c r="K183" s="11">
        <v>11313</v>
      </c>
      <c r="L183" s="11">
        <v>8561</v>
      </c>
      <c r="M183" s="11">
        <f t="shared" si="16"/>
        <v>96850593</v>
      </c>
      <c r="N183" s="11">
        <f>185767897+M183</f>
        <v>282618490</v>
      </c>
      <c r="O183" s="11">
        <f t="shared" si="15"/>
        <v>-185767897</v>
      </c>
      <c r="P183" s="11">
        <f>+SUM(H182:H183)-SUM(N182:N183)</f>
        <v>0</v>
      </c>
      <c r="Q183" s="11"/>
      <c r="R183" s="36" t="s">
        <v>64</v>
      </c>
      <c r="S183" s="403"/>
      <c r="T183" s="36" t="s">
        <v>61</v>
      </c>
      <c r="U183" s="36" t="s">
        <v>67</v>
      </c>
      <c r="AB183" s="252"/>
    </row>
    <row r="184" spans="1:28" hidden="1">
      <c r="A184" s="31" t="s">
        <v>521</v>
      </c>
      <c r="B184" s="53" t="s">
        <v>267</v>
      </c>
      <c r="C184" s="53" t="s">
        <v>323</v>
      </c>
      <c r="D184" s="15" t="s">
        <v>125</v>
      </c>
      <c r="E184" s="42">
        <v>36797</v>
      </c>
      <c r="F184" s="15">
        <v>6049</v>
      </c>
      <c r="G184" s="15">
        <v>14000</v>
      </c>
      <c r="H184" s="15">
        <f t="shared" ref="H184:H203" si="17">+F184*G184</f>
        <v>84686000</v>
      </c>
      <c r="I184" s="17" t="s">
        <v>59</v>
      </c>
      <c r="J184" s="43">
        <v>36819</v>
      </c>
      <c r="K184" s="15">
        <v>6049</v>
      </c>
      <c r="L184" s="15">
        <v>20000</v>
      </c>
      <c r="M184" s="15">
        <v>120133140</v>
      </c>
      <c r="N184" s="15">
        <f>+H184</f>
        <v>84686000</v>
      </c>
      <c r="O184" s="15">
        <f t="shared" si="15"/>
        <v>35447140</v>
      </c>
      <c r="P184" s="15">
        <f>+H184-N184</f>
        <v>0</v>
      </c>
      <c r="Q184" s="15"/>
      <c r="R184" s="405" t="s">
        <v>974</v>
      </c>
      <c r="S184" s="405"/>
      <c r="T184" s="19" t="s">
        <v>61</v>
      </c>
      <c r="U184" s="19" t="s">
        <v>67</v>
      </c>
    </row>
    <row r="185" spans="1:28" s="26" customFormat="1" hidden="1">
      <c r="A185" s="31" t="s">
        <v>521</v>
      </c>
      <c r="B185" s="81" t="s">
        <v>267</v>
      </c>
      <c r="C185" s="81" t="s">
        <v>325</v>
      </c>
      <c r="D185" s="73" t="s">
        <v>326</v>
      </c>
      <c r="E185" s="74">
        <v>36774</v>
      </c>
      <c r="F185" s="73">
        <v>2000</v>
      </c>
      <c r="G185" s="73">
        <v>24497</v>
      </c>
      <c r="H185" s="73">
        <f t="shared" si="17"/>
        <v>48994000</v>
      </c>
      <c r="I185" s="75" t="s">
        <v>315</v>
      </c>
      <c r="J185" s="76">
        <v>36776</v>
      </c>
      <c r="K185" s="73">
        <v>2000</v>
      </c>
      <c r="L185" s="73">
        <v>24750</v>
      </c>
      <c r="M185" s="73">
        <f t="shared" si="16"/>
        <v>49500000</v>
      </c>
      <c r="N185" s="73">
        <f>+H185</f>
        <v>48994000</v>
      </c>
      <c r="O185" s="73">
        <f t="shared" si="15"/>
        <v>506000</v>
      </c>
      <c r="P185" s="20"/>
      <c r="Q185" s="20"/>
      <c r="R185" s="25" t="s">
        <v>64</v>
      </c>
      <c r="S185" s="401"/>
      <c r="T185" s="25" t="s">
        <v>61</v>
      </c>
      <c r="U185" s="25" t="s">
        <v>67</v>
      </c>
      <c r="AB185" s="252"/>
    </row>
    <row r="186" spans="1:28" s="26" customFormat="1" hidden="1">
      <c r="A186" s="31" t="s">
        <v>521</v>
      </c>
      <c r="B186" s="81" t="s">
        <v>267</v>
      </c>
      <c r="C186" s="81" t="s">
        <v>325</v>
      </c>
      <c r="D186" s="60" t="s">
        <v>326</v>
      </c>
      <c r="E186" s="82">
        <v>36796</v>
      </c>
      <c r="F186" s="60">
        <v>5000</v>
      </c>
      <c r="G186" s="60">
        <v>16850</v>
      </c>
      <c r="H186" s="60">
        <f t="shared" si="17"/>
        <v>84250000</v>
      </c>
      <c r="I186" s="83" t="s">
        <v>315</v>
      </c>
      <c r="J186" s="84">
        <v>36796</v>
      </c>
      <c r="K186" s="60">
        <v>5000</v>
      </c>
      <c r="L186" s="60">
        <v>17000</v>
      </c>
      <c r="M186" s="60">
        <f t="shared" si="16"/>
        <v>85000000</v>
      </c>
      <c r="N186" s="60">
        <f>+H186</f>
        <v>84250000</v>
      </c>
      <c r="O186" s="60">
        <f t="shared" si="15"/>
        <v>750000</v>
      </c>
      <c r="P186" s="11">
        <f>+SUM(H185:H186)-SUM(N185:N186)</f>
        <v>0</v>
      </c>
      <c r="Q186" s="11"/>
      <c r="R186" s="36" t="s">
        <v>64</v>
      </c>
      <c r="S186" s="403"/>
      <c r="T186" s="36" t="s">
        <v>61</v>
      </c>
      <c r="U186" s="36" t="s">
        <v>67</v>
      </c>
      <c r="AB186" s="252"/>
    </row>
    <row r="187" spans="1:28" s="26" customFormat="1" hidden="1">
      <c r="A187" s="31" t="s">
        <v>521</v>
      </c>
      <c r="B187" s="81" t="s">
        <v>267</v>
      </c>
      <c r="C187" s="81" t="s">
        <v>325</v>
      </c>
      <c r="D187" s="56" t="s">
        <v>327</v>
      </c>
      <c r="E187" s="62">
        <v>36784</v>
      </c>
      <c r="F187" s="56">
        <v>1000</v>
      </c>
      <c r="G187" s="56">
        <v>8042</v>
      </c>
      <c r="H187" s="56">
        <f t="shared" si="17"/>
        <v>8042000</v>
      </c>
      <c r="I187" s="58" t="s">
        <v>315</v>
      </c>
      <c r="J187" s="63">
        <v>36788</v>
      </c>
      <c r="K187" s="56">
        <v>1000</v>
      </c>
      <c r="L187" s="56">
        <v>7607</v>
      </c>
      <c r="M187" s="56">
        <f t="shared" si="16"/>
        <v>7607000</v>
      </c>
      <c r="N187" s="56">
        <f>+H187</f>
        <v>8042000</v>
      </c>
      <c r="O187" s="56">
        <f t="shared" si="15"/>
        <v>-435000</v>
      </c>
      <c r="P187" s="15">
        <f>+H187-N187</f>
        <v>0</v>
      </c>
      <c r="Q187" s="15"/>
      <c r="R187" s="19" t="s">
        <v>64</v>
      </c>
      <c r="S187" s="405"/>
      <c r="T187" s="19" t="s">
        <v>61</v>
      </c>
      <c r="U187" s="19" t="s">
        <v>67</v>
      </c>
      <c r="V187" s="4"/>
      <c r="W187" s="4"/>
      <c r="X187" s="4"/>
      <c r="Y187" s="4"/>
      <c r="AB187" s="252"/>
    </row>
    <row r="188" spans="1:28" hidden="1">
      <c r="A188" s="31" t="s">
        <v>521</v>
      </c>
      <c r="B188" s="81" t="s">
        <v>267</v>
      </c>
      <c r="C188" s="81" t="s">
        <v>325</v>
      </c>
      <c r="D188" s="73" t="s">
        <v>328</v>
      </c>
      <c r="E188" s="74">
        <v>36720</v>
      </c>
      <c r="F188" s="73">
        <v>27000</v>
      </c>
      <c r="G188" s="73">
        <v>22061</v>
      </c>
      <c r="H188" s="73">
        <f t="shared" si="17"/>
        <v>595647000</v>
      </c>
      <c r="I188" s="75" t="s">
        <v>315</v>
      </c>
      <c r="J188" s="76">
        <v>36830</v>
      </c>
      <c r="K188" s="73">
        <v>26500</v>
      </c>
      <c r="L188" s="73">
        <v>17602</v>
      </c>
      <c r="M188" s="73">
        <f t="shared" si="16"/>
        <v>466453000</v>
      </c>
      <c r="N188" s="73">
        <f>+H188</f>
        <v>595647000</v>
      </c>
      <c r="O188" s="73">
        <f t="shared" si="15"/>
        <v>-129194000</v>
      </c>
      <c r="P188" s="20"/>
      <c r="Q188" s="20"/>
      <c r="R188" s="25" t="s">
        <v>64</v>
      </c>
      <c r="S188" s="401"/>
      <c r="T188" s="25" t="s">
        <v>115</v>
      </c>
      <c r="U188" s="25" t="s">
        <v>67</v>
      </c>
      <c r="V188" s="26"/>
      <c r="W188" s="26"/>
      <c r="X188" s="26"/>
      <c r="Y188" s="26"/>
    </row>
    <row r="189" spans="1:28" s="26" customFormat="1" hidden="1">
      <c r="A189" s="31" t="s">
        <v>521</v>
      </c>
      <c r="B189" s="81" t="s">
        <v>267</v>
      </c>
      <c r="C189" s="81" t="s">
        <v>325</v>
      </c>
      <c r="D189" s="60" t="s">
        <v>328</v>
      </c>
      <c r="E189" s="82"/>
      <c r="F189" s="60"/>
      <c r="G189" s="60"/>
      <c r="H189" s="60">
        <f t="shared" si="17"/>
        <v>0</v>
      </c>
      <c r="I189" s="83" t="s">
        <v>315</v>
      </c>
      <c r="J189" s="84">
        <v>36833</v>
      </c>
      <c r="K189" s="60">
        <v>500</v>
      </c>
      <c r="L189" s="60">
        <v>17900</v>
      </c>
      <c r="M189" s="60">
        <f t="shared" si="16"/>
        <v>8950000</v>
      </c>
      <c r="N189" s="60"/>
      <c r="O189" s="60">
        <f t="shared" si="15"/>
        <v>8950000</v>
      </c>
      <c r="P189" s="11">
        <f>+SUM(H188:H189)-SUM(N188:N189)</f>
        <v>0</v>
      </c>
      <c r="Q189" s="11"/>
      <c r="R189" s="36" t="s">
        <v>64</v>
      </c>
      <c r="S189" s="403"/>
      <c r="T189" s="36" t="s">
        <v>115</v>
      </c>
      <c r="U189" s="36" t="s">
        <v>67</v>
      </c>
      <c r="AB189" s="252"/>
    </row>
    <row r="190" spans="1:28" s="26" customFormat="1" hidden="1">
      <c r="A190" s="31" t="s">
        <v>521</v>
      </c>
      <c r="B190" s="81" t="s">
        <v>267</v>
      </c>
      <c r="C190" s="81" t="s">
        <v>325</v>
      </c>
      <c r="D190" s="73" t="s">
        <v>329</v>
      </c>
      <c r="E190" s="74">
        <v>36721</v>
      </c>
      <c r="F190" s="73">
        <v>500</v>
      </c>
      <c r="G190" s="73">
        <v>381398</v>
      </c>
      <c r="H190" s="73">
        <f t="shared" si="17"/>
        <v>190699000</v>
      </c>
      <c r="I190" s="75" t="s">
        <v>315</v>
      </c>
      <c r="J190" s="76">
        <v>36731</v>
      </c>
      <c r="K190" s="73">
        <v>500</v>
      </c>
      <c r="L190" s="73">
        <v>351000</v>
      </c>
      <c r="M190" s="73">
        <f t="shared" si="16"/>
        <v>175500000</v>
      </c>
      <c r="N190" s="73">
        <f t="shared" ref="N190:N202" si="18">+H190</f>
        <v>190699000</v>
      </c>
      <c r="O190" s="73">
        <f t="shared" si="15"/>
        <v>-15199000</v>
      </c>
      <c r="P190" s="20"/>
      <c r="Q190" s="20"/>
      <c r="R190" s="25" t="s">
        <v>64</v>
      </c>
      <c r="S190" s="401"/>
      <c r="T190" s="25" t="s">
        <v>75</v>
      </c>
      <c r="U190" s="25" t="s">
        <v>67</v>
      </c>
      <c r="AB190" s="252"/>
    </row>
    <row r="191" spans="1:28" s="26" customFormat="1" hidden="1">
      <c r="A191" s="31" t="s">
        <v>521</v>
      </c>
      <c r="B191" s="81" t="s">
        <v>267</v>
      </c>
      <c r="C191" s="81" t="s">
        <v>325</v>
      </c>
      <c r="D191" s="60" t="s">
        <v>329</v>
      </c>
      <c r="E191" s="82">
        <v>36784</v>
      </c>
      <c r="F191" s="60">
        <v>300</v>
      </c>
      <c r="G191" s="60">
        <v>219425</v>
      </c>
      <c r="H191" s="60">
        <f t="shared" si="17"/>
        <v>65827500</v>
      </c>
      <c r="I191" s="83" t="s">
        <v>315</v>
      </c>
      <c r="J191" s="84">
        <v>36788</v>
      </c>
      <c r="K191" s="60">
        <v>300</v>
      </c>
      <c r="L191" s="60">
        <v>210000</v>
      </c>
      <c r="M191" s="60">
        <f t="shared" si="16"/>
        <v>63000000</v>
      </c>
      <c r="N191" s="60">
        <f t="shared" si="18"/>
        <v>65827500</v>
      </c>
      <c r="O191" s="60">
        <f t="shared" si="15"/>
        <v>-2827500</v>
      </c>
      <c r="P191" s="11">
        <f>+SUM(H190:H191)-SUM(N190:N191)</f>
        <v>0</v>
      </c>
      <c r="Q191" s="11"/>
      <c r="R191" s="36" t="s">
        <v>64</v>
      </c>
      <c r="S191" s="403"/>
      <c r="T191" s="36" t="s">
        <v>75</v>
      </c>
      <c r="U191" s="36" t="s">
        <v>67</v>
      </c>
      <c r="AB191" s="252"/>
    </row>
    <row r="192" spans="1:28" s="26" customFormat="1" hidden="1">
      <c r="A192" s="31" t="s">
        <v>521</v>
      </c>
      <c r="B192" s="81" t="s">
        <v>267</v>
      </c>
      <c r="C192" s="81" t="s">
        <v>325</v>
      </c>
      <c r="D192" s="73" t="s">
        <v>330</v>
      </c>
      <c r="E192" s="74">
        <v>36725</v>
      </c>
      <c r="F192" s="73">
        <v>1000</v>
      </c>
      <c r="G192" s="73">
        <v>92352</v>
      </c>
      <c r="H192" s="73">
        <f t="shared" si="17"/>
        <v>92352000</v>
      </c>
      <c r="I192" s="75" t="s">
        <v>315</v>
      </c>
      <c r="J192" s="76">
        <v>36728</v>
      </c>
      <c r="K192" s="73">
        <v>1000</v>
      </c>
      <c r="L192" s="73">
        <v>74214</v>
      </c>
      <c r="M192" s="73">
        <f t="shared" si="16"/>
        <v>74214000</v>
      </c>
      <c r="N192" s="73">
        <f t="shared" si="18"/>
        <v>92352000</v>
      </c>
      <c r="O192" s="73">
        <f t="shared" si="15"/>
        <v>-18138000</v>
      </c>
      <c r="P192" s="20"/>
      <c r="Q192" s="20"/>
      <c r="R192" s="25" t="s">
        <v>64</v>
      </c>
      <c r="S192" s="401"/>
      <c r="T192" s="25" t="s">
        <v>66</v>
      </c>
      <c r="U192" s="25" t="s">
        <v>67</v>
      </c>
      <c r="AB192" s="252"/>
    </row>
    <row r="193" spans="1:28" hidden="1">
      <c r="A193" s="31" t="s">
        <v>521</v>
      </c>
      <c r="B193" s="81" t="s">
        <v>267</v>
      </c>
      <c r="C193" s="81" t="s">
        <v>325</v>
      </c>
      <c r="D193" s="60" t="s">
        <v>330</v>
      </c>
      <c r="E193" s="82">
        <v>36816</v>
      </c>
      <c r="F193" s="60">
        <v>500</v>
      </c>
      <c r="G193" s="60">
        <v>43222</v>
      </c>
      <c r="H193" s="60">
        <f t="shared" si="17"/>
        <v>21611000</v>
      </c>
      <c r="I193" s="83" t="s">
        <v>315</v>
      </c>
      <c r="J193" s="84">
        <v>36830</v>
      </c>
      <c r="K193" s="60">
        <v>500</v>
      </c>
      <c r="L193" s="60">
        <v>31046</v>
      </c>
      <c r="M193" s="60">
        <f t="shared" si="16"/>
        <v>15523000</v>
      </c>
      <c r="N193" s="60">
        <f t="shared" si="18"/>
        <v>21611000</v>
      </c>
      <c r="O193" s="60">
        <f t="shared" si="15"/>
        <v>-6088000</v>
      </c>
      <c r="P193" s="11">
        <f>+SUM(H192:H193)-SUM(N192:N193)</f>
        <v>0</v>
      </c>
      <c r="Q193" s="11"/>
      <c r="R193" s="36" t="s">
        <v>64</v>
      </c>
      <c r="S193" s="403"/>
      <c r="T193" s="36" t="s">
        <v>66</v>
      </c>
      <c r="U193" s="36" t="s">
        <v>67</v>
      </c>
      <c r="V193" s="26"/>
      <c r="W193" s="26"/>
      <c r="X193" s="26"/>
      <c r="Y193" s="26"/>
    </row>
    <row r="194" spans="1:28" s="26" customFormat="1" hidden="1">
      <c r="A194" s="31" t="s">
        <v>521</v>
      </c>
      <c r="B194" s="81" t="s">
        <v>267</v>
      </c>
      <c r="C194" s="81" t="s">
        <v>325</v>
      </c>
      <c r="D194" s="56" t="s">
        <v>331</v>
      </c>
      <c r="E194" s="62">
        <v>36726</v>
      </c>
      <c r="F194" s="56">
        <v>1000</v>
      </c>
      <c r="G194" s="56">
        <v>110440</v>
      </c>
      <c r="H194" s="56">
        <f t="shared" si="17"/>
        <v>110440000</v>
      </c>
      <c r="I194" s="58" t="s">
        <v>315</v>
      </c>
      <c r="J194" s="63">
        <v>36731</v>
      </c>
      <c r="K194" s="56">
        <v>1000</v>
      </c>
      <c r="L194" s="56">
        <v>130000</v>
      </c>
      <c r="M194" s="56">
        <f t="shared" si="16"/>
        <v>130000000</v>
      </c>
      <c r="N194" s="56">
        <f t="shared" si="18"/>
        <v>110440000</v>
      </c>
      <c r="O194" s="56">
        <f t="shared" si="15"/>
        <v>19560000</v>
      </c>
      <c r="P194" s="15">
        <f>+H194-N194</f>
        <v>0</v>
      </c>
      <c r="Q194" s="15"/>
      <c r="R194" s="19" t="s">
        <v>64</v>
      </c>
      <c r="S194" s="405"/>
      <c r="T194" s="19" t="s">
        <v>66</v>
      </c>
      <c r="U194" s="19" t="s">
        <v>67</v>
      </c>
      <c r="V194" s="4"/>
      <c r="W194" s="4"/>
      <c r="X194" s="4"/>
      <c r="Y194" s="4"/>
      <c r="AB194" s="252"/>
    </row>
    <row r="195" spans="1:28" s="26" customFormat="1" hidden="1">
      <c r="A195" s="31" t="s">
        <v>521</v>
      </c>
      <c r="B195" s="81" t="s">
        <v>267</v>
      </c>
      <c r="C195" s="81" t="s">
        <v>325</v>
      </c>
      <c r="D195" s="73" t="s">
        <v>332</v>
      </c>
      <c r="E195" s="74">
        <v>36747</v>
      </c>
      <c r="F195" s="73">
        <v>17000</v>
      </c>
      <c r="G195" s="73">
        <v>12178</v>
      </c>
      <c r="H195" s="73">
        <f t="shared" si="17"/>
        <v>207026000</v>
      </c>
      <c r="I195" s="75" t="s">
        <v>315</v>
      </c>
      <c r="J195" s="76">
        <v>36762</v>
      </c>
      <c r="K195" s="73">
        <v>7000</v>
      </c>
      <c r="L195" s="73">
        <v>11994</v>
      </c>
      <c r="M195" s="73">
        <f t="shared" si="16"/>
        <v>83958000</v>
      </c>
      <c r="N195" s="73">
        <f t="shared" si="18"/>
        <v>207026000</v>
      </c>
      <c r="O195" s="73">
        <f>+M195-N195</f>
        <v>-123068000</v>
      </c>
      <c r="P195" s="20"/>
      <c r="Q195" s="20"/>
      <c r="R195" s="25" t="s">
        <v>64</v>
      </c>
      <c r="S195" s="401"/>
      <c r="T195" s="25" t="s">
        <v>115</v>
      </c>
      <c r="U195" s="25" t="s">
        <v>67</v>
      </c>
      <c r="AB195" s="252"/>
    </row>
    <row r="196" spans="1:28" s="26" customFormat="1" hidden="1">
      <c r="A196" s="31" t="s">
        <v>521</v>
      </c>
      <c r="B196" s="81" t="s">
        <v>267</v>
      </c>
      <c r="C196" s="81" t="s">
        <v>325</v>
      </c>
      <c r="D196" s="78" t="s">
        <v>332</v>
      </c>
      <c r="E196" s="77">
        <v>36762</v>
      </c>
      <c r="F196" s="78">
        <v>3000</v>
      </c>
      <c r="G196" s="78">
        <v>12257</v>
      </c>
      <c r="H196" s="78">
        <f t="shared" si="17"/>
        <v>36771000</v>
      </c>
      <c r="I196" s="79" t="s">
        <v>315</v>
      </c>
      <c r="J196" s="80">
        <v>36776</v>
      </c>
      <c r="K196" s="78">
        <v>4000</v>
      </c>
      <c r="L196" s="78">
        <v>12650</v>
      </c>
      <c r="M196" s="78">
        <f t="shared" si="16"/>
        <v>50600000</v>
      </c>
      <c r="N196" s="78">
        <f t="shared" si="18"/>
        <v>36771000</v>
      </c>
      <c r="O196" s="78">
        <f t="shared" si="15"/>
        <v>13829000</v>
      </c>
      <c r="P196" s="14"/>
      <c r="Q196" s="14"/>
      <c r="R196" s="31" t="s">
        <v>18</v>
      </c>
      <c r="S196" s="402"/>
      <c r="T196" s="31" t="s">
        <v>115</v>
      </c>
      <c r="U196" s="31" t="s">
        <v>67</v>
      </c>
      <c r="AB196" s="252"/>
    </row>
    <row r="197" spans="1:28" s="26" customFormat="1" hidden="1">
      <c r="A197" s="31" t="s">
        <v>521</v>
      </c>
      <c r="B197" s="81" t="s">
        <v>267</v>
      </c>
      <c r="C197" s="81" t="s">
        <v>325</v>
      </c>
      <c r="D197" s="78" t="s">
        <v>332</v>
      </c>
      <c r="E197" s="77">
        <v>36766</v>
      </c>
      <c r="F197" s="78">
        <v>1000</v>
      </c>
      <c r="G197" s="78">
        <v>11518</v>
      </c>
      <c r="H197" s="78">
        <f t="shared" si="17"/>
        <v>11518000</v>
      </c>
      <c r="I197" s="79" t="s">
        <v>315</v>
      </c>
      <c r="J197" s="80">
        <v>36783</v>
      </c>
      <c r="K197" s="78">
        <v>3000</v>
      </c>
      <c r="L197" s="78">
        <v>11941</v>
      </c>
      <c r="M197" s="78">
        <f t="shared" si="16"/>
        <v>35823000</v>
      </c>
      <c r="N197" s="78">
        <f t="shared" si="18"/>
        <v>11518000</v>
      </c>
      <c r="O197" s="78">
        <f t="shared" si="15"/>
        <v>24305000</v>
      </c>
      <c r="P197" s="14"/>
      <c r="Q197" s="14"/>
      <c r="R197" s="31" t="s">
        <v>18</v>
      </c>
      <c r="S197" s="402"/>
      <c r="T197" s="31" t="s">
        <v>115</v>
      </c>
      <c r="U197" s="31" t="s">
        <v>67</v>
      </c>
      <c r="AB197" s="252"/>
    </row>
    <row r="198" spans="1:28" s="26" customFormat="1" hidden="1">
      <c r="A198" s="31" t="s">
        <v>521</v>
      </c>
      <c r="B198" s="81" t="s">
        <v>267</v>
      </c>
      <c r="C198" s="81" t="s">
        <v>325</v>
      </c>
      <c r="D198" s="78" t="s">
        <v>332</v>
      </c>
      <c r="E198" s="77">
        <v>36777</v>
      </c>
      <c r="F198" s="78">
        <v>4000</v>
      </c>
      <c r="G198" s="78">
        <v>11797</v>
      </c>
      <c r="H198" s="78">
        <f t="shared" si="17"/>
        <v>47188000</v>
      </c>
      <c r="I198" s="79" t="s">
        <v>315</v>
      </c>
      <c r="J198" s="80">
        <v>36810</v>
      </c>
      <c r="K198" s="78">
        <v>1000</v>
      </c>
      <c r="L198" s="78">
        <v>11950</v>
      </c>
      <c r="M198" s="78">
        <f t="shared" si="16"/>
        <v>11950000</v>
      </c>
      <c r="N198" s="78">
        <f t="shared" si="18"/>
        <v>47188000</v>
      </c>
      <c r="O198" s="78">
        <f t="shared" si="15"/>
        <v>-35238000</v>
      </c>
      <c r="P198" s="14"/>
      <c r="Q198" s="14"/>
      <c r="R198" s="31" t="s">
        <v>18</v>
      </c>
      <c r="S198" s="402"/>
      <c r="T198" s="31" t="s">
        <v>115</v>
      </c>
      <c r="U198" s="31" t="s">
        <v>67</v>
      </c>
      <c r="AB198" s="252"/>
    </row>
    <row r="199" spans="1:28" s="26" customFormat="1" hidden="1">
      <c r="A199" s="31" t="s">
        <v>521</v>
      </c>
      <c r="B199" s="81" t="s">
        <v>267</v>
      </c>
      <c r="C199" s="81" t="s">
        <v>325</v>
      </c>
      <c r="D199" s="78" t="s">
        <v>332</v>
      </c>
      <c r="E199" s="77">
        <v>36784</v>
      </c>
      <c r="F199" s="78">
        <v>3000</v>
      </c>
      <c r="G199" s="78">
        <v>11560</v>
      </c>
      <c r="H199" s="78">
        <f t="shared" si="17"/>
        <v>34680000</v>
      </c>
      <c r="I199" s="79" t="s">
        <v>315</v>
      </c>
      <c r="J199" s="80">
        <v>36817</v>
      </c>
      <c r="K199" s="78">
        <v>3000</v>
      </c>
      <c r="L199" s="78">
        <v>12200</v>
      </c>
      <c r="M199" s="78">
        <f t="shared" si="16"/>
        <v>36600000</v>
      </c>
      <c r="N199" s="78">
        <f t="shared" si="18"/>
        <v>34680000</v>
      </c>
      <c r="O199" s="78">
        <f t="shared" si="15"/>
        <v>1920000</v>
      </c>
      <c r="P199" s="14"/>
      <c r="Q199" s="14"/>
      <c r="R199" s="31" t="s">
        <v>18</v>
      </c>
      <c r="S199" s="402"/>
      <c r="T199" s="31" t="s">
        <v>115</v>
      </c>
      <c r="U199" s="31" t="s">
        <v>67</v>
      </c>
      <c r="AB199" s="252"/>
    </row>
    <row r="200" spans="1:28" s="26" customFormat="1" hidden="1">
      <c r="A200" s="31" t="s">
        <v>521</v>
      </c>
      <c r="B200" s="81" t="s">
        <v>267</v>
      </c>
      <c r="C200" s="81" t="s">
        <v>325</v>
      </c>
      <c r="D200" s="60" t="s">
        <v>332</v>
      </c>
      <c r="E200" s="82">
        <v>36816</v>
      </c>
      <c r="F200" s="60">
        <v>2000</v>
      </c>
      <c r="G200" s="60">
        <v>13970</v>
      </c>
      <c r="H200" s="60">
        <f t="shared" si="17"/>
        <v>27940000</v>
      </c>
      <c r="I200" s="83" t="s">
        <v>315</v>
      </c>
      <c r="J200" s="84">
        <v>36818</v>
      </c>
      <c r="K200" s="60">
        <v>12000</v>
      </c>
      <c r="L200" s="60">
        <v>13201</v>
      </c>
      <c r="M200" s="60">
        <f t="shared" si="16"/>
        <v>158412000</v>
      </c>
      <c r="N200" s="60">
        <f t="shared" si="18"/>
        <v>27940000</v>
      </c>
      <c r="O200" s="60">
        <f t="shared" si="15"/>
        <v>130472000</v>
      </c>
      <c r="P200" s="11">
        <f>+SUM(H195:H200)-SUM(N195:N200)</f>
        <v>0</v>
      </c>
      <c r="Q200" s="11"/>
      <c r="R200" s="36" t="s">
        <v>18</v>
      </c>
      <c r="S200" s="403"/>
      <c r="T200" s="36" t="s">
        <v>115</v>
      </c>
      <c r="U200" s="36" t="s">
        <v>67</v>
      </c>
      <c r="AB200" s="252"/>
    </row>
    <row r="201" spans="1:28" s="26" customFormat="1" hidden="1">
      <c r="A201" s="31" t="s">
        <v>521</v>
      </c>
      <c r="B201" s="81" t="s">
        <v>267</v>
      </c>
      <c r="C201" s="81" t="s">
        <v>325</v>
      </c>
      <c r="D201" s="56" t="s">
        <v>333</v>
      </c>
      <c r="E201" s="62">
        <v>36809</v>
      </c>
      <c r="F201" s="56">
        <v>5000</v>
      </c>
      <c r="G201" s="56">
        <v>30000</v>
      </c>
      <c r="H201" s="56">
        <f t="shared" si="17"/>
        <v>150000000</v>
      </c>
      <c r="I201" s="58" t="s">
        <v>315</v>
      </c>
      <c r="J201" s="63">
        <v>36825</v>
      </c>
      <c r="K201" s="56">
        <v>5000</v>
      </c>
      <c r="L201" s="56">
        <v>34550</v>
      </c>
      <c r="M201" s="56">
        <f t="shared" si="16"/>
        <v>172750000</v>
      </c>
      <c r="N201" s="56">
        <f t="shared" si="18"/>
        <v>150000000</v>
      </c>
      <c r="O201" s="56">
        <f t="shared" si="15"/>
        <v>22750000</v>
      </c>
      <c r="P201" s="15">
        <f>+H201-N201</f>
        <v>0</v>
      </c>
      <c r="Q201" s="15"/>
      <c r="R201" s="19" t="s">
        <v>18</v>
      </c>
      <c r="S201" s="405"/>
      <c r="T201" s="19" t="s">
        <v>86</v>
      </c>
      <c r="U201" s="19" t="s">
        <v>67</v>
      </c>
      <c r="V201" s="4"/>
      <c r="W201" s="4"/>
      <c r="X201" s="4"/>
      <c r="Y201" s="4"/>
      <c r="AB201" s="252"/>
    </row>
    <row r="202" spans="1:28" s="26" customFormat="1" hidden="1">
      <c r="A202" s="31" t="s">
        <v>521</v>
      </c>
      <c r="B202" s="81" t="s">
        <v>267</v>
      </c>
      <c r="C202" s="81" t="s">
        <v>325</v>
      </c>
      <c r="D202" s="56" t="s">
        <v>334</v>
      </c>
      <c r="E202" s="62">
        <v>36824</v>
      </c>
      <c r="F202" s="56">
        <v>100</v>
      </c>
      <c r="G202" s="56">
        <v>3614</v>
      </c>
      <c r="H202" s="56">
        <f t="shared" si="17"/>
        <v>361400</v>
      </c>
      <c r="I202" s="58" t="s">
        <v>315</v>
      </c>
      <c r="J202" s="63">
        <v>36824</v>
      </c>
      <c r="K202" s="56">
        <v>100</v>
      </c>
      <c r="L202" s="56">
        <v>4510</v>
      </c>
      <c r="M202" s="56">
        <f t="shared" si="16"/>
        <v>451000</v>
      </c>
      <c r="N202" s="56">
        <f t="shared" si="18"/>
        <v>361400</v>
      </c>
      <c r="O202" s="56">
        <f t="shared" si="15"/>
        <v>89600</v>
      </c>
      <c r="P202" s="15">
        <f>+H202-N202</f>
        <v>0</v>
      </c>
      <c r="Q202" s="15"/>
      <c r="R202" s="19" t="s">
        <v>18</v>
      </c>
      <c r="S202" s="405"/>
      <c r="T202" s="19" t="s">
        <v>61</v>
      </c>
      <c r="U202" s="19" t="s">
        <v>67</v>
      </c>
      <c r="V202" s="4"/>
      <c r="W202" s="4"/>
      <c r="X202" s="4"/>
      <c r="Y202" s="4"/>
      <c r="AB202" s="252"/>
    </row>
    <row r="203" spans="1:28" s="26" customFormat="1" hidden="1">
      <c r="A203" s="31" t="s">
        <v>521</v>
      </c>
      <c r="B203" s="53" t="s">
        <v>267</v>
      </c>
      <c r="C203" s="53" t="s">
        <v>278</v>
      </c>
      <c r="D203" s="20" t="s">
        <v>95</v>
      </c>
      <c r="E203" s="44">
        <v>36899</v>
      </c>
      <c r="F203" s="20">
        <v>88760</v>
      </c>
      <c r="G203" s="20">
        <v>3000</v>
      </c>
      <c r="H203" s="20">
        <f t="shared" si="17"/>
        <v>266280000</v>
      </c>
      <c r="I203" s="22" t="s">
        <v>963</v>
      </c>
      <c r="J203" s="38">
        <v>37621</v>
      </c>
      <c r="K203" s="20"/>
      <c r="L203" s="20"/>
      <c r="M203" s="20">
        <v>0</v>
      </c>
      <c r="N203" s="20">
        <v>266280000</v>
      </c>
      <c r="O203" s="20">
        <f t="shared" si="15"/>
        <v>-266280000</v>
      </c>
      <c r="P203" s="20"/>
      <c r="Q203" s="20"/>
      <c r="R203" s="25" t="s">
        <v>60</v>
      </c>
      <c r="S203" s="401"/>
      <c r="T203" s="25" t="s">
        <v>61</v>
      </c>
      <c r="U203" s="25" t="s">
        <v>77</v>
      </c>
      <c r="AB203" s="252"/>
    </row>
    <row r="204" spans="1:28" s="26" customFormat="1" hidden="1">
      <c r="A204" s="31" t="s">
        <v>521</v>
      </c>
      <c r="B204" s="53" t="s">
        <v>267</v>
      </c>
      <c r="C204" s="53" t="s">
        <v>278</v>
      </c>
      <c r="D204" s="14" t="s">
        <v>95</v>
      </c>
      <c r="E204" s="45"/>
      <c r="F204" s="14"/>
      <c r="G204" s="14"/>
      <c r="H204" s="14"/>
      <c r="I204" s="28" t="s">
        <v>958</v>
      </c>
      <c r="J204" s="40">
        <v>38405</v>
      </c>
      <c r="K204" s="14"/>
      <c r="L204" s="14"/>
      <c r="M204" s="14">
        <v>0</v>
      </c>
      <c r="N204" s="14">
        <v>-64703902</v>
      </c>
      <c r="O204" s="14">
        <f t="shared" si="15"/>
        <v>64703902</v>
      </c>
      <c r="P204" s="14"/>
      <c r="Q204" s="14"/>
      <c r="R204" s="31" t="s">
        <v>126</v>
      </c>
      <c r="S204" s="402"/>
      <c r="T204" s="31" t="s">
        <v>61</v>
      </c>
      <c r="U204" s="31" t="s">
        <v>77</v>
      </c>
      <c r="AB204" s="252"/>
    </row>
    <row r="205" spans="1:28" s="26" customFormat="1" hidden="1">
      <c r="A205" s="31" t="s">
        <v>521</v>
      </c>
      <c r="B205" s="53" t="s">
        <v>267</v>
      </c>
      <c r="C205" s="53" t="s">
        <v>278</v>
      </c>
      <c r="D205" s="14" t="s">
        <v>95</v>
      </c>
      <c r="E205" s="45"/>
      <c r="F205" s="14"/>
      <c r="G205" s="14"/>
      <c r="H205" s="14"/>
      <c r="I205" s="28" t="s">
        <v>958</v>
      </c>
      <c r="J205" s="40">
        <v>38741</v>
      </c>
      <c r="K205" s="14">
        <f>12314+9852</f>
        <v>22166</v>
      </c>
      <c r="L205" s="14">
        <f>+M205/K205</f>
        <v>1111.1161237931967</v>
      </c>
      <c r="M205" s="14">
        <f>12314000+12315000</f>
        <v>24629000</v>
      </c>
      <c r="N205" s="14">
        <v>16158480</v>
      </c>
      <c r="O205" s="14">
        <f t="shared" si="15"/>
        <v>8470520</v>
      </c>
      <c r="P205" s="14"/>
      <c r="Q205" s="14"/>
      <c r="R205" s="402" t="s">
        <v>972</v>
      </c>
      <c r="S205" s="402" t="s">
        <v>981</v>
      </c>
      <c r="T205" s="31" t="s">
        <v>61</v>
      </c>
      <c r="U205" s="31" t="s">
        <v>77</v>
      </c>
      <c r="AB205" s="252"/>
    </row>
    <row r="206" spans="1:28" s="26" customFormat="1" hidden="1">
      <c r="A206" s="31" t="s">
        <v>521</v>
      </c>
      <c r="B206" s="53" t="s">
        <v>267</v>
      </c>
      <c r="C206" s="53" t="s">
        <v>278</v>
      </c>
      <c r="D206" s="14" t="s">
        <v>95</v>
      </c>
      <c r="E206" s="45"/>
      <c r="F206" s="14"/>
      <c r="G206" s="14"/>
      <c r="H206" s="14"/>
      <c r="I206" s="28" t="s">
        <v>958</v>
      </c>
      <c r="J206" s="40">
        <v>39322</v>
      </c>
      <c r="K206" s="14">
        <v>66594</v>
      </c>
      <c r="L206" s="14">
        <f>+M206/K206</f>
        <v>728.97591374598312</v>
      </c>
      <c r="M206" s="14">
        <v>48545422</v>
      </c>
      <c r="N206" s="14">
        <v>48545422</v>
      </c>
      <c r="O206" s="14">
        <f>+M206-N206</f>
        <v>0</v>
      </c>
      <c r="P206" s="11">
        <f>+SUM(H203:H206)-SUM(N203:N206)</f>
        <v>0</v>
      </c>
      <c r="Q206" s="14"/>
      <c r="R206" s="402" t="s">
        <v>858</v>
      </c>
      <c r="S206" s="402"/>
      <c r="T206" s="31" t="s">
        <v>9</v>
      </c>
      <c r="U206" s="31" t="s">
        <v>27</v>
      </c>
      <c r="AB206" s="252"/>
    </row>
    <row r="207" spans="1:28" hidden="1">
      <c r="A207" s="31" t="s">
        <v>521</v>
      </c>
      <c r="B207" s="53" t="s">
        <v>267</v>
      </c>
      <c r="C207" s="53" t="s">
        <v>278</v>
      </c>
      <c r="D207" s="20" t="s">
        <v>127</v>
      </c>
      <c r="E207" s="44">
        <v>37057</v>
      </c>
      <c r="F207" s="20">
        <v>15000</v>
      </c>
      <c r="G207" s="20">
        <v>33333</v>
      </c>
      <c r="H207" s="20">
        <v>500000000</v>
      </c>
      <c r="I207" s="22" t="s">
        <v>963</v>
      </c>
      <c r="J207" s="38">
        <v>37621</v>
      </c>
      <c r="K207" s="20"/>
      <c r="L207" s="20"/>
      <c r="M207" s="20">
        <v>0</v>
      </c>
      <c r="N207" s="20">
        <v>466114764</v>
      </c>
      <c r="O207" s="20">
        <f>+M207-N207</f>
        <v>-466114764</v>
      </c>
      <c r="P207" s="20"/>
      <c r="Q207" s="20"/>
      <c r="R207" s="25" t="s">
        <v>60</v>
      </c>
      <c r="S207" s="401"/>
      <c r="T207" s="25" t="s">
        <v>66</v>
      </c>
      <c r="U207" s="25" t="s">
        <v>67</v>
      </c>
      <c r="V207" s="26"/>
      <c r="W207" s="26"/>
      <c r="X207" s="26"/>
      <c r="Y207" s="26"/>
    </row>
    <row r="208" spans="1:28" hidden="1">
      <c r="A208" s="31" t="s">
        <v>521</v>
      </c>
      <c r="B208" s="53" t="s">
        <v>267</v>
      </c>
      <c r="C208" s="53" t="s">
        <v>278</v>
      </c>
      <c r="D208" s="14" t="s">
        <v>127</v>
      </c>
      <c r="E208" s="45"/>
      <c r="F208" s="14"/>
      <c r="G208" s="14"/>
      <c r="H208" s="14"/>
      <c r="I208" s="28" t="s">
        <v>963</v>
      </c>
      <c r="J208" s="40">
        <v>37976</v>
      </c>
      <c r="K208" s="14"/>
      <c r="L208" s="14"/>
      <c r="M208" s="14">
        <v>0</v>
      </c>
      <c r="N208" s="14">
        <v>22522080</v>
      </c>
      <c r="O208" s="14">
        <f t="shared" ref="O208:O225" si="19">+M208-N208</f>
        <v>-22522080</v>
      </c>
      <c r="P208" s="14"/>
      <c r="Q208" s="14"/>
      <c r="R208" s="31" t="s">
        <v>60</v>
      </c>
      <c r="S208" s="402"/>
      <c r="T208" s="31" t="str">
        <f>+T207</f>
        <v>엔터테인먼트</v>
      </c>
      <c r="U208" s="31" t="s">
        <v>67</v>
      </c>
      <c r="V208" s="26"/>
      <c r="W208" s="26"/>
      <c r="X208" s="26"/>
      <c r="Y208" s="26"/>
    </row>
    <row r="209" spans="1:28" s="26" customFormat="1" hidden="1">
      <c r="A209" s="31" t="s">
        <v>521</v>
      </c>
      <c r="B209" s="53" t="s">
        <v>267</v>
      </c>
      <c r="C209" s="53" t="s">
        <v>278</v>
      </c>
      <c r="D209" s="14" t="s">
        <v>127</v>
      </c>
      <c r="E209" s="45"/>
      <c r="F209" s="14"/>
      <c r="G209" s="14"/>
      <c r="H209" s="14"/>
      <c r="I209" s="28" t="s">
        <v>963</v>
      </c>
      <c r="J209" s="40">
        <v>38352</v>
      </c>
      <c r="K209" s="14"/>
      <c r="L209" s="14"/>
      <c r="M209" s="14">
        <v>0</v>
      </c>
      <c r="N209" s="14">
        <v>11363156</v>
      </c>
      <c r="O209" s="14">
        <f t="shared" si="19"/>
        <v>-11363156</v>
      </c>
      <c r="P209" s="14"/>
      <c r="Q209" s="14"/>
      <c r="R209" s="31" t="s">
        <v>29</v>
      </c>
      <c r="S209" s="402"/>
      <c r="T209" s="31" t="str">
        <f>+T208</f>
        <v>엔터테인먼트</v>
      </c>
      <c r="U209" s="31" t="s">
        <v>30</v>
      </c>
      <c r="AB209" s="252"/>
    </row>
    <row r="210" spans="1:28" s="26" customFormat="1" hidden="1">
      <c r="A210" s="31" t="s">
        <v>521</v>
      </c>
      <c r="B210" s="53" t="s">
        <v>267</v>
      </c>
      <c r="C210" s="53" t="s">
        <v>278</v>
      </c>
      <c r="D210" s="11" t="s">
        <v>127</v>
      </c>
      <c r="E210" s="46"/>
      <c r="F210" s="11"/>
      <c r="G210" s="11"/>
      <c r="H210" s="11"/>
      <c r="I210" s="33" t="s">
        <v>963</v>
      </c>
      <c r="J210" s="41">
        <v>38733</v>
      </c>
      <c r="K210" s="11">
        <v>15000</v>
      </c>
      <c r="L210" s="11"/>
      <c r="M210" s="11">
        <v>165000</v>
      </c>
      <c r="N210" s="11">
        <v>0</v>
      </c>
      <c r="O210" s="11">
        <f t="shared" si="19"/>
        <v>165000</v>
      </c>
      <c r="P210" s="11">
        <f>+SUM(H207:H210)-SUM(N207:N210)</f>
        <v>0</v>
      </c>
      <c r="Q210" s="11"/>
      <c r="R210" s="402" t="s">
        <v>858</v>
      </c>
      <c r="S210" s="402"/>
      <c r="T210" s="31" t="str">
        <f>+T209</f>
        <v>엔터테인먼트</v>
      </c>
      <c r="U210" s="31" t="s">
        <v>30</v>
      </c>
      <c r="AB210" s="252"/>
    </row>
    <row r="211" spans="1:28" s="26" customFormat="1" hidden="1">
      <c r="A211" s="31" t="s">
        <v>521</v>
      </c>
      <c r="B211" s="53" t="s">
        <v>267</v>
      </c>
      <c r="C211" s="53" t="s">
        <v>324</v>
      </c>
      <c r="D211" s="20" t="s">
        <v>128</v>
      </c>
      <c r="E211" s="44">
        <v>37223</v>
      </c>
      <c r="F211" s="20"/>
      <c r="G211" s="20"/>
      <c r="H211" s="20">
        <v>200000000</v>
      </c>
      <c r="I211" s="22" t="s">
        <v>82</v>
      </c>
      <c r="J211" s="38">
        <v>37503</v>
      </c>
      <c r="K211" s="20"/>
      <c r="L211" s="20"/>
      <c r="M211" s="20">
        <v>2000000</v>
      </c>
      <c r="N211" s="20">
        <v>0</v>
      </c>
      <c r="O211" s="20">
        <f t="shared" si="19"/>
        <v>2000000</v>
      </c>
      <c r="P211" s="20"/>
      <c r="Q211" s="20"/>
      <c r="R211" s="401" t="s">
        <v>976</v>
      </c>
      <c r="S211" s="401"/>
      <c r="T211" s="401" t="s">
        <v>61</v>
      </c>
      <c r="U211" s="401" t="s">
        <v>67</v>
      </c>
      <c r="V211" s="4"/>
      <c r="W211" s="4"/>
      <c r="X211" s="4"/>
      <c r="Y211" s="4"/>
      <c r="AB211" s="252"/>
    </row>
    <row r="212" spans="1:28" s="26" customFormat="1" hidden="1">
      <c r="A212" s="402" t="s">
        <v>521</v>
      </c>
      <c r="B212" s="53" t="s">
        <v>267</v>
      </c>
      <c r="C212" s="53" t="s">
        <v>318</v>
      </c>
      <c r="D212" s="14" t="s">
        <v>128</v>
      </c>
      <c r="E212" s="45"/>
      <c r="F212" s="14"/>
      <c r="G212" s="14"/>
      <c r="H212" s="14"/>
      <c r="I212" s="28"/>
      <c r="J212" s="40">
        <v>37587</v>
      </c>
      <c r="K212" s="14"/>
      <c r="L212" s="14"/>
      <c r="M212" s="14">
        <v>16000000</v>
      </c>
      <c r="N212" s="14">
        <v>0</v>
      </c>
      <c r="O212" s="14">
        <f t="shared" si="19"/>
        <v>16000000</v>
      </c>
      <c r="P212" s="14"/>
      <c r="Q212" s="14"/>
      <c r="R212" s="402" t="s">
        <v>977</v>
      </c>
      <c r="S212" s="402"/>
      <c r="T212" s="402"/>
      <c r="U212" s="407" t="s">
        <v>1071</v>
      </c>
      <c r="V212" s="4"/>
      <c r="W212" s="4"/>
      <c r="X212" s="4"/>
      <c r="Y212" s="4"/>
      <c r="AB212" s="252"/>
    </row>
    <row r="213" spans="1:28" s="26" customFormat="1" hidden="1">
      <c r="A213" s="402" t="s">
        <v>893</v>
      </c>
      <c r="B213" s="53" t="s">
        <v>267</v>
      </c>
      <c r="C213" s="53" t="s">
        <v>857</v>
      </c>
      <c r="D213" s="14" t="s">
        <v>984</v>
      </c>
      <c r="E213" s="45"/>
      <c r="F213" s="14"/>
      <c r="G213" s="14"/>
      <c r="H213" s="14"/>
      <c r="I213" s="28"/>
      <c r="J213" s="40">
        <v>37768</v>
      </c>
      <c r="K213" s="14"/>
      <c r="L213" s="14"/>
      <c r="M213" s="14">
        <v>2000000</v>
      </c>
      <c r="N213" s="14">
        <v>0</v>
      </c>
      <c r="O213" s="14">
        <f t="shared" si="19"/>
        <v>2000000</v>
      </c>
      <c r="P213" s="14"/>
      <c r="Q213" s="14"/>
      <c r="R213" s="402" t="s">
        <v>985</v>
      </c>
      <c r="S213" s="402"/>
      <c r="T213" s="402"/>
      <c r="U213" s="407" t="s">
        <v>1071</v>
      </c>
      <c r="V213" s="4"/>
      <c r="W213" s="4"/>
      <c r="X213" s="4"/>
      <c r="Y213" s="4"/>
      <c r="AB213" s="252"/>
    </row>
    <row r="214" spans="1:28" s="26" customFormat="1" hidden="1">
      <c r="A214" s="402" t="s">
        <v>893</v>
      </c>
      <c r="B214" s="53" t="s">
        <v>267</v>
      </c>
      <c r="C214" s="53" t="s">
        <v>857</v>
      </c>
      <c r="D214" s="11" t="s">
        <v>984</v>
      </c>
      <c r="E214" s="46"/>
      <c r="F214" s="11"/>
      <c r="G214" s="11"/>
      <c r="H214" s="11"/>
      <c r="I214" s="33"/>
      <c r="J214" s="41">
        <v>37833</v>
      </c>
      <c r="K214" s="11"/>
      <c r="L214" s="11"/>
      <c r="M214" s="11">
        <f>+N214+10131507</f>
        <v>210131507</v>
      </c>
      <c r="N214" s="11">
        <v>200000000</v>
      </c>
      <c r="O214" s="11">
        <f>+M214-N214</f>
        <v>10131507</v>
      </c>
      <c r="P214" s="11"/>
      <c r="Q214" s="11"/>
      <c r="R214" s="403" t="s">
        <v>845</v>
      </c>
      <c r="S214" s="403"/>
      <c r="T214" s="403" t="s">
        <v>846</v>
      </c>
      <c r="U214" s="403" t="s">
        <v>854</v>
      </c>
      <c r="V214" s="4"/>
      <c r="W214" s="4"/>
      <c r="X214" s="4"/>
      <c r="Y214" s="4"/>
      <c r="AB214" s="252"/>
    </row>
    <row r="215" spans="1:28" hidden="1">
      <c r="A215" s="402" t="s">
        <v>893</v>
      </c>
      <c r="B215" s="53" t="s">
        <v>267</v>
      </c>
      <c r="C215" s="53" t="s">
        <v>894</v>
      </c>
      <c r="D215" s="20" t="s">
        <v>899</v>
      </c>
      <c r="E215" s="44">
        <v>37747</v>
      </c>
      <c r="F215" s="20"/>
      <c r="G215" s="20"/>
      <c r="H215" s="20">
        <v>640000000</v>
      </c>
      <c r="I215" s="22" t="s">
        <v>896</v>
      </c>
      <c r="J215" s="38">
        <v>38230</v>
      </c>
      <c r="K215" s="20"/>
      <c r="L215" s="20"/>
      <c r="M215" s="20">
        <v>620000000</v>
      </c>
      <c r="N215" s="20">
        <f>+M215</f>
        <v>620000000</v>
      </c>
      <c r="O215" s="20">
        <f t="shared" si="19"/>
        <v>0</v>
      </c>
      <c r="P215" s="20"/>
      <c r="Q215" s="20"/>
      <c r="R215" s="401" t="s">
        <v>845</v>
      </c>
      <c r="S215" s="401"/>
      <c r="T215" s="401" t="s">
        <v>849</v>
      </c>
      <c r="U215" s="401" t="s">
        <v>854</v>
      </c>
      <c r="V215" s="26"/>
      <c r="W215" s="26"/>
      <c r="X215" s="26"/>
      <c r="Y215" s="26"/>
    </row>
    <row r="216" spans="1:28" s="26" customFormat="1" hidden="1">
      <c r="A216" s="402" t="s">
        <v>893</v>
      </c>
      <c r="B216" s="53" t="s">
        <v>267</v>
      </c>
      <c r="C216" s="53" t="s">
        <v>894</v>
      </c>
      <c r="D216" s="14" t="s">
        <v>899</v>
      </c>
      <c r="E216" s="45">
        <v>37775</v>
      </c>
      <c r="F216" s="14"/>
      <c r="G216" s="14"/>
      <c r="H216" s="14">
        <v>600000000</v>
      </c>
      <c r="I216" s="28" t="s">
        <v>896</v>
      </c>
      <c r="J216" s="40">
        <v>38231</v>
      </c>
      <c r="K216" s="14"/>
      <c r="L216" s="14"/>
      <c r="M216" s="14">
        <v>620000000</v>
      </c>
      <c r="N216" s="14">
        <v>620000000</v>
      </c>
      <c r="O216" s="14">
        <f t="shared" si="19"/>
        <v>0</v>
      </c>
      <c r="P216" s="14"/>
      <c r="Q216" s="14"/>
      <c r="R216" s="402" t="s">
        <v>845</v>
      </c>
      <c r="S216" s="402"/>
      <c r="T216" s="402" t="s">
        <v>849</v>
      </c>
      <c r="U216" s="402" t="s">
        <v>854</v>
      </c>
      <c r="AB216" s="252"/>
    </row>
    <row r="217" spans="1:28" s="26" customFormat="1" hidden="1">
      <c r="A217" s="402" t="s">
        <v>893</v>
      </c>
      <c r="B217" s="53" t="s">
        <v>267</v>
      </c>
      <c r="C217" s="53" t="s">
        <v>850</v>
      </c>
      <c r="D217" s="11" t="s">
        <v>899</v>
      </c>
      <c r="E217" s="46">
        <v>37984</v>
      </c>
      <c r="F217" s="11">
        <v>1257</v>
      </c>
      <c r="G217" s="11">
        <v>5000</v>
      </c>
      <c r="H217" s="11">
        <v>6285000</v>
      </c>
      <c r="I217" s="33" t="s">
        <v>986</v>
      </c>
      <c r="J217" s="41">
        <v>38202</v>
      </c>
      <c r="K217" s="11">
        <v>1257</v>
      </c>
      <c r="L217" s="11"/>
      <c r="M217" s="11">
        <v>77353266</v>
      </c>
      <c r="N217" s="11">
        <v>6285000</v>
      </c>
      <c r="O217" s="11">
        <f t="shared" si="19"/>
        <v>71068266</v>
      </c>
      <c r="P217" s="11">
        <f>+SUM(H215:H217)-SUM(N215:N217)</f>
        <v>0</v>
      </c>
      <c r="Q217" s="11"/>
      <c r="R217" s="403" t="s">
        <v>987</v>
      </c>
      <c r="S217" s="403" t="s">
        <v>988</v>
      </c>
      <c r="T217" s="403" t="s">
        <v>849</v>
      </c>
      <c r="U217" s="403" t="s">
        <v>854</v>
      </c>
      <c r="AB217" s="252"/>
    </row>
    <row r="218" spans="1:28" hidden="1">
      <c r="A218" s="402" t="s">
        <v>893</v>
      </c>
      <c r="B218" s="53" t="s">
        <v>267</v>
      </c>
      <c r="C218" s="53" t="s">
        <v>894</v>
      </c>
      <c r="D218" s="20" t="s">
        <v>989</v>
      </c>
      <c r="E218" s="44">
        <v>38324</v>
      </c>
      <c r="F218" s="20"/>
      <c r="G218" s="20"/>
      <c r="H218" s="20">
        <v>249520000</v>
      </c>
      <c r="I218" s="22" t="s">
        <v>896</v>
      </c>
      <c r="J218" s="38">
        <v>38489</v>
      </c>
      <c r="K218" s="20"/>
      <c r="L218" s="20"/>
      <c r="M218" s="20">
        <v>55000000</v>
      </c>
      <c r="N218" s="20">
        <v>52126676</v>
      </c>
      <c r="O218" s="20">
        <f t="shared" si="19"/>
        <v>2873324</v>
      </c>
      <c r="P218" s="20"/>
      <c r="Q218" s="20"/>
      <c r="R218" s="401" t="s">
        <v>990</v>
      </c>
      <c r="S218" s="401"/>
      <c r="T218" s="401" t="s">
        <v>855</v>
      </c>
      <c r="U218" s="401" t="s">
        <v>847</v>
      </c>
    </row>
    <row r="219" spans="1:28" hidden="1">
      <c r="A219" s="402" t="s">
        <v>893</v>
      </c>
      <c r="B219" s="53" t="s">
        <v>267</v>
      </c>
      <c r="C219" s="53" t="s">
        <v>894</v>
      </c>
      <c r="D219" s="11" t="s">
        <v>989</v>
      </c>
      <c r="E219" s="45"/>
      <c r="F219" s="14"/>
      <c r="G219" s="14"/>
      <c r="H219" s="14"/>
      <c r="I219" s="28" t="s">
        <v>896</v>
      </c>
      <c r="J219" s="41">
        <v>38533</v>
      </c>
      <c r="K219" s="11"/>
      <c r="L219" s="11"/>
      <c r="M219" s="11">
        <v>209071165</v>
      </c>
      <c r="N219" s="11">
        <v>197393324</v>
      </c>
      <c r="O219" s="11">
        <f>+M219-N219</f>
        <v>11677841</v>
      </c>
      <c r="P219" s="14"/>
      <c r="Q219" s="14"/>
      <c r="R219" s="402" t="s">
        <v>991</v>
      </c>
      <c r="S219" s="402"/>
      <c r="T219" s="402"/>
      <c r="U219" s="407" t="s">
        <v>1069</v>
      </c>
    </row>
    <row r="220" spans="1:28" s="26" customFormat="1" hidden="1">
      <c r="A220" s="31" t="s">
        <v>521</v>
      </c>
      <c r="B220" s="53" t="s">
        <v>267</v>
      </c>
      <c r="C220" s="53" t="s">
        <v>278</v>
      </c>
      <c r="D220" s="20" t="s">
        <v>131</v>
      </c>
      <c r="E220" s="44">
        <v>37935</v>
      </c>
      <c r="F220" s="20">
        <v>15000</v>
      </c>
      <c r="G220" s="20">
        <v>20000</v>
      </c>
      <c r="H220" s="20">
        <f>+F220*G220</f>
        <v>300000000</v>
      </c>
      <c r="I220" s="22" t="s">
        <v>963</v>
      </c>
      <c r="J220" s="38">
        <v>38086</v>
      </c>
      <c r="K220" s="21"/>
      <c r="L220" s="20"/>
      <c r="M220" s="20">
        <v>3000000</v>
      </c>
      <c r="N220" s="20">
        <v>0</v>
      </c>
      <c r="O220" s="20">
        <f t="shared" si="19"/>
        <v>3000000</v>
      </c>
      <c r="P220" s="20"/>
      <c r="Q220" s="20"/>
      <c r="R220" s="401" t="s">
        <v>979</v>
      </c>
      <c r="S220" s="401"/>
      <c r="T220" s="25" t="s">
        <v>66</v>
      </c>
      <c r="U220" s="25" t="s">
        <v>67</v>
      </c>
      <c r="AB220" s="252"/>
    </row>
    <row r="221" spans="1:28" s="26" customFormat="1" hidden="1">
      <c r="A221" s="402" t="s">
        <v>521</v>
      </c>
      <c r="B221" s="53" t="s">
        <v>267</v>
      </c>
      <c r="C221" s="53" t="s">
        <v>278</v>
      </c>
      <c r="D221" s="14" t="s">
        <v>131</v>
      </c>
      <c r="E221" s="45"/>
      <c r="F221" s="14"/>
      <c r="G221" s="14"/>
      <c r="H221" s="14"/>
      <c r="I221" s="28" t="s">
        <v>958</v>
      </c>
      <c r="J221" s="40">
        <v>38352</v>
      </c>
      <c r="K221" s="27"/>
      <c r="L221" s="14"/>
      <c r="M221" s="14">
        <v>0</v>
      </c>
      <c r="N221" s="14">
        <v>227964696</v>
      </c>
      <c r="O221" s="14">
        <f>+M221-N221</f>
        <v>-227964696</v>
      </c>
      <c r="P221" s="14"/>
      <c r="Q221" s="14"/>
      <c r="R221" s="402" t="s">
        <v>29</v>
      </c>
      <c r="S221" s="402"/>
      <c r="T221" s="402"/>
      <c r="U221" s="407" t="s">
        <v>1071</v>
      </c>
      <c r="AB221" s="252"/>
    </row>
    <row r="222" spans="1:28" hidden="1">
      <c r="A222" s="31" t="s">
        <v>521</v>
      </c>
      <c r="B222" s="53" t="s">
        <v>267</v>
      </c>
      <c r="C222" s="53" t="s">
        <v>278</v>
      </c>
      <c r="D222" s="14" t="s">
        <v>131</v>
      </c>
      <c r="E222" s="45"/>
      <c r="F222" s="14"/>
      <c r="G222" s="14"/>
      <c r="H222" s="14"/>
      <c r="I222" s="28" t="s">
        <v>958</v>
      </c>
      <c r="J222" s="40">
        <v>38792</v>
      </c>
      <c r="K222" s="14">
        <v>10000</v>
      </c>
      <c r="L222" s="14">
        <v>13000</v>
      </c>
      <c r="M222" s="14">
        <f>+K222*L222</f>
        <v>130000000</v>
      </c>
      <c r="N222" s="14">
        <f>0.666666666666667*72035304</f>
        <v>48023536.000000022</v>
      </c>
      <c r="O222" s="14">
        <f t="shared" si="19"/>
        <v>81976463.99999997</v>
      </c>
      <c r="P222" s="14"/>
      <c r="Q222" s="14"/>
      <c r="R222" s="402" t="s">
        <v>972</v>
      </c>
      <c r="S222" s="402" t="s">
        <v>982</v>
      </c>
      <c r="T222" s="31" t="s">
        <v>66</v>
      </c>
      <c r="U222" s="31" t="s">
        <v>67</v>
      </c>
    </row>
    <row r="223" spans="1:28" s="26" customFormat="1" hidden="1">
      <c r="A223" s="31" t="s">
        <v>521</v>
      </c>
      <c r="B223" s="53" t="s">
        <v>267</v>
      </c>
      <c r="C223" s="53" t="s">
        <v>278</v>
      </c>
      <c r="D223" s="11" t="s">
        <v>131</v>
      </c>
      <c r="E223" s="46"/>
      <c r="F223" s="11"/>
      <c r="G223" s="11"/>
      <c r="H223" s="11"/>
      <c r="I223" s="33" t="s">
        <v>958</v>
      </c>
      <c r="J223" s="41">
        <v>38811</v>
      </c>
      <c r="K223" s="11">
        <v>5000</v>
      </c>
      <c r="L223" s="11">
        <v>9300</v>
      </c>
      <c r="M223" s="11">
        <v>46500000</v>
      </c>
      <c r="N223" s="11">
        <v>24011768</v>
      </c>
      <c r="O223" s="11">
        <f t="shared" si="19"/>
        <v>22488232</v>
      </c>
      <c r="P223" s="11">
        <f>+SUM(H220:H223)-SUM(N220:N223)</f>
        <v>0</v>
      </c>
      <c r="Q223" s="11"/>
      <c r="R223" s="403" t="s">
        <v>972</v>
      </c>
      <c r="S223" s="403" t="s">
        <v>982</v>
      </c>
      <c r="T223" s="36" t="s">
        <v>66</v>
      </c>
      <c r="U223" s="36" t="s">
        <v>67</v>
      </c>
      <c r="AB223" s="252"/>
    </row>
    <row r="224" spans="1:28" s="411" customFormat="1" hidden="1">
      <c r="A224" s="282" t="s">
        <v>893</v>
      </c>
      <c r="B224" s="81" t="s">
        <v>267</v>
      </c>
      <c r="C224" s="81" t="s">
        <v>850</v>
      </c>
      <c r="D224" s="56" t="s">
        <v>901</v>
      </c>
      <c r="E224" s="62">
        <v>37935</v>
      </c>
      <c r="F224" s="56">
        <v>6</v>
      </c>
      <c r="G224" s="56">
        <v>3100</v>
      </c>
      <c r="H224" s="56">
        <f>+F224*G224</f>
        <v>18600</v>
      </c>
      <c r="I224" s="58" t="s">
        <v>844</v>
      </c>
      <c r="J224" s="63">
        <v>37973</v>
      </c>
      <c r="K224" s="56">
        <v>6</v>
      </c>
      <c r="L224" s="56">
        <v>3065</v>
      </c>
      <c r="M224" s="56">
        <f>+N224-210</f>
        <v>18390</v>
      </c>
      <c r="N224" s="56">
        <v>18600</v>
      </c>
      <c r="O224" s="56">
        <f t="shared" si="19"/>
        <v>-210</v>
      </c>
      <c r="P224" s="56">
        <f>+H224-N224</f>
        <v>0</v>
      </c>
      <c r="Q224" s="56"/>
      <c r="R224" s="61" t="s">
        <v>845</v>
      </c>
      <c r="S224" s="61"/>
      <c r="T224" s="61" t="s">
        <v>849</v>
      </c>
      <c r="U224" s="61" t="s">
        <v>847</v>
      </c>
      <c r="V224" s="410"/>
      <c r="W224" s="410"/>
      <c r="X224" s="410"/>
      <c r="Y224" s="410"/>
      <c r="AB224" s="587"/>
    </row>
    <row r="225" spans="1:28" s="411" customFormat="1" hidden="1">
      <c r="A225" s="282" t="s">
        <v>893</v>
      </c>
      <c r="B225" s="81" t="s">
        <v>267</v>
      </c>
      <c r="C225" s="81" t="s">
        <v>850</v>
      </c>
      <c r="D225" s="56" t="s">
        <v>902</v>
      </c>
      <c r="E225" s="62">
        <v>37935</v>
      </c>
      <c r="F225" s="56">
        <v>26</v>
      </c>
      <c r="G225" s="56">
        <v>2800</v>
      </c>
      <c r="H225" s="56">
        <f>+F225*G225</f>
        <v>72800</v>
      </c>
      <c r="I225" s="58" t="s">
        <v>844</v>
      </c>
      <c r="J225" s="63">
        <v>37973</v>
      </c>
      <c r="K225" s="56">
        <v>26</v>
      </c>
      <c r="L225" s="56">
        <f>+M225/K225</f>
        <v>4930</v>
      </c>
      <c r="M225" s="56">
        <f>72800+55380</f>
        <v>128180</v>
      </c>
      <c r="N225" s="56">
        <v>72800</v>
      </c>
      <c r="O225" s="56">
        <f t="shared" si="19"/>
        <v>55380</v>
      </c>
      <c r="P225" s="56">
        <f>+H225-N225</f>
        <v>0</v>
      </c>
      <c r="Q225" s="56"/>
      <c r="R225" s="61" t="s">
        <v>845</v>
      </c>
      <c r="S225" s="61"/>
      <c r="T225" s="61" t="s">
        <v>846</v>
      </c>
      <c r="U225" s="61" t="s">
        <v>847</v>
      </c>
      <c r="V225" s="410"/>
      <c r="W225" s="410"/>
      <c r="X225" s="410"/>
      <c r="Y225" s="410"/>
      <c r="AB225" s="587"/>
    </row>
    <row r="226" spans="1:28" s="411" customFormat="1" hidden="1">
      <c r="A226" s="282" t="s">
        <v>893</v>
      </c>
      <c r="B226" s="81" t="s">
        <v>267</v>
      </c>
      <c r="C226" s="414" t="s">
        <v>850</v>
      </c>
      <c r="D226" s="56" t="s">
        <v>898</v>
      </c>
      <c r="E226" s="62">
        <v>37928</v>
      </c>
      <c r="F226" s="56">
        <v>28</v>
      </c>
      <c r="G226" s="56">
        <v>14000</v>
      </c>
      <c r="H226" s="56">
        <f>+F226*G226</f>
        <v>392000</v>
      </c>
      <c r="I226" s="58" t="s">
        <v>844</v>
      </c>
      <c r="J226" s="84">
        <v>38351</v>
      </c>
      <c r="K226" s="60">
        <v>28</v>
      </c>
      <c r="L226" s="60">
        <v>3510</v>
      </c>
      <c r="M226" s="60">
        <v>97590</v>
      </c>
      <c r="N226" s="60">
        <v>392000</v>
      </c>
      <c r="O226" s="60">
        <f>+M226-N226</f>
        <v>-294410</v>
      </c>
      <c r="P226" s="56">
        <f>+H226-N226</f>
        <v>0</v>
      </c>
      <c r="Q226" s="56"/>
      <c r="R226" s="61" t="s">
        <v>845</v>
      </c>
      <c r="S226" s="61"/>
      <c r="T226" s="61" t="s">
        <v>846</v>
      </c>
      <c r="U226" s="61" t="s">
        <v>847</v>
      </c>
      <c r="AB226" s="587"/>
    </row>
    <row r="227" spans="1:28" s="26" customFormat="1" hidden="1">
      <c r="A227" s="36" t="s">
        <v>521</v>
      </c>
      <c r="B227" s="72" t="s">
        <v>530</v>
      </c>
      <c r="C227" s="152" t="s">
        <v>523</v>
      </c>
      <c r="D227" s="147"/>
      <c r="E227" s="153"/>
      <c r="F227" s="154"/>
      <c r="G227" s="154"/>
      <c r="H227" s="154">
        <f>SUM(H160:H226)</f>
        <v>8817551300</v>
      </c>
      <c r="I227" s="155"/>
      <c r="J227" s="156"/>
      <c r="K227" s="154"/>
      <c r="L227" s="154"/>
      <c r="M227" s="154">
        <f>SUM(M160:M226)</f>
        <v>5202048263</v>
      </c>
      <c r="N227" s="154">
        <f>SUM(N160:N226)</f>
        <v>8817551300</v>
      </c>
      <c r="O227" s="154">
        <f>SUM(O160:O226)</f>
        <v>-3615503037</v>
      </c>
      <c r="P227" s="154">
        <f>SUM(P160:P226)</f>
        <v>0</v>
      </c>
      <c r="Q227" s="154"/>
      <c r="R227" s="132"/>
      <c r="S227" s="132"/>
      <c r="T227" s="132"/>
      <c r="U227" s="132"/>
      <c r="AB227" s="252"/>
    </row>
    <row r="228" spans="1:28" s="26" customFormat="1" hidden="1">
      <c r="A228" s="31" t="s">
        <v>521</v>
      </c>
      <c r="B228" s="54" t="s">
        <v>132</v>
      </c>
      <c r="C228" s="54" t="s">
        <v>278</v>
      </c>
      <c r="D228" s="11" t="s">
        <v>133</v>
      </c>
      <c r="E228" s="46">
        <v>38212</v>
      </c>
      <c r="F228" s="11">
        <v>74666</v>
      </c>
      <c r="G228" s="11">
        <v>19420</v>
      </c>
      <c r="H228" s="11">
        <v>1450013720</v>
      </c>
      <c r="I228" s="33" t="s">
        <v>343</v>
      </c>
      <c r="J228" s="32">
        <v>38399</v>
      </c>
      <c r="K228" s="11">
        <v>74666</v>
      </c>
      <c r="L228" s="11">
        <f>+M228/K228</f>
        <v>19420</v>
      </c>
      <c r="M228" s="11">
        <v>1450013720</v>
      </c>
      <c r="N228" s="35">
        <f>+H228</f>
        <v>1450013720</v>
      </c>
      <c r="O228" s="11">
        <f>+M228-N228</f>
        <v>0</v>
      </c>
      <c r="P228" s="15">
        <f>+H228-N228</f>
        <v>0</v>
      </c>
      <c r="Q228" s="36"/>
      <c r="R228" s="36" t="s">
        <v>64</v>
      </c>
      <c r="S228" s="403"/>
      <c r="T228" s="36" t="s">
        <v>61</v>
      </c>
      <c r="U228" s="36" t="s">
        <v>96</v>
      </c>
      <c r="V228" s="4"/>
      <c r="W228" s="4"/>
      <c r="X228" s="4"/>
      <c r="AB228" s="252"/>
    </row>
    <row r="229" spans="1:28" s="26" customFormat="1" hidden="1">
      <c r="A229" s="31" t="s">
        <v>521</v>
      </c>
      <c r="B229" s="54" t="s">
        <v>268</v>
      </c>
      <c r="C229" s="54" t="s">
        <v>278</v>
      </c>
      <c r="D229" s="15" t="s">
        <v>134</v>
      </c>
      <c r="E229" s="42">
        <v>38212</v>
      </c>
      <c r="F229" s="15">
        <v>154000</v>
      </c>
      <c r="G229" s="15">
        <v>6168</v>
      </c>
      <c r="H229" s="15">
        <v>949872000</v>
      </c>
      <c r="I229" s="17" t="s">
        <v>57</v>
      </c>
      <c r="J229" s="16">
        <v>38399</v>
      </c>
      <c r="K229" s="15">
        <v>154000</v>
      </c>
      <c r="L229" s="11">
        <f>+M229/K229</f>
        <v>6168</v>
      </c>
      <c r="M229" s="15">
        <v>949872000</v>
      </c>
      <c r="N229" s="35">
        <f>+H229</f>
        <v>949872000</v>
      </c>
      <c r="O229" s="11">
        <f>+M229-N229</f>
        <v>0</v>
      </c>
      <c r="P229" s="15">
        <f>+H229-N229</f>
        <v>0</v>
      </c>
      <c r="Q229" s="19"/>
      <c r="R229" s="19" t="s">
        <v>18</v>
      </c>
      <c r="S229" s="405"/>
      <c r="T229" s="19" t="s">
        <v>61</v>
      </c>
      <c r="U229" s="19" t="s">
        <v>96</v>
      </c>
      <c r="V229" s="4"/>
      <c r="W229" s="4"/>
      <c r="X229" s="4"/>
      <c r="AB229" s="252"/>
    </row>
    <row r="230" spans="1:28" s="26" customFormat="1" hidden="1">
      <c r="A230" s="31" t="s">
        <v>521</v>
      </c>
      <c r="B230" s="54" t="s">
        <v>268</v>
      </c>
      <c r="C230" s="54" t="s">
        <v>278</v>
      </c>
      <c r="D230" s="15" t="s">
        <v>135</v>
      </c>
      <c r="E230" s="42">
        <v>38212</v>
      </c>
      <c r="F230" s="15">
        <v>370350</v>
      </c>
      <c r="G230" s="15">
        <v>1296</v>
      </c>
      <c r="H230" s="15">
        <v>479973600</v>
      </c>
      <c r="I230" s="17" t="s">
        <v>57</v>
      </c>
      <c r="J230" s="16">
        <v>38399</v>
      </c>
      <c r="K230" s="15">
        <v>370350</v>
      </c>
      <c r="L230" s="11">
        <f>+M230/K230</f>
        <v>1296</v>
      </c>
      <c r="M230" s="15">
        <v>479973600</v>
      </c>
      <c r="N230" s="35">
        <f>+H230</f>
        <v>479973600</v>
      </c>
      <c r="O230" s="11">
        <f>+M230-N230</f>
        <v>0</v>
      </c>
      <c r="P230" s="15">
        <f>+H230-N230</f>
        <v>0</v>
      </c>
      <c r="Q230" s="19"/>
      <c r="R230" s="19" t="s">
        <v>18</v>
      </c>
      <c r="S230" s="405"/>
      <c r="T230" s="19" t="s">
        <v>61</v>
      </c>
      <c r="U230" s="19" t="s">
        <v>96</v>
      </c>
      <c r="V230" s="4"/>
      <c r="W230" s="4"/>
      <c r="X230" s="4"/>
      <c r="AB230" s="252"/>
    </row>
    <row r="231" spans="1:28" hidden="1">
      <c r="A231" s="31" t="s">
        <v>521</v>
      </c>
      <c r="B231" s="31" t="s">
        <v>268</v>
      </c>
      <c r="C231" s="31" t="s">
        <v>278</v>
      </c>
      <c r="D231" s="15" t="s">
        <v>136</v>
      </c>
      <c r="E231" s="42">
        <v>38212</v>
      </c>
      <c r="F231" s="15">
        <v>180000</v>
      </c>
      <c r="G231" s="15">
        <v>1500</v>
      </c>
      <c r="H231" s="15">
        <v>270000000</v>
      </c>
      <c r="I231" s="17" t="s">
        <v>57</v>
      </c>
      <c r="J231" s="16">
        <v>38399</v>
      </c>
      <c r="K231" s="15">
        <v>180000</v>
      </c>
      <c r="L231" s="11">
        <f>+M231/K231</f>
        <v>1500</v>
      </c>
      <c r="M231" s="15">
        <v>270000000</v>
      </c>
      <c r="N231" s="35">
        <f>+H231</f>
        <v>270000000</v>
      </c>
      <c r="O231" s="11">
        <f>+M231-N231</f>
        <v>0</v>
      </c>
      <c r="P231" s="15">
        <f>+H231-N231</f>
        <v>0</v>
      </c>
      <c r="Q231" s="19"/>
      <c r="R231" s="19" t="s">
        <v>18</v>
      </c>
      <c r="S231" s="405"/>
      <c r="T231" s="19" t="s">
        <v>61</v>
      </c>
      <c r="U231" s="19" t="s">
        <v>96</v>
      </c>
    </row>
    <row r="232" spans="1:28" hidden="1">
      <c r="A232" s="36" t="s">
        <v>521</v>
      </c>
      <c r="B232" s="36" t="s">
        <v>531</v>
      </c>
      <c r="C232" s="152" t="s">
        <v>523</v>
      </c>
      <c r="D232" s="147"/>
      <c r="E232" s="153"/>
      <c r="F232" s="154"/>
      <c r="G232" s="154"/>
      <c r="H232" s="154">
        <f>SUM(H228:H231)</f>
        <v>3149859320</v>
      </c>
      <c r="I232" s="155"/>
      <c r="J232" s="156"/>
      <c r="K232" s="154"/>
      <c r="L232" s="154"/>
      <c r="M232" s="154">
        <f>SUM(M228:M231)</f>
        <v>3149859320</v>
      </c>
      <c r="N232" s="154">
        <f>SUM(N228:N231)</f>
        <v>3149859320</v>
      </c>
      <c r="O232" s="154">
        <f>SUM(O228:O231)</f>
        <v>0</v>
      </c>
      <c r="P232" s="154">
        <f>SUM(P228:P231)</f>
        <v>0</v>
      </c>
      <c r="Q232" s="154"/>
      <c r="R232" s="132"/>
      <c r="S232" s="132"/>
      <c r="T232" s="132"/>
      <c r="U232" s="132"/>
    </row>
    <row r="233" spans="1:28" s="26" customFormat="1" hidden="1">
      <c r="A233" s="401" t="s">
        <v>521</v>
      </c>
      <c r="B233" s="404" t="s">
        <v>20</v>
      </c>
      <c r="C233" s="404" t="s">
        <v>278</v>
      </c>
      <c r="D233" s="20" t="s">
        <v>137</v>
      </c>
      <c r="E233" s="44">
        <v>36591</v>
      </c>
      <c r="F233" s="20">
        <v>90000</v>
      </c>
      <c r="G233" s="20">
        <v>25000</v>
      </c>
      <c r="H233" s="20">
        <f>+F233*G233</f>
        <v>2250000000</v>
      </c>
      <c r="I233" s="22" t="s">
        <v>892</v>
      </c>
      <c r="J233" s="38">
        <v>36796</v>
      </c>
      <c r="K233" s="20">
        <v>45000</v>
      </c>
      <c r="L233" s="20">
        <v>26700</v>
      </c>
      <c r="M233" s="20">
        <f>+K233*L233</f>
        <v>1201500000</v>
      </c>
      <c r="N233" s="20">
        <v>1125000000</v>
      </c>
      <c r="O233" s="24">
        <f>+M233-N233</f>
        <v>76500000</v>
      </c>
      <c r="P233" s="20"/>
      <c r="Q233" s="20"/>
      <c r="R233" s="401" t="s">
        <v>18</v>
      </c>
      <c r="S233" s="401"/>
      <c r="T233" s="401" t="s">
        <v>61</v>
      </c>
      <c r="U233" s="401" t="s">
        <v>83</v>
      </c>
      <c r="AB233" s="252"/>
    </row>
    <row r="234" spans="1:28" hidden="1">
      <c r="A234" s="402" t="s">
        <v>521</v>
      </c>
      <c r="B234" s="53" t="s">
        <v>20</v>
      </c>
      <c r="C234" s="53" t="s">
        <v>304</v>
      </c>
      <c r="D234" s="11" t="s">
        <v>137</v>
      </c>
      <c r="E234" s="46"/>
      <c r="F234" s="11"/>
      <c r="G234" s="11"/>
      <c r="H234" s="11"/>
      <c r="I234" s="33"/>
      <c r="J234" s="41">
        <v>37263</v>
      </c>
      <c r="K234" s="11">
        <v>45000</v>
      </c>
      <c r="L234" s="11">
        <v>27000</v>
      </c>
      <c r="M234" s="11">
        <f>1125000000+90000000</f>
        <v>1215000000</v>
      </c>
      <c r="N234" s="11">
        <v>1125000000</v>
      </c>
      <c r="O234" s="35">
        <f>+M234-N234</f>
        <v>90000000</v>
      </c>
      <c r="P234" s="11"/>
      <c r="Q234" s="11"/>
      <c r="R234" s="403" t="s">
        <v>949</v>
      </c>
      <c r="S234" s="403" t="s">
        <v>995</v>
      </c>
      <c r="T234" s="403" t="s">
        <v>61</v>
      </c>
      <c r="U234" s="403" t="s">
        <v>83</v>
      </c>
      <c r="V234" s="26"/>
      <c r="W234" s="26"/>
      <c r="X234" s="26"/>
      <c r="Y234" s="26"/>
    </row>
    <row r="235" spans="1:28" hidden="1">
      <c r="A235" s="402" t="s">
        <v>521</v>
      </c>
      <c r="B235" s="53" t="s">
        <v>20</v>
      </c>
      <c r="C235" s="53" t="s">
        <v>304</v>
      </c>
      <c r="D235" s="20" t="s">
        <v>138</v>
      </c>
      <c r="E235" s="44">
        <v>36699</v>
      </c>
      <c r="F235" s="20">
        <v>5000</v>
      </c>
      <c r="G235" s="20">
        <v>80000</v>
      </c>
      <c r="H235" s="20">
        <f>+F235*G235</f>
        <v>400000000</v>
      </c>
      <c r="I235" s="22" t="s">
        <v>892</v>
      </c>
      <c r="J235" s="38">
        <v>37224</v>
      </c>
      <c r="K235" s="20">
        <v>10000</v>
      </c>
      <c r="L235" s="20">
        <v>20000</v>
      </c>
      <c r="M235" s="20">
        <f>+K235*L235</f>
        <v>200000000</v>
      </c>
      <c r="N235" s="20">
        <v>160000000</v>
      </c>
      <c r="O235" s="24">
        <f t="shared" ref="O235:O272" si="20">+M235-N235</f>
        <v>40000000</v>
      </c>
      <c r="P235" s="20"/>
      <c r="Q235" s="20"/>
      <c r="R235" s="401" t="s">
        <v>949</v>
      </c>
      <c r="S235" s="401" t="s">
        <v>992</v>
      </c>
      <c r="T235" s="401" t="s">
        <v>66</v>
      </c>
      <c r="U235" s="401" t="s">
        <v>67</v>
      </c>
      <c r="V235" s="26"/>
      <c r="W235" s="26"/>
      <c r="X235" s="26"/>
      <c r="Y235" s="26"/>
    </row>
    <row r="236" spans="1:28" hidden="1">
      <c r="A236" s="402" t="s">
        <v>521</v>
      </c>
      <c r="B236" s="53" t="s">
        <v>20</v>
      </c>
      <c r="C236" s="53" t="s">
        <v>304</v>
      </c>
      <c r="D236" s="14" t="s">
        <v>138</v>
      </c>
      <c r="E236" s="45">
        <v>36699</v>
      </c>
      <c r="F236" s="14">
        <v>5000</v>
      </c>
      <c r="G236" s="14">
        <v>80000</v>
      </c>
      <c r="H236" s="14">
        <f>+F236*G236</f>
        <v>400000000</v>
      </c>
      <c r="I236" s="28" t="s">
        <v>908</v>
      </c>
      <c r="J236" s="40"/>
      <c r="K236" s="14"/>
      <c r="L236" s="14"/>
      <c r="M236" s="14">
        <f>+K236*L236</f>
        <v>0</v>
      </c>
      <c r="N236" s="14"/>
      <c r="O236" s="30">
        <f t="shared" si="20"/>
        <v>0</v>
      </c>
      <c r="P236" s="14"/>
      <c r="Q236" s="14"/>
      <c r="R236" s="402" t="s">
        <v>18</v>
      </c>
      <c r="S236" s="402"/>
      <c r="T236" s="402" t="s">
        <v>66</v>
      </c>
      <c r="U236" s="402" t="s">
        <v>67</v>
      </c>
      <c r="V236" s="26"/>
      <c r="W236" s="26"/>
      <c r="X236" s="26"/>
      <c r="Y236" s="26"/>
    </row>
    <row r="237" spans="1:28" hidden="1">
      <c r="A237" s="402" t="s">
        <v>521</v>
      </c>
      <c r="B237" s="53" t="s">
        <v>20</v>
      </c>
      <c r="C237" s="53" t="s">
        <v>304</v>
      </c>
      <c r="D237" s="14" t="s">
        <v>138</v>
      </c>
      <c r="E237" s="45">
        <v>36873</v>
      </c>
      <c r="F237" s="14"/>
      <c r="G237" s="14"/>
      <c r="H237" s="14">
        <v>2000000000</v>
      </c>
      <c r="I237" s="28" t="s">
        <v>139</v>
      </c>
      <c r="J237" s="40">
        <v>37096</v>
      </c>
      <c r="K237" s="14">
        <v>20000</v>
      </c>
      <c r="L237" s="14">
        <v>105000</v>
      </c>
      <c r="M237" s="14">
        <f>+K237*L237</f>
        <v>2100000000</v>
      </c>
      <c r="N237" s="14">
        <v>2000000000</v>
      </c>
      <c r="O237" s="30">
        <f t="shared" si="20"/>
        <v>100000000</v>
      </c>
      <c r="P237" s="14"/>
      <c r="Q237" s="14"/>
      <c r="R237" s="402" t="s">
        <v>949</v>
      </c>
      <c r="S237" s="402" t="s">
        <v>993</v>
      </c>
      <c r="T237" s="402" t="s">
        <v>66</v>
      </c>
      <c r="U237" s="402" t="s">
        <v>67</v>
      </c>
      <c r="V237" s="26"/>
      <c r="W237" s="26"/>
      <c r="X237" s="26"/>
      <c r="Y237" s="26"/>
    </row>
    <row r="238" spans="1:28" s="26" customFormat="1" hidden="1">
      <c r="A238" s="402" t="s">
        <v>521</v>
      </c>
      <c r="B238" s="53" t="s">
        <v>20</v>
      </c>
      <c r="C238" s="53" t="s">
        <v>304</v>
      </c>
      <c r="D238" s="14" t="s">
        <v>138</v>
      </c>
      <c r="E238" s="45"/>
      <c r="F238" s="14"/>
      <c r="G238" s="14"/>
      <c r="H238" s="14"/>
      <c r="I238" s="28" t="str">
        <f>+I236</f>
        <v>보통주</v>
      </c>
      <c r="J238" s="40">
        <v>37301</v>
      </c>
      <c r="K238" s="14">
        <v>10000</v>
      </c>
      <c r="L238" s="14">
        <v>30050</v>
      </c>
      <c r="M238" s="14">
        <f>+K238*L238</f>
        <v>300500000</v>
      </c>
      <c r="N238" s="14">
        <f>+M238-140500000</f>
        <v>160000000</v>
      </c>
      <c r="O238" s="30">
        <f t="shared" si="20"/>
        <v>140500000</v>
      </c>
      <c r="P238" s="14"/>
      <c r="Q238" s="14"/>
      <c r="R238" s="402" t="s">
        <v>996</v>
      </c>
      <c r="S238" s="402"/>
      <c r="T238" s="402" t="s">
        <v>66</v>
      </c>
      <c r="U238" s="402" t="s">
        <v>67</v>
      </c>
      <c r="AB238" s="252"/>
    </row>
    <row r="239" spans="1:28" s="26" customFormat="1" hidden="1">
      <c r="A239" s="402" t="s">
        <v>521</v>
      </c>
      <c r="B239" s="53" t="s">
        <v>20</v>
      </c>
      <c r="C239" s="53" t="s">
        <v>304</v>
      </c>
      <c r="D239" s="14" t="s">
        <v>138</v>
      </c>
      <c r="E239" s="45"/>
      <c r="F239" s="14"/>
      <c r="G239" s="14"/>
      <c r="H239" s="14"/>
      <c r="I239" s="28" t="str">
        <f>+I238</f>
        <v>보통주</v>
      </c>
      <c r="J239" s="40">
        <v>37302</v>
      </c>
      <c r="K239" s="14">
        <v>20000</v>
      </c>
      <c r="L239" s="14">
        <v>30174</v>
      </c>
      <c r="M239" s="14">
        <f>320000000+283479500</f>
        <v>603479500</v>
      </c>
      <c r="N239" s="14">
        <f>+M239-283479500</f>
        <v>320000000</v>
      </c>
      <c r="O239" s="30">
        <f t="shared" si="20"/>
        <v>283479500</v>
      </c>
      <c r="P239" s="14"/>
      <c r="Q239" s="14"/>
      <c r="R239" s="402" t="s">
        <v>18</v>
      </c>
      <c r="S239" s="402"/>
      <c r="T239" s="402" t="s">
        <v>66</v>
      </c>
      <c r="U239" s="402" t="s">
        <v>67</v>
      </c>
      <c r="AB239" s="252"/>
    </row>
    <row r="240" spans="1:28" s="26" customFormat="1" hidden="1">
      <c r="A240" s="402" t="s">
        <v>521</v>
      </c>
      <c r="B240" s="53" t="s">
        <v>20</v>
      </c>
      <c r="C240" s="53" t="s">
        <v>304</v>
      </c>
      <c r="D240" s="14" t="s">
        <v>138</v>
      </c>
      <c r="E240" s="45"/>
      <c r="F240" s="14"/>
      <c r="G240" s="14"/>
      <c r="H240" s="14"/>
      <c r="I240" s="28" t="str">
        <f>+I238</f>
        <v>보통주</v>
      </c>
      <c r="J240" s="40">
        <v>37305</v>
      </c>
      <c r="K240" s="14">
        <v>5000</v>
      </c>
      <c r="L240" s="14">
        <v>25403</v>
      </c>
      <c r="M240" s="14">
        <f>80000000+47012850</f>
        <v>127012850</v>
      </c>
      <c r="N240" s="14">
        <f>+M240-47012850</f>
        <v>80000000</v>
      </c>
      <c r="O240" s="30">
        <f t="shared" si="20"/>
        <v>47012850</v>
      </c>
      <c r="P240" s="14"/>
      <c r="Q240" s="14"/>
      <c r="R240" s="402" t="s">
        <v>18</v>
      </c>
      <c r="S240" s="402"/>
      <c r="T240" s="402" t="s">
        <v>66</v>
      </c>
      <c r="U240" s="402" t="s">
        <v>67</v>
      </c>
      <c r="AB240" s="252"/>
    </row>
    <row r="241" spans="1:28" s="26" customFormat="1" hidden="1">
      <c r="A241" s="402" t="s">
        <v>521</v>
      </c>
      <c r="B241" s="53" t="s">
        <v>20</v>
      </c>
      <c r="C241" s="53" t="s">
        <v>304</v>
      </c>
      <c r="D241" s="11" t="s">
        <v>138</v>
      </c>
      <c r="E241" s="46"/>
      <c r="F241" s="11"/>
      <c r="G241" s="11"/>
      <c r="H241" s="11"/>
      <c r="I241" s="28" t="str">
        <f>+I239</f>
        <v>보통주</v>
      </c>
      <c r="J241" s="41">
        <v>37362</v>
      </c>
      <c r="K241" s="11">
        <v>5000</v>
      </c>
      <c r="L241" s="11">
        <v>20070</v>
      </c>
      <c r="M241" s="11">
        <f>+K241*L241</f>
        <v>100350000</v>
      </c>
      <c r="N241" s="11">
        <f>+M241-20350000</f>
        <v>80000000</v>
      </c>
      <c r="O241" s="35">
        <f t="shared" si="20"/>
        <v>20350000</v>
      </c>
      <c r="P241" s="11"/>
      <c r="Q241" s="11"/>
      <c r="R241" s="403" t="s">
        <v>18</v>
      </c>
      <c r="S241" s="403"/>
      <c r="T241" s="403" t="s">
        <v>66</v>
      </c>
      <c r="U241" s="403" t="s">
        <v>67</v>
      </c>
      <c r="AB241" s="252"/>
    </row>
    <row r="242" spans="1:28" s="26" customFormat="1" hidden="1">
      <c r="A242" s="402" t="s">
        <v>521</v>
      </c>
      <c r="B242" s="53" t="s">
        <v>20</v>
      </c>
      <c r="C242" s="53" t="s">
        <v>304</v>
      </c>
      <c r="D242" s="20" t="s">
        <v>105</v>
      </c>
      <c r="E242" s="44">
        <v>36714</v>
      </c>
      <c r="F242" s="20">
        <v>120000</v>
      </c>
      <c r="G242" s="20">
        <v>2500</v>
      </c>
      <c r="H242" s="20">
        <f>+F242*G242</f>
        <v>300000000</v>
      </c>
      <c r="I242" s="22" t="s">
        <v>892</v>
      </c>
      <c r="J242" s="38">
        <v>37621</v>
      </c>
      <c r="K242" s="20"/>
      <c r="L242" s="20"/>
      <c r="M242" s="20">
        <v>0</v>
      </c>
      <c r="N242" s="20">
        <v>280447898</v>
      </c>
      <c r="O242" s="24">
        <f t="shared" si="20"/>
        <v>-280447898</v>
      </c>
      <c r="P242" s="20"/>
      <c r="Q242" s="20"/>
      <c r="R242" s="401" t="s">
        <v>60</v>
      </c>
      <c r="S242" s="401"/>
      <c r="T242" s="401" t="s">
        <v>98</v>
      </c>
      <c r="U242" s="401" t="s">
        <v>67</v>
      </c>
      <c r="AB242" s="252"/>
    </row>
    <row r="243" spans="1:28" s="26" customFormat="1" hidden="1">
      <c r="A243" s="402" t="s">
        <v>521</v>
      </c>
      <c r="B243" s="53" t="s">
        <v>20</v>
      </c>
      <c r="C243" s="53" t="s">
        <v>304</v>
      </c>
      <c r="D243" s="14" t="s">
        <v>105</v>
      </c>
      <c r="E243" s="45"/>
      <c r="F243" s="14"/>
      <c r="G243" s="14"/>
      <c r="H243" s="14"/>
      <c r="I243" s="28" t="s">
        <v>908</v>
      </c>
      <c r="J243" s="40">
        <v>37986</v>
      </c>
      <c r="K243" s="14"/>
      <c r="L243" s="14"/>
      <c r="M243" s="14">
        <v>0</v>
      </c>
      <c r="N243" s="14">
        <v>19552102</v>
      </c>
      <c r="O243" s="30">
        <f t="shared" si="20"/>
        <v>-19552102</v>
      </c>
      <c r="P243" s="14"/>
      <c r="Q243" s="14"/>
      <c r="R243" s="402" t="s">
        <v>60</v>
      </c>
      <c r="S243" s="402"/>
      <c r="T243" s="402" t="s">
        <v>98</v>
      </c>
      <c r="U243" s="402" t="s">
        <v>67</v>
      </c>
      <c r="AB243" s="252"/>
    </row>
    <row r="244" spans="1:28" s="26" customFormat="1" hidden="1">
      <c r="A244" s="402" t="s">
        <v>520</v>
      </c>
      <c r="B244" s="53" t="s">
        <v>20</v>
      </c>
      <c r="C244" s="53" t="s">
        <v>304</v>
      </c>
      <c r="D244" s="11" t="s">
        <v>105</v>
      </c>
      <c r="E244" s="46"/>
      <c r="F244" s="11"/>
      <c r="G244" s="11"/>
      <c r="H244" s="11"/>
      <c r="I244" s="33"/>
      <c r="J244" s="41">
        <v>38468</v>
      </c>
      <c r="K244" s="11">
        <v>120000</v>
      </c>
      <c r="L244" s="11">
        <v>0</v>
      </c>
      <c r="M244" s="11">
        <v>1000</v>
      </c>
      <c r="N244" s="11">
        <v>0</v>
      </c>
      <c r="O244" s="35">
        <f>+M244-N244</f>
        <v>1000</v>
      </c>
      <c r="P244" s="11"/>
      <c r="Q244" s="11"/>
      <c r="R244" s="403" t="s">
        <v>777</v>
      </c>
      <c r="S244" s="403"/>
      <c r="T244" s="403" t="s">
        <v>98</v>
      </c>
      <c r="U244" s="403" t="s">
        <v>778</v>
      </c>
      <c r="AB244" s="252"/>
    </row>
    <row r="245" spans="1:28" s="26" customFormat="1" hidden="1">
      <c r="A245" s="402" t="s">
        <v>521</v>
      </c>
      <c r="B245" s="53" t="s">
        <v>20</v>
      </c>
      <c r="C245" s="53" t="s">
        <v>323</v>
      </c>
      <c r="D245" s="20" t="s">
        <v>140</v>
      </c>
      <c r="E245" s="44">
        <v>36756</v>
      </c>
      <c r="F245" s="20">
        <v>2000</v>
      </c>
      <c r="G245" s="20">
        <v>120000</v>
      </c>
      <c r="H245" s="20">
        <f>+F245*G245</f>
        <v>240000000</v>
      </c>
      <c r="I245" s="22" t="s">
        <v>892</v>
      </c>
      <c r="J245" s="38">
        <v>37621</v>
      </c>
      <c r="K245" s="20"/>
      <c r="L245" s="20"/>
      <c r="M245" s="20">
        <v>0</v>
      </c>
      <c r="N245" s="20">
        <v>225878334</v>
      </c>
      <c r="O245" s="24">
        <f t="shared" si="20"/>
        <v>-225878334</v>
      </c>
      <c r="P245" s="20"/>
      <c r="Q245" s="20"/>
      <c r="R245" s="401" t="s">
        <v>60</v>
      </c>
      <c r="S245" s="401"/>
      <c r="T245" s="401" t="s">
        <v>61</v>
      </c>
      <c r="U245" s="401" t="s">
        <v>83</v>
      </c>
      <c r="AB245" s="252"/>
    </row>
    <row r="246" spans="1:28" hidden="1">
      <c r="A246" s="402" t="s">
        <v>521</v>
      </c>
      <c r="B246" s="53" t="s">
        <v>20</v>
      </c>
      <c r="C246" s="53" t="s">
        <v>323</v>
      </c>
      <c r="D246" s="11" t="s">
        <v>140</v>
      </c>
      <c r="E246" s="46"/>
      <c r="F246" s="11"/>
      <c r="G246" s="11"/>
      <c r="H246" s="11"/>
      <c r="I246" s="33" t="s">
        <v>892</v>
      </c>
      <c r="J246" s="41">
        <v>38035</v>
      </c>
      <c r="K246" s="11">
        <v>2000</v>
      </c>
      <c r="L246" s="11">
        <f>+M246/K246</f>
        <v>39000</v>
      </c>
      <c r="M246" s="11">
        <f>+N246+63878334</f>
        <v>78000000</v>
      </c>
      <c r="N246" s="11">
        <v>14121666</v>
      </c>
      <c r="O246" s="35">
        <f t="shared" si="20"/>
        <v>63878334</v>
      </c>
      <c r="P246" s="11"/>
      <c r="Q246" s="11"/>
      <c r="R246" s="403" t="s">
        <v>18</v>
      </c>
      <c r="S246" s="403"/>
      <c r="T246" s="403" t="s">
        <v>61</v>
      </c>
      <c r="U246" s="403" t="s">
        <v>83</v>
      </c>
      <c r="V246" s="26"/>
      <c r="W246" s="26"/>
      <c r="X246" s="26"/>
      <c r="Y246" s="26"/>
    </row>
    <row r="247" spans="1:28" s="26" customFormat="1" hidden="1">
      <c r="A247" s="402" t="s">
        <v>521</v>
      </c>
      <c r="B247" s="53" t="s">
        <v>20</v>
      </c>
      <c r="C247" s="53" t="s">
        <v>323</v>
      </c>
      <c r="D247" s="20" t="s">
        <v>141</v>
      </c>
      <c r="E247" s="44">
        <v>36809</v>
      </c>
      <c r="F247" s="20">
        <v>125000</v>
      </c>
      <c r="G247" s="20">
        <v>4000</v>
      </c>
      <c r="H247" s="20">
        <f>+F247*G247</f>
        <v>500000000</v>
      </c>
      <c r="I247" s="22" t="s">
        <v>908</v>
      </c>
      <c r="J247" s="38">
        <v>37621</v>
      </c>
      <c r="K247" s="20"/>
      <c r="L247" s="20"/>
      <c r="M247" s="20">
        <v>0</v>
      </c>
      <c r="N247" s="20">
        <f>500000000-58734192</f>
        <v>441265808</v>
      </c>
      <c r="O247" s="24">
        <f t="shared" si="20"/>
        <v>-441265808</v>
      </c>
      <c r="P247" s="20"/>
      <c r="Q247" s="20"/>
      <c r="R247" s="401" t="s">
        <v>60</v>
      </c>
      <c r="S247" s="401"/>
      <c r="T247" s="401" t="s">
        <v>86</v>
      </c>
      <c r="U247" s="401" t="s">
        <v>83</v>
      </c>
      <c r="AB247" s="252"/>
    </row>
    <row r="248" spans="1:28" s="26" customFormat="1" hidden="1">
      <c r="A248" s="402" t="s">
        <v>521</v>
      </c>
      <c r="B248" s="53" t="s">
        <v>20</v>
      </c>
      <c r="C248" s="53" t="s">
        <v>323</v>
      </c>
      <c r="D248" s="11" t="s">
        <v>141</v>
      </c>
      <c r="E248" s="46"/>
      <c r="F248" s="11"/>
      <c r="G248" s="11"/>
      <c r="H248" s="11"/>
      <c r="I248" s="33" t="s">
        <v>892</v>
      </c>
      <c r="J248" s="41">
        <v>38044</v>
      </c>
      <c r="K248" s="11"/>
      <c r="L248" s="11"/>
      <c r="M248" s="11">
        <f>+N248+4265808</f>
        <v>63000000</v>
      </c>
      <c r="N248" s="11">
        <v>58734192</v>
      </c>
      <c r="O248" s="35">
        <f t="shared" si="20"/>
        <v>4265808</v>
      </c>
      <c r="P248" s="11"/>
      <c r="Q248" s="11"/>
      <c r="R248" s="403" t="s">
        <v>18</v>
      </c>
      <c r="S248" s="403"/>
      <c r="T248" s="403" t="s">
        <v>86</v>
      </c>
      <c r="U248" s="403" t="s">
        <v>83</v>
      </c>
      <c r="AB248" s="252"/>
    </row>
    <row r="249" spans="1:28" s="26" customFormat="1" hidden="1">
      <c r="A249" s="402" t="s">
        <v>521</v>
      </c>
      <c r="B249" s="53" t="s">
        <v>20</v>
      </c>
      <c r="C249" s="53" t="s">
        <v>323</v>
      </c>
      <c r="D249" s="15" t="s">
        <v>142</v>
      </c>
      <c r="E249" s="42">
        <v>37273</v>
      </c>
      <c r="F249" s="15">
        <v>83334</v>
      </c>
      <c r="G249" s="15">
        <v>12000</v>
      </c>
      <c r="H249" s="15">
        <v>1000008000</v>
      </c>
      <c r="I249" s="17" t="s">
        <v>892</v>
      </c>
      <c r="J249" s="43">
        <v>38370</v>
      </c>
      <c r="K249" s="15">
        <v>83334</v>
      </c>
      <c r="L249" s="15"/>
      <c r="M249" s="15">
        <f>+N249+156126309</f>
        <v>1156134309</v>
      </c>
      <c r="N249" s="15">
        <v>1000008000</v>
      </c>
      <c r="O249" s="15">
        <f t="shared" si="20"/>
        <v>156126309</v>
      </c>
      <c r="P249" s="15"/>
      <c r="Q249" s="15"/>
      <c r="R249" s="405" t="s">
        <v>949</v>
      </c>
      <c r="S249" s="405" t="s">
        <v>998</v>
      </c>
      <c r="T249" s="405" t="s">
        <v>61</v>
      </c>
      <c r="U249" s="405" t="s">
        <v>83</v>
      </c>
      <c r="V249" s="4"/>
      <c r="W249" s="4"/>
      <c r="X249" s="4"/>
      <c r="Y249" s="4"/>
      <c r="AB249" s="252"/>
    </row>
    <row r="250" spans="1:28" s="26" customFormat="1" hidden="1">
      <c r="A250" s="402" t="s">
        <v>521</v>
      </c>
      <c r="B250" s="53" t="s">
        <v>20</v>
      </c>
      <c r="C250" s="53" t="s">
        <v>323</v>
      </c>
      <c r="D250" s="20" t="s">
        <v>143</v>
      </c>
      <c r="E250" s="44">
        <v>37315</v>
      </c>
      <c r="F250" s="20">
        <v>80000</v>
      </c>
      <c r="G250" s="20">
        <v>7500</v>
      </c>
      <c r="H250" s="20">
        <f>+F250*G250</f>
        <v>600000000</v>
      </c>
      <c r="I250" s="22" t="s">
        <v>892</v>
      </c>
      <c r="J250" s="38">
        <v>38467</v>
      </c>
      <c r="K250" s="20">
        <v>80000</v>
      </c>
      <c r="L250" s="20">
        <f>+M250/K250</f>
        <v>3750</v>
      </c>
      <c r="M250" s="20">
        <v>300000000</v>
      </c>
      <c r="N250" s="20">
        <f>+H250</f>
        <v>600000000</v>
      </c>
      <c r="O250" s="20">
        <f t="shared" si="20"/>
        <v>-300000000</v>
      </c>
      <c r="P250" s="20"/>
      <c r="Q250" s="20"/>
      <c r="R250" s="401" t="s">
        <v>949</v>
      </c>
      <c r="S250" s="401" t="s">
        <v>999</v>
      </c>
      <c r="T250" s="401" t="s">
        <v>66</v>
      </c>
      <c r="U250" s="401" t="s">
        <v>83</v>
      </c>
      <c r="AB250" s="252"/>
    </row>
    <row r="251" spans="1:28" s="26" customFormat="1" hidden="1">
      <c r="A251" s="402" t="s">
        <v>521</v>
      </c>
      <c r="B251" s="53" t="s">
        <v>20</v>
      </c>
      <c r="C251" s="53" t="s">
        <v>314</v>
      </c>
      <c r="D251" s="20" t="s">
        <v>144</v>
      </c>
      <c r="E251" s="44">
        <v>37599</v>
      </c>
      <c r="F251" s="20"/>
      <c r="G251" s="20"/>
      <c r="H251" s="20">
        <v>150000000</v>
      </c>
      <c r="I251" s="22" t="s">
        <v>85</v>
      </c>
      <c r="J251" s="38">
        <v>37741</v>
      </c>
      <c r="K251" s="20"/>
      <c r="L251" s="20"/>
      <c r="M251" s="20">
        <v>50000000</v>
      </c>
      <c r="N251" s="20">
        <f>+M251</f>
        <v>50000000</v>
      </c>
      <c r="O251" s="24">
        <f t="shared" si="20"/>
        <v>0</v>
      </c>
      <c r="P251" s="20"/>
      <c r="Q251" s="20"/>
      <c r="R251" s="401" t="s">
        <v>18</v>
      </c>
      <c r="S251" s="401"/>
      <c r="T251" s="401" t="s">
        <v>66</v>
      </c>
      <c r="U251" s="401" t="s">
        <v>69</v>
      </c>
      <c r="AB251" s="252"/>
    </row>
    <row r="252" spans="1:28" s="26" customFormat="1" hidden="1">
      <c r="A252" s="402" t="s">
        <v>521</v>
      </c>
      <c r="B252" s="53" t="s">
        <v>20</v>
      </c>
      <c r="C252" s="53" t="s">
        <v>314</v>
      </c>
      <c r="D252" s="14" t="s">
        <v>144</v>
      </c>
      <c r="E252" s="45"/>
      <c r="F252" s="14"/>
      <c r="G252" s="14"/>
      <c r="H252" s="14"/>
      <c r="I252" s="28" t="s">
        <v>85</v>
      </c>
      <c r="J252" s="40">
        <v>37771</v>
      </c>
      <c r="K252" s="14"/>
      <c r="L252" s="14"/>
      <c r="M252" s="14">
        <v>50000000</v>
      </c>
      <c r="N252" s="14">
        <f>+M252</f>
        <v>50000000</v>
      </c>
      <c r="O252" s="30">
        <f t="shared" si="20"/>
        <v>0</v>
      </c>
      <c r="P252" s="14"/>
      <c r="Q252" s="14"/>
      <c r="R252" s="402" t="s">
        <v>18</v>
      </c>
      <c r="S252" s="402"/>
      <c r="T252" s="402" t="s">
        <v>66</v>
      </c>
      <c r="U252" s="402" t="s">
        <v>69</v>
      </c>
      <c r="AB252" s="252"/>
    </row>
    <row r="253" spans="1:28" s="26" customFormat="1" hidden="1">
      <c r="A253" s="402" t="s">
        <v>521</v>
      </c>
      <c r="B253" s="53" t="s">
        <v>20</v>
      </c>
      <c r="C253" s="53" t="s">
        <v>314</v>
      </c>
      <c r="D253" s="11" t="s">
        <v>144</v>
      </c>
      <c r="E253" s="46"/>
      <c r="F253" s="11"/>
      <c r="G253" s="11"/>
      <c r="H253" s="11"/>
      <c r="I253" s="33" t="s">
        <v>85</v>
      </c>
      <c r="J253" s="41">
        <v>37974</v>
      </c>
      <c r="K253" s="11"/>
      <c r="L253" s="11"/>
      <c r="M253" s="11">
        <v>50000000</v>
      </c>
      <c r="N253" s="11">
        <v>50000000</v>
      </c>
      <c r="O253" s="35">
        <f t="shared" si="20"/>
        <v>0</v>
      </c>
      <c r="P253" s="11"/>
      <c r="Q253" s="11"/>
      <c r="R253" s="403" t="s">
        <v>18</v>
      </c>
      <c r="S253" s="403"/>
      <c r="T253" s="403" t="s">
        <v>66</v>
      </c>
      <c r="U253" s="403" t="s">
        <v>69</v>
      </c>
      <c r="AB253" s="252"/>
    </row>
    <row r="254" spans="1:28" s="26" customFormat="1" hidden="1">
      <c r="A254" s="402" t="s">
        <v>521</v>
      </c>
      <c r="B254" s="53" t="s">
        <v>20</v>
      </c>
      <c r="C254" s="53" t="s">
        <v>314</v>
      </c>
      <c r="D254" s="15" t="s">
        <v>145</v>
      </c>
      <c r="E254" s="42">
        <v>37596</v>
      </c>
      <c r="F254" s="15"/>
      <c r="G254" s="15"/>
      <c r="H254" s="15">
        <v>200000000</v>
      </c>
      <c r="I254" s="17" t="s">
        <v>85</v>
      </c>
      <c r="J254" s="43">
        <v>37974</v>
      </c>
      <c r="K254" s="15"/>
      <c r="L254" s="15"/>
      <c r="M254" s="15">
        <f>200000000+18098182</f>
        <v>218098182</v>
      </c>
      <c r="N254" s="15">
        <v>200000000</v>
      </c>
      <c r="O254" s="15">
        <f t="shared" si="20"/>
        <v>18098182</v>
      </c>
      <c r="P254" s="15"/>
      <c r="Q254" s="15"/>
      <c r="R254" s="405" t="s">
        <v>18</v>
      </c>
      <c r="S254" s="405"/>
      <c r="T254" s="405" t="s">
        <v>66</v>
      </c>
      <c r="U254" s="405" t="s">
        <v>69</v>
      </c>
      <c r="V254" s="4"/>
      <c r="W254" s="4"/>
      <c r="X254" s="4"/>
      <c r="Y254" s="4"/>
      <c r="AB254" s="252"/>
    </row>
    <row r="255" spans="1:28" s="26" customFormat="1" hidden="1">
      <c r="A255" s="402" t="s">
        <v>521</v>
      </c>
      <c r="B255" s="53" t="s">
        <v>20</v>
      </c>
      <c r="C255" s="53" t="s">
        <v>319</v>
      </c>
      <c r="D255" s="20" t="s">
        <v>146</v>
      </c>
      <c r="E255" s="44">
        <v>37623</v>
      </c>
      <c r="F255" s="20">
        <v>142800</v>
      </c>
      <c r="G255" s="20">
        <v>3850</v>
      </c>
      <c r="H255" s="20">
        <f>+F255*G255</f>
        <v>549780000</v>
      </c>
      <c r="I255" s="22" t="s">
        <v>892</v>
      </c>
      <c r="J255" s="38">
        <v>37869</v>
      </c>
      <c r="K255" s="20">
        <v>52800</v>
      </c>
      <c r="L255" s="20">
        <v>19647</v>
      </c>
      <c r="M255" s="20">
        <v>1032706117</v>
      </c>
      <c r="N255" s="20">
        <v>203280000</v>
      </c>
      <c r="O255" s="24">
        <f t="shared" si="20"/>
        <v>829426117</v>
      </c>
      <c r="P255" s="20"/>
      <c r="Q255" s="20"/>
      <c r="R255" s="401" t="s">
        <v>996</v>
      </c>
      <c r="S255" s="401"/>
      <c r="T255" s="401" t="s">
        <v>61</v>
      </c>
      <c r="U255" s="401" t="s">
        <v>83</v>
      </c>
      <c r="AB255" s="252"/>
    </row>
    <row r="256" spans="1:28" s="26" customFormat="1" hidden="1">
      <c r="A256" s="402" t="s">
        <v>521</v>
      </c>
      <c r="B256" s="53" t="s">
        <v>20</v>
      </c>
      <c r="C256" s="53" t="s">
        <v>319</v>
      </c>
      <c r="D256" s="14" t="s">
        <v>146</v>
      </c>
      <c r="E256" s="45"/>
      <c r="F256" s="14"/>
      <c r="G256" s="14"/>
      <c r="H256" s="14"/>
      <c r="I256" s="28" t="s">
        <v>892</v>
      </c>
      <c r="J256" s="40">
        <v>37872</v>
      </c>
      <c r="K256" s="14">
        <v>50000</v>
      </c>
      <c r="L256" s="14">
        <v>20366</v>
      </c>
      <c r="M256" s="14">
        <v>1013726763</v>
      </c>
      <c r="N256" s="14">
        <v>192500000</v>
      </c>
      <c r="O256" s="30">
        <f t="shared" si="20"/>
        <v>821226763</v>
      </c>
      <c r="P256" s="14"/>
      <c r="Q256" s="14"/>
      <c r="R256" s="402" t="s">
        <v>996</v>
      </c>
      <c r="S256" s="402"/>
      <c r="T256" s="402" t="s">
        <v>61</v>
      </c>
      <c r="U256" s="402" t="s">
        <v>83</v>
      </c>
      <c r="AB256" s="252"/>
    </row>
    <row r="257" spans="1:28" s="26" customFormat="1" hidden="1">
      <c r="A257" s="402" t="s">
        <v>521</v>
      </c>
      <c r="B257" s="53" t="s">
        <v>20</v>
      </c>
      <c r="C257" s="53" t="s">
        <v>319</v>
      </c>
      <c r="D257" s="14" t="s">
        <v>146</v>
      </c>
      <c r="E257" s="45"/>
      <c r="F257" s="14"/>
      <c r="G257" s="14"/>
      <c r="H257" s="14"/>
      <c r="I257" s="28" t="s">
        <v>892</v>
      </c>
      <c r="J257" s="40">
        <v>37873</v>
      </c>
      <c r="K257" s="14">
        <v>15000</v>
      </c>
      <c r="L257" s="14">
        <v>21393</v>
      </c>
      <c r="M257" s="14">
        <v>319455950</v>
      </c>
      <c r="N257" s="14">
        <v>57750000</v>
      </c>
      <c r="O257" s="30">
        <f t="shared" si="20"/>
        <v>261705950</v>
      </c>
      <c r="P257" s="14"/>
      <c r="Q257" s="14"/>
      <c r="R257" s="402" t="s">
        <v>996</v>
      </c>
      <c r="S257" s="402"/>
      <c r="T257" s="402" t="s">
        <v>61</v>
      </c>
      <c r="U257" s="402" t="s">
        <v>83</v>
      </c>
      <c r="AB257" s="252"/>
    </row>
    <row r="258" spans="1:28" hidden="1">
      <c r="A258" s="402" t="s">
        <v>521</v>
      </c>
      <c r="B258" s="53" t="s">
        <v>20</v>
      </c>
      <c r="C258" s="53" t="s">
        <v>319</v>
      </c>
      <c r="D258" s="11" t="s">
        <v>146</v>
      </c>
      <c r="E258" s="46"/>
      <c r="F258" s="11"/>
      <c r="G258" s="11"/>
      <c r="H258" s="11"/>
      <c r="I258" s="33" t="s">
        <v>892</v>
      </c>
      <c r="J258" s="41">
        <v>37882</v>
      </c>
      <c r="K258" s="11">
        <v>25000</v>
      </c>
      <c r="L258" s="11">
        <v>20360</v>
      </c>
      <c r="M258" s="11">
        <v>506709500</v>
      </c>
      <c r="N258" s="11">
        <v>96250000</v>
      </c>
      <c r="O258" s="35">
        <f t="shared" si="20"/>
        <v>410459500</v>
      </c>
      <c r="P258" s="11"/>
      <c r="Q258" s="11"/>
      <c r="R258" s="403" t="s">
        <v>996</v>
      </c>
      <c r="S258" s="403"/>
      <c r="T258" s="403" t="s">
        <v>61</v>
      </c>
      <c r="U258" s="403" t="s">
        <v>83</v>
      </c>
      <c r="V258" s="26"/>
      <c r="W258" s="26"/>
      <c r="X258" s="26"/>
      <c r="Y258" s="26"/>
    </row>
    <row r="259" spans="1:28" s="26" customFormat="1" hidden="1">
      <c r="A259" s="402" t="s">
        <v>521</v>
      </c>
      <c r="B259" s="53" t="s">
        <v>20</v>
      </c>
      <c r="C259" s="53" t="s">
        <v>323</v>
      </c>
      <c r="D259" s="20" t="s">
        <v>147</v>
      </c>
      <c r="E259" s="44">
        <v>37755</v>
      </c>
      <c r="F259" s="20">
        <v>24000</v>
      </c>
      <c r="G259" s="20">
        <v>25000</v>
      </c>
      <c r="H259" s="20">
        <v>600000000</v>
      </c>
      <c r="I259" s="22" t="s">
        <v>997</v>
      </c>
      <c r="J259" s="38">
        <v>38379</v>
      </c>
      <c r="K259" s="20">
        <v>151840</v>
      </c>
      <c r="L259" s="20">
        <v>2254.0539383561645</v>
      </c>
      <c r="M259" s="20">
        <v>341742170</v>
      </c>
      <c r="N259" s="20">
        <v>365285379</v>
      </c>
      <c r="O259" s="14">
        <f t="shared" si="20"/>
        <v>-23543209</v>
      </c>
      <c r="P259" s="20"/>
      <c r="Q259" s="20"/>
      <c r="R259" s="402" t="s">
        <v>996</v>
      </c>
      <c r="S259" s="401"/>
      <c r="T259" s="401" t="s">
        <v>66</v>
      </c>
      <c r="U259" s="401" t="s">
        <v>69</v>
      </c>
      <c r="AB259" s="252"/>
    </row>
    <row r="260" spans="1:28" s="26" customFormat="1" hidden="1">
      <c r="A260" s="402" t="s">
        <v>521</v>
      </c>
      <c r="B260" s="53" t="s">
        <v>20</v>
      </c>
      <c r="C260" s="53" t="s">
        <v>278</v>
      </c>
      <c r="D260" s="14" t="s">
        <v>147</v>
      </c>
      <c r="E260" s="45">
        <v>38336</v>
      </c>
      <c r="F260" s="14">
        <f>+H260/G260</f>
        <v>249405</v>
      </c>
      <c r="G260" s="14">
        <v>640</v>
      </c>
      <c r="H260" s="14">
        <v>159619200</v>
      </c>
      <c r="I260" s="28" t="s">
        <v>892</v>
      </c>
      <c r="J260" s="40">
        <v>38380</v>
      </c>
      <c r="K260" s="14">
        <v>10000</v>
      </c>
      <c r="L260" s="14">
        <v>2056.6950000000002</v>
      </c>
      <c r="M260" s="14">
        <v>20536100</v>
      </c>
      <c r="N260" s="14">
        <v>24057256</v>
      </c>
      <c r="O260" s="14">
        <f t="shared" si="20"/>
        <v>-3521156</v>
      </c>
      <c r="P260" s="14"/>
      <c r="Q260" s="14"/>
      <c r="R260" s="402" t="s">
        <v>996</v>
      </c>
      <c r="S260" s="402"/>
      <c r="T260" s="402" t="s">
        <v>66</v>
      </c>
      <c r="U260" s="402" t="s">
        <v>69</v>
      </c>
      <c r="AB260" s="252"/>
    </row>
    <row r="261" spans="1:28" s="26" customFormat="1" hidden="1">
      <c r="A261" s="402" t="s">
        <v>521</v>
      </c>
      <c r="B261" s="53" t="s">
        <v>20</v>
      </c>
      <c r="C261" s="53" t="s">
        <v>278</v>
      </c>
      <c r="D261" s="14" t="s">
        <v>147</v>
      </c>
      <c r="E261" s="45"/>
      <c r="F261" s="14"/>
      <c r="G261" s="14"/>
      <c r="H261" s="14"/>
      <c r="I261" s="28"/>
      <c r="J261" s="40">
        <v>38384</v>
      </c>
      <c r="K261" s="14">
        <v>87565</v>
      </c>
      <c r="L261" s="14">
        <v>2115</v>
      </c>
      <c r="M261" s="14">
        <v>184917592</v>
      </c>
      <c r="N261" s="14">
        <v>210657365</v>
      </c>
      <c r="O261" s="14">
        <f t="shared" si="20"/>
        <v>-25739773</v>
      </c>
      <c r="P261" s="14"/>
      <c r="Q261" s="14"/>
      <c r="R261" s="402" t="s">
        <v>996</v>
      </c>
      <c r="S261" s="402"/>
      <c r="T261" s="402" t="s">
        <v>66</v>
      </c>
      <c r="U261" s="402" t="s">
        <v>69</v>
      </c>
      <c r="AB261" s="252"/>
    </row>
    <row r="262" spans="1:28" s="26" customFormat="1" hidden="1">
      <c r="A262" s="402" t="s">
        <v>521</v>
      </c>
      <c r="B262" s="53" t="s">
        <v>20</v>
      </c>
      <c r="C262" s="53" t="s">
        <v>278</v>
      </c>
      <c r="D262" s="14" t="s">
        <v>147</v>
      </c>
      <c r="E262" s="45"/>
      <c r="F262" s="14"/>
      <c r="G262" s="14"/>
      <c r="H262" s="14"/>
      <c r="I262" s="28"/>
      <c r="J262" s="40">
        <v>38384</v>
      </c>
      <c r="K262" s="14">
        <v>12435</v>
      </c>
      <c r="L262" s="14">
        <v>2207</v>
      </c>
      <c r="M262" s="14">
        <v>27315540</v>
      </c>
      <c r="N262" s="14">
        <f t="shared" ref="N262:N267" si="21">+K262*640</f>
        <v>7958400</v>
      </c>
      <c r="O262" s="14">
        <f t="shared" si="20"/>
        <v>19357140</v>
      </c>
      <c r="P262" s="14"/>
      <c r="Q262" s="14"/>
      <c r="R262" s="402" t="s">
        <v>996</v>
      </c>
      <c r="S262" s="402"/>
      <c r="T262" s="402" t="s">
        <v>66</v>
      </c>
      <c r="U262" s="402" t="s">
        <v>69</v>
      </c>
      <c r="AB262" s="252"/>
    </row>
    <row r="263" spans="1:28" s="26" customFormat="1" hidden="1">
      <c r="A263" s="402" t="s">
        <v>521</v>
      </c>
      <c r="B263" s="53" t="s">
        <v>20</v>
      </c>
      <c r="C263" s="53" t="s">
        <v>278</v>
      </c>
      <c r="D263" s="14" t="s">
        <v>147</v>
      </c>
      <c r="E263" s="45"/>
      <c r="F263" s="14"/>
      <c r="G263" s="14"/>
      <c r="H263" s="14"/>
      <c r="I263" s="28"/>
      <c r="J263" s="40">
        <v>38397</v>
      </c>
      <c r="K263" s="14">
        <v>50000</v>
      </c>
      <c r="L263" s="14">
        <v>3187.7440000000001</v>
      </c>
      <c r="M263" s="14">
        <v>158669958</v>
      </c>
      <c r="N263" s="14">
        <f t="shared" si="21"/>
        <v>32000000</v>
      </c>
      <c r="O263" s="14">
        <f t="shared" si="20"/>
        <v>126669958</v>
      </c>
      <c r="P263" s="14"/>
      <c r="Q263" s="14"/>
      <c r="R263" s="402" t="s">
        <v>996</v>
      </c>
      <c r="S263" s="402"/>
      <c r="T263" s="402" t="s">
        <v>66</v>
      </c>
      <c r="U263" s="402" t="s">
        <v>69</v>
      </c>
      <c r="AB263" s="252"/>
    </row>
    <row r="264" spans="1:28" hidden="1">
      <c r="A264" s="402" t="s">
        <v>521</v>
      </c>
      <c r="B264" s="53" t="s">
        <v>20</v>
      </c>
      <c r="C264" s="53" t="s">
        <v>278</v>
      </c>
      <c r="D264" s="14" t="s">
        <v>147</v>
      </c>
      <c r="E264" s="45"/>
      <c r="F264" s="14"/>
      <c r="G264" s="14"/>
      <c r="H264" s="14"/>
      <c r="I264" s="28"/>
      <c r="J264" s="40">
        <v>38399</v>
      </c>
      <c r="K264" s="14">
        <v>20010</v>
      </c>
      <c r="L264" s="14">
        <v>3067.3988005997003</v>
      </c>
      <c r="M264" s="14">
        <v>61102454</v>
      </c>
      <c r="N264" s="14">
        <f t="shared" si="21"/>
        <v>12806400</v>
      </c>
      <c r="O264" s="14">
        <f t="shared" si="20"/>
        <v>48296054</v>
      </c>
      <c r="P264" s="14"/>
      <c r="Q264" s="14"/>
      <c r="R264" s="402" t="s">
        <v>996</v>
      </c>
      <c r="S264" s="402"/>
      <c r="T264" s="402" t="s">
        <v>66</v>
      </c>
      <c r="U264" s="402" t="s">
        <v>69</v>
      </c>
      <c r="V264" s="26"/>
      <c r="W264" s="26"/>
      <c r="X264" s="26"/>
      <c r="Y264" s="26"/>
    </row>
    <row r="265" spans="1:28" s="26" customFormat="1" hidden="1">
      <c r="A265" s="402" t="s">
        <v>521</v>
      </c>
      <c r="B265" s="53" t="s">
        <v>20</v>
      </c>
      <c r="C265" s="53" t="s">
        <v>278</v>
      </c>
      <c r="D265" s="14" t="s">
        <v>147</v>
      </c>
      <c r="E265" s="45"/>
      <c r="F265" s="14"/>
      <c r="G265" s="14"/>
      <c r="H265" s="14"/>
      <c r="I265" s="28"/>
      <c r="J265" s="40">
        <v>38400</v>
      </c>
      <c r="K265" s="14">
        <v>4920</v>
      </c>
      <c r="L265" s="14">
        <v>3013.7398373983738</v>
      </c>
      <c r="M265" s="14">
        <v>14760878</v>
      </c>
      <c r="N265" s="14">
        <f t="shared" si="21"/>
        <v>3148800</v>
      </c>
      <c r="O265" s="14">
        <f t="shared" si="20"/>
        <v>11612078</v>
      </c>
      <c r="P265" s="14"/>
      <c r="Q265" s="14"/>
      <c r="R265" s="402" t="s">
        <v>996</v>
      </c>
      <c r="S265" s="402"/>
      <c r="T265" s="402" t="s">
        <v>66</v>
      </c>
      <c r="U265" s="402" t="s">
        <v>69</v>
      </c>
      <c r="AB265" s="252"/>
    </row>
    <row r="266" spans="1:28" s="26" customFormat="1" hidden="1">
      <c r="A266" s="402" t="s">
        <v>521</v>
      </c>
      <c r="B266" s="53" t="s">
        <v>20</v>
      </c>
      <c r="C266" s="53" t="s">
        <v>278</v>
      </c>
      <c r="D266" s="14" t="s">
        <v>147</v>
      </c>
      <c r="E266" s="45"/>
      <c r="F266" s="14"/>
      <c r="G266" s="14"/>
      <c r="H266" s="14"/>
      <c r="I266" s="28"/>
      <c r="J266" s="40">
        <v>38401</v>
      </c>
      <c r="K266" s="14">
        <v>50040</v>
      </c>
      <c r="L266" s="14">
        <v>3040.5035971223024</v>
      </c>
      <c r="M266" s="14">
        <v>151462140</v>
      </c>
      <c r="N266" s="14">
        <f t="shared" si="21"/>
        <v>32025600</v>
      </c>
      <c r="O266" s="14">
        <f t="shared" si="20"/>
        <v>119436540</v>
      </c>
      <c r="P266" s="14"/>
      <c r="Q266" s="14"/>
      <c r="R266" s="402" t="s">
        <v>996</v>
      </c>
      <c r="S266" s="402"/>
      <c r="T266" s="402" t="s">
        <v>66</v>
      </c>
      <c r="U266" s="402" t="s">
        <v>69</v>
      </c>
      <c r="AB266" s="252"/>
    </row>
    <row r="267" spans="1:28" s="26" customFormat="1" hidden="1">
      <c r="A267" s="402" t="s">
        <v>521</v>
      </c>
      <c r="B267" s="53" t="s">
        <v>20</v>
      </c>
      <c r="C267" s="53" t="s">
        <v>278</v>
      </c>
      <c r="D267" s="14" t="s">
        <v>147</v>
      </c>
      <c r="E267" s="45"/>
      <c r="F267" s="14"/>
      <c r="G267" s="14"/>
      <c r="H267" s="14"/>
      <c r="I267" s="28"/>
      <c r="J267" s="40">
        <v>38404</v>
      </c>
      <c r="K267" s="14">
        <v>112000</v>
      </c>
      <c r="L267" s="14">
        <v>3166.995982142857</v>
      </c>
      <c r="M267" s="14">
        <v>353107390</v>
      </c>
      <c r="N267" s="14">
        <f t="shared" si="21"/>
        <v>71680000</v>
      </c>
      <c r="O267" s="14">
        <f t="shared" si="20"/>
        <v>281427390</v>
      </c>
      <c r="P267" s="14"/>
      <c r="Q267" s="14"/>
      <c r="R267" s="402" t="s">
        <v>996</v>
      </c>
      <c r="S267" s="402"/>
      <c r="T267" s="402" t="s">
        <v>66</v>
      </c>
      <c r="U267" s="402" t="s">
        <v>69</v>
      </c>
      <c r="AB267" s="252"/>
    </row>
    <row r="268" spans="1:28" s="411" customFormat="1" hidden="1">
      <c r="A268" s="282" t="s">
        <v>893</v>
      </c>
      <c r="B268" s="81" t="s">
        <v>20</v>
      </c>
      <c r="C268" s="81" t="s">
        <v>850</v>
      </c>
      <c r="D268" s="73" t="s">
        <v>898</v>
      </c>
      <c r="E268" s="74">
        <v>37928</v>
      </c>
      <c r="F268" s="73">
        <v>15</v>
      </c>
      <c r="G268" s="73">
        <v>14000</v>
      </c>
      <c r="H268" s="73">
        <f>+F268*G268</f>
        <v>210000</v>
      </c>
      <c r="I268" s="75" t="s">
        <v>892</v>
      </c>
      <c r="J268" s="416"/>
      <c r="K268" s="73"/>
      <c r="L268" s="73"/>
      <c r="M268" s="73"/>
      <c r="N268" s="73"/>
      <c r="O268" s="303">
        <f t="shared" si="20"/>
        <v>0</v>
      </c>
      <c r="P268" s="73"/>
      <c r="Q268" s="73"/>
      <c r="R268" s="409" t="s">
        <v>18</v>
      </c>
      <c r="S268" s="409"/>
      <c r="T268" s="409" t="s">
        <v>846</v>
      </c>
      <c r="U268" s="409" t="s">
        <v>847</v>
      </c>
      <c r="AB268" s="587"/>
    </row>
    <row r="269" spans="1:28" s="411" customFormat="1" hidden="1">
      <c r="A269" s="282" t="s">
        <v>893</v>
      </c>
      <c r="B269" s="81" t="s">
        <v>20</v>
      </c>
      <c r="C269" s="81" t="s">
        <v>850</v>
      </c>
      <c r="D269" s="60" t="s">
        <v>898</v>
      </c>
      <c r="E269" s="82">
        <v>37986</v>
      </c>
      <c r="F269" s="60"/>
      <c r="G269" s="60"/>
      <c r="H269" s="60">
        <f>15*2000</f>
        <v>30000</v>
      </c>
      <c r="I269" s="83" t="s">
        <v>892</v>
      </c>
      <c r="J269" s="425">
        <v>38351</v>
      </c>
      <c r="K269" s="60">
        <v>15</v>
      </c>
      <c r="L269" s="60"/>
      <c r="M269" s="60">
        <v>52280</v>
      </c>
      <c r="N269" s="60">
        <v>240000</v>
      </c>
      <c r="O269" s="304">
        <f t="shared" si="20"/>
        <v>-187720</v>
      </c>
      <c r="P269" s="60"/>
      <c r="Q269" s="60"/>
      <c r="R269" s="412" t="s">
        <v>18</v>
      </c>
      <c r="S269" s="412"/>
      <c r="T269" s="412" t="s">
        <v>846</v>
      </c>
      <c r="U269" s="412" t="s">
        <v>847</v>
      </c>
      <c r="AB269" s="587"/>
    </row>
    <row r="270" spans="1:28" s="26" customFormat="1" hidden="1">
      <c r="A270" s="402" t="s">
        <v>893</v>
      </c>
      <c r="B270" s="53" t="s">
        <v>20</v>
      </c>
      <c r="C270" s="146" t="s">
        <v>278</v>
      </c>
      <c r="D270" s="147" t="s">
        <v>897</v>
      </c>
      <c r="E270" s="148">
        <v>38198</v>
      </c>
      <c r="F270" s="147">
        <v>40000</v>
      </c>
      <c r="G270" s="147">
        <v>25000</v>
      </c>
      <c r="H270" s="147">
        <v>1000000000</v>
      </c>
      <c r="I270" s="149" t="s">
        <v>892</v>
      </c>
      <c r="J270" s="43">
        <v>38352</v>
      </c>
      <c r="K270" s="15"/>
      <c r="L270" s="15"/>
      <c r="M270" s="15">
        <v>1000000000</v>
      </c>
      <c r="N270" s="15">
        <v>1000000000</v>
      </c>
      <c r="O270" s="15">
        <f t="shared" si="20"/>
        <v>0</v>
      </c>
      <c r="P270" s="15"/>
      <c r="Q270" s="15"/>
      <c r="R270" s="405" t="s">
        <v>18</v>
      </c>
      <c r="S270" s="405"/>
      <c r="T270" s="405" t="s">
        <v>846</v>
      </c>
      <c r="U270" s="405" t="s">
        <v>847</v>
      </c>
      <c r="V270" s="4"/>
      <c r="W270" s="4"/>
      <c r="X270" s="4"/>
      <c r="Y270" s="4"/>
      <c r="AB270" s="252"/>
    </row>
    <row r="271" spans="1:28" s="26" customFormat="1" hidden="1">
      <c r="A271" s="402" t="s">
        <v>521</v>
      </c>
      <c r="B271" s="53" t="s">
        <v>20</v>
      </c>
      <c r="C271" s="53" t="s">
        <v>324</v>
      </c>
      <c r="D271" s="20" t="s">
        <v>151</v>
      </c>
      <c r="E271" s="44">
        <v>36909</v>
      </c>
      <c r="F271" s="20">
        <v>10000</v>
      </c>
      <c r="G271" s="20">
        <v>50000</v>
      </c>
      <c r="H271" s="20">
        <f>+F271*G271</f>
        <v>500000000</v>
      </c>
      <c r="I271" s="22" t="s">
        <v>82</v>
      </c>
      <c r="J271" s="38">
        <v>37266</v>
      </c>
      <c r="K271" s="20"/>
      <c r="L271" s="20"/>
      <c r="M271" s="20">
        <f>250000000+40000000</f>
        <v>290000000</v>
      </c>
      <c r="N271" s="20">
        <v>250000000</v>
      </c>
      <c r="O271" s="24">
        <f t="shared" si="20"/>
        <v>40000000</v>
      </c>
      <c r="P271" s="20"/>
      <c r="Q271" s="20"/>
      <c r="R271" s="401" t="s">
        <v>983</v>
      </c>
      <c r="S271" s="401"/>
      <c r="T271" s="401" t="s">
        <v>61</v>
      </c>
      <c r="U271" s="401" t="s">
        <v>83</v>
      </c>
      <c r="AB271" s="252"/>
    </row>
    <row r="272" spans="1:28" s="26" customFormat="1" hidden="1">
      <c r="A272" s="402" t="s">
        <v>521</v>
      </c>
      <c r="B272" s="402" t="s">
        <v>20</v>
      </c>
      <c r="C272" s="403" t="s">
        <v>324</v>
      </c>
      <c r="D272" s="11" t="s">
        <v>151</v>
      </c>
      <c r="E272" s="46"/>
      <c r="F272" s="11"/>
      <c r="G272" s="11"/>
      <c r="H272" s="11"/>
      <c r="I272" s="33" t="s">
        <v>82</v>
      </c>
      <c r="J272" s="41">
        <v>37389</v>
      </c>
      <c r="K272" s="11"/>
      <c r="L272" s="11"/>
      <c r="M272" s="11">
        <f>250000000+8395060</f>
        <v>258395060</v>
      </c>
      <c r="N272" s="11">
        <v>250000000</v>
      </c>
      <c r="O272" s="35">
        <f t="shared" si="20"/>
        <v>8395060</v>
      </c>
      <c r="P272" s="11"/>
      <c r="Q272" s="11"/>
      <c r="R272" s="403" t="s">
        <v>994</v>
      </c>
      <c r="S272" s="403"/>
      <c r="T272" s="403" t="s">
        <v>61</v>
      </c>
      <c r="U272" s="403" t="s">
        <v>83</v>
      </c>
      <c r="AB272" s="252"/>
    </row>
    <row r="273" spans="1:28" s="26" customFormat="1" hidden="1">
      <c r="A273" s="36" t="s">
        <v>521</v>
      </c>
      <c r="B273" s="36" t="s">
        <v>532</v>
      </c>
      <c r="C273" s="139" t="s">
        <v>523</v>
      </c>
      <c r="D273" s="137"/>
      <c r="E273" s="157"/>
      <c r="F273" s="137"/>
      <c r="G273" s="137"/>
      <c r="H273" s="137">
        <f>SUM(H233:H272)</f>
        <v>10849647200</v>
      </c>
      <c r="I273" s="141"/>
      <c r="J273" s="145"/>
      <c r="K273" s="137"/>
      <c r="L273" s="137"/>
      <c r="M273" s="137">
        <f>SUM(M233:M272)</f>
        <v>13547735733</v>
      </c>
      <c r="N273" s="137">
        <f>SUM(N233:N272)</f>
        <v>10849647200</v>
      </c>
      <c r="O273" s="137">
        <f>SUM(O233:O272)</f>
        <v>2698088533</v>
      </c>
      <c r="P273" s="137">
        <f>SUM(P233:P272)</f>
        <v>0</v>
      </c>
      <c r="Q273" s="137"/>
      <c r="R273" s="139"/>
      <c r="S273" s="139"/>
      <c r="T273" s="139"/>
      <c r="U273" s="139"/>
      <c r="AB273" s="252"/>
    </row>
    <row r="274" spans="1:28" s="26" customFormat="1" hidden="1">
      <c r="A274" s="401" t="s">
        <v>893</v>
      </c>
      <c r="B274" s="404" t="s">
        <v>921</v>
      </c>
      <c r="C274" s="404" t="s">
        <v>850</v>
      </c>
      <c r="D274" s="20" t="s">
        <v>922</v>
      </c>
      <c r="E274" s="44">
        <v>36644</v>
      </c>
      <c r="F274" s="20">
        <v>2000</v>
      </c>
      <c r="G274" s="20">
        <v>5000</v>
      </c>
      <c r="H274" s="20">
        <f>+F274*G274</f>
        <v>10000000</v>
      </c>
      <c r="I274" s="22" t="s">
        <v>963</v>
      </c>
      <c r="J274" s="38">
        <v>37621</v>
      </c>
      <c r="K274" s="20"/>
      <c r="L274" s="20"/>
      <c r="M274" s="20">
        <v>0</v>
      </c>
      <c r="N274" s="20">
        <v>210000000</v>
      </c>
      <c r="O274" s="20">
        <f t="shared" ref="O274:O282" si="22">+M274-N274</f>
        <v>-210000000</v>
      </c>
      <c r="P274" s="20"/>
      <c r="Q274" s="20"/>
      <c r="R274" s="401" t="s">
        <v>848</v>
      </c>
      <c r="S274" s="401"/>
      <c r="T274" s="401" t="s">
        <v>856</v>
      </c>
      <c r="U274" s="401" t="s">
        <v>847</v>
      </c>
      <c r="AB274" s="252"/>
    </row>
    <row r="275" spans="1:28" s="26" customFormat="1" hidden="1">
      <c r="A275" s="402" t="s">
        <v>893</v>
      </c>
      <c r="B275" s="53" t="s">
        <v>269</v>
      </c>
      <c r="C275" s="53" t="s">
        <v>308</v>
      </c>
      <c r="D275" s="11" t="s">
        <v>922</v>
      </c>
      <c r="E275" s="46">
        <v>36634</v>
      </c>
      <c r="F275" s="11">
        <v>5000</v>
      </c>
      <c r="G275" s="11">
        <v>40000</v>
      </c>
      <c r="H275" s="11">
        <f>+F275*G275</f>
        <v>200000000</v>
      </c>
      <c r="I275" s="33" t="s">
        <v>969</v>
      </c>
      <c r="J275" s="41">
        <v>38988</v>
      </c>
      <c r="K275" s="11">
        <v>7000</v>
      </c>
      <c r="L275" s="11"/>
      <c r="M275" s="11">
        <v>1000</v>
      </c>
      <c r="N275" s="11">
        <v>0</v>
      </c>
      <c r="O275" s="35">
        <f t="shared" si="22"/>
        <v>1000</v>
      </c>
      <c r="P275" s="11">
        <f>+SUM(H274:H275)-SUM(N274:N275)</f>
        <v>0</v>
      </c>
      <c r="Q275" s="11"/>
      <c r="R275" s="403" t="s">
        <v>923</v>
      </c>
      <c r="S275" s="403"/>
      <c r="T275" s="403" t="s">
        <v>856</v>
      </c>
      <c r="U275" s="403" t="s">
        <v>847</v>
      </c>
      <c r="AB275" s="252"/>
    </row>
    <row r="276" spans="1:28" hidden="1">
      <c r="A276" s="402" t="s">
        <v>893</v>
      </c>
      <c r="B276" s="53" t="s">
        <v>269</v>
      </c>
      <c r="C276" s="53" t="s">
        <v>850</v>
      </c>
      <c r="D276" s="20" t="s">
        <v>851</v>
      </c>
      <c r="E276" s="44">
        <v>36637</v>
      </c>
      <c r="F276" s="20">
        <v>1250</v>
      </c>
      <c r="G276" s="20">
        <v>100000</v>
      </c>
      <c r="H276" s="20">
        <f>+F276*G276</f>
        <v>125000000</v>
      </c>
      <c r="I276" s="28" t="s">
        <v>963</v>
      </c>
      <c r="J276" s="40">
        <v>37621</v>
      </c>
      <c r="K276" s="14"/>
      <c r="L276" s="14"/>
      <c r="M276" s="14">
        <v>0</v>
      </c>
      <c r="N276" s="14">
        <v>131250000</v>
      </c>
      <c r="O276" s="14">
        <f t="shared" si="22"/>
        <v>-131250000</v>
      </c>
      <c r="P276" s="14"/>
      <c r="Q276" s="14"/>
      <c r="R276" s="402" t="s">
        <v>848</v>
      </c>
      <c r="S276" s="402"/>
      <c r="T276" s="402" t="s">
        <v>846</v>
      </c>
      <c r="U276" s="402" t="s">
        <v>853</v>
      </c>
      <c r="V276" s="26"/>
      <c r="W276" s="26"/>
      <c r="X276" s="26"/>
      <c r="Y276" s="26"/>
    </row>
    <row r="277" spans="1:28" s="26" customFormat="1" hidden="1">
      <c r="A277" s="402" t="s">
        <v>893</v>
      </c>
      <c r="B277" s="53" t="s">
        <v>269</v>
      </c>
      <c r="C277" s="53" t="s">
        <v>850</v>
      </c>
      <c r="D277" s="14" t="s">
        <v>851</v>
      </c>
      <c r="E277" s="45">
        <v>36775</v>
      </c>
      <c r="F277" s="14">
        <v>1250</v>
      </c>
      <c r="G277" s="14">
        <v>5000</v>
      </c>
      <c r="H277" s="14">
        <f>+F277*G277</f>
        <v>6250000</v>
      </c>
      <c r="I277" s="28" t="s">
        <v>963</v>
      </c>
      <c r="J277" s="40">
        <v>38370</v>
      </c>
      <c r="K277" s="14"/>
      <c r="L277" s="14"/>
      <c r="M277" s="14">
        <v>0</v>
      </c>
      <c r="N277" s="14">
        <v>-10291350</v>
      </c>
      <c r="O277" s="14">
        <f t="shared" si="22"/>
        <v>10291350</v>
      </c>
      <c r="P277" s="14"/>
      <c r="Q277" s="14"/>
      <c r="R277" s="402" t="s">
        <v>924</v>
      </c>
      <c r="S277" s="402"/>
      <c r="T277" s="402" t="s">
        <v>846</v>
      </c>
      <c r="U277" s="402" t="s">
        <v>853</v>
      </c>
      <c r="AB277" s="252"/>
    </row>
    <row r="278" spans="1:28" s="26" customFormat="1" hidden="1">
      <c r="A278" s="402" t="s">
        <v>893</v>
      </c>
      <c r="B278" s="53" t="s">
        <v>269</v>
      </c>
      <c r="C278" s="53" t="s">
        <v>850</v>
      </c>
      <c r="D278" s="14" t="s">
        <v>851</v>
      </c>
      <c r="E278" s="45"/>
      <c r="F278" s="14"/>
      <c r="G278" s="14"/>
      <c r="H278" s="14"/>
      <c r="I278" s="28"/>
      <c r="J278" s="40">
        <v>38741</v>
      </c>
      <c r="K278" s="14">
        <f>6069+4855</f>
        <v>10924</v>
      </c>
      <c r="L278" s="14"/>
      <c r="M278" s="14">
        <f>6069000+6068750</f>
        <v>12137750</v>
      </c>
      <c r="N278" s="14">
        <v>10291350</v>
      </c>
      <c r="O278" s="14">
        <f t="shared" si="22"/>
        <v>1846400</v>
      </c>
      <c r="P278" s="210"/>
      <c r="Q278" s="14"/>
      <c r="R278" s="402" t="s">
        <v>972</v>
      </c>
      <c r="S278" s="402" t="s">
        <v>1013</v>
      </c>
      <c r="T278" s="402" t="s">
        <v>846</v>
      </c>
      <c r="U278" s="402" t="s">
        <v>853</v>
      </c>
      <c r="AB278" s="252"/>
    </row>
    <row r="279" spans="1:28" s="26" customFormat="1" hidden="1">
      <c r="A279" s="402" t="s">
        <v>893</v>
      </c>
      <c r="B279" s="53" t="s">
        <v>269</v>
      </c>
      <c r="C279" s="53" t="s">
        <v>304</v>
      </c>
      <c r="D279" s="14" t="s">
        <v>282</v>
      </c>
      <c r="E279" s="45"/>
      <c r="F279" s="14"/>
      <c r="G279" s="14"/>
      <c r="H279" s="14"/>
      <c r="I279" s="28"/>
      <c r="J279" s="40">
        <v>38988</v>
      </c>
      <c r="K279" s="14">
        <v>25186</v>
      </c>
      <c r="L279" s="14"/>
      <c r="M279" s="14">
        <v>31482500</v>
      </c>
      <c r="N279" s="14">
        <v>0</v>
      </c>
      <c r="O279" s="14">
        <f t="shared" si="22"/>
        <v>31482500</v>
      </c>
      <c r="P279" s="14">
        <f>+SUM(H276:H279)-SUM(N276:N279)</f>
        <v>0</v>
      </c>
      <c r="Q279" s="14"/>
      <c r="R279" s="402" t="s">
        <v>923</v>
      </c>
      <c r="S279" s="402"/>
      <c r="T279" s="402" t="s">
        <v>846</v>
      </c>
      <c r="U279" s="402" t="s">
        <v>853</v>
      </c>
      <c r="AB279" s="252"/>
    </row>
    <row r="280" spans="1:28" s="26" customFormat="1" hidden="1">
      <c r="A280" s="402" t="s">
        <v>893</v>
      </c>
      <c r="B280" s="53" t="s">
        <v>269</v>
      </c>
      <c r="C280" s="53" t="s">
        <v>850</v>
      </c>
      <c r="D280" s="20" t="s">
        <v>925</v>
      </c>
      <c r="E280" s="44">
        <v>36701</v>
      </c>
      <c r="F280" s="20">
        <v>6945</v>
      </c>
      <c r="G280" s="20">
        <v>20000</v>
      </c>
      <c r="H280" s="20">
        <f>+F280*G280</f>
        <v>138900000</v>
      </c>
      <c r="I280" s="22" t="s">
        <v>963</v>
      </c>
      <c r="J280" s="38">
        <v>37621</v>
      </c>
      <c r="K280" s="20"/>
      <c r="L280" s="20"/>
      <c r="M280" s="20">
        <v>0</v>
      </c>
      <c r="N280" s="20">
        <v>416660000</v>
      </c>
      <c r="O280" s="20">
        <f t="shared" si="22"/>
        <v>-416660000</v>
      </c>
      <c r="P280" s="20"/>
      <c r="Q280" s="20"/>
      <c r="R280" s="401" t="s">
        <v>848</v>
      </c>
      <c r="S280" s="401"/>
      <c r="T280" s="401" t="s">
        <v>846</v>
      </c>
      <c r="U280" s="401" t="s">
        <v>854</v>
      </c>
      <c r="AB280" s="252"/>
    </row>
    <row r="281" spans="1:28" s="26" customFormat="1" hidden="1">
      <c r="A281" s="402" t="s">
        <v>893</v>
      </c>
      <c r="B281" s="53" t="s">
        <v>269</v>
      </c>
      <c r="C281" s="53" t="s">
        <v>308</v>
      </c>
      <c r="D281" s="14" t="s">
        <v>925</v>
      </c>
      <c r="E281" s="45">
        <v>36701</v>
      </c>
      <c r="F281" s="14">
        <v>6944</v>
      </c>
      <c r="G281" s="14">
        <v>40000</v>
      </c>
      <c r="H281" s="14">
        <f>+F281*G281</f>
        <v>277760000</v>
      </c>
      <c r="I281" s="28" t="s">
        <v>969</v>
      </c>
      <c r="J281" s="40">
        <v>38988</v>
      </c>
      <c r="K281" s="14">
        <v>13889</v>
      </c>
      <c r="L281" s="14"/>
      <c r="M281" s="14">
        <v>1000</v>
      </c>
      <c r="N281" s="14">
        <v>0</v>
      </c>
      <c r="O281" s="30">
        <f t="shared" si="22"/>
        <v>1000</v>
      </c>
      <c r="P281" s="11">
        <f>+SUM(H280:H281)-SUM(N280:N281)</f>
        <v>0</v>
      </c>
      <c r="Q281" s="14"/>
      <c r="R281" s="402" t="s">
        <v>923</v>
      </c>
      <c r="S281" s="402"/>
      <c r="T281" s="402" t="s">
        <v>846</v>
      </c>
      <c r="U281" s="402" t="s">
        <v>854</v>
      </c>
      <c r="AB281" s="252"/>
    </row>
    <row r="282" spans="1:28" hidden="1">
      <c r="A282" s="31" t="s">
        <v>521</v>
      </c>
      <c r="B282" s="53" t="s">
        <v>269</v>
      </c>
      <c r="C282" s="53" t="s">
        <v>308</v>
      </c>
      <c r="D282" s="20" t="s">
        <v>154</v>
      </c>
      <c r="E282" s="44">
        <v>36619</v>
      </c>
      <c r="F282" s="20">
        <v>8333</v>
      </c>
      <c r="G282" s="20">
        <v>35000</v>
      </c>
      <c r="H282" s="20">
        <f>+F282*G282</f>
        <v>291655000</v>
      </c>
      <c r="I282" s="22" t="s">
        <v>969</v>
      </c>
      <c r="J282" s="38">
        <v>37621</v>
      </c>
      <c r="K282" s="20"/>
      <c r="L282" s="20"/>
      <c r="M282" s="20">
        <v>0</v>
      </c>
      <c r="N282" s="20">
        <v>259963777</v>
      </c>
      <c r="O282" s="24">
        <f t="shared" si="22"/>
        <v>-259963777</v>
      </c>
      <c r="P282" s="20"/>
      <c r="Q282" s="20"/>
      <c r="R282" s="25" t="s">
        <v>60</v>
      </c>
      <c r="S282" s="401"/>
      <c r="T282" s="25" t="s">
        <v>61</v>
      </c>
      <c r="U282" s="25" t="s">
        <v>67</v>
      </c>
      <c r="V282" s="26"/>
      <c r="W282" s="26"/>
      <c r="X282" s="26"/>
      <c r="Y282" s="26"/>
    </row>
    <row r="283" spans="1:28" s="26" customFormat="1" hidden="1">
      <c r="A283" s="31" t="s">
        <v>521</v>
      </c>
      <c r="B283" s="53" t="s">
        <v>269</v>
      </c>
      <c r="C283" s="53" t="s">
        <v>308</v>
      </c>
      <c r="D283" s="14" t="s">
        <v>154</v>
      </c>
      <c r="E283" s="45"/>
      <c r="F283" s="14"/>
      <c r="G283" s="14"/>
      <c r="H283" s="14"/>
      <c r="I283" s="28"/>
      <c r="J283" s="40">
        <v>37986</v>
      </c>
      <c r="K283" s="14"/>
      <c r="L283" s="14"/>
      <c r="M283" s="14">
        <v>0</v>
      </c>
      <c r="N283" s="14">
        <v>31691223</v>
      </c>
      <c r="O283" s="30">
        <f>+H283-N283</f>
        <v>-31691223</v>
      </c>
      <c r="P283" s="423"/>
      <c r="Q283" s="14"/>
      <c r="R283" s="31" t="s">
        <v>60</v>
      </c>
      <c r="S283" s="402"/>
      <c r="T283" s="31" t="s">
        <v>61</v>
      </c>
      <c r="U283" s="31" t="s">
        <v>67</v>
      </c>
      <c r="AB283" s="252"/>
    </row>
    <row r="284" spans="1:28" s="26" customFormat="1" hidden="1">
      <c r="A284" s="31" t="s">
        <v>521</v>
      </c>
      <c r="B284" s="53" t="s">
        <v>269</v>
      </c>
      <c r="C284" s="53" t="s">
        <v>308</v>
      </c>
      <c r="D284" s="11" t="s">
        <v>154</v>
      </c>
      <c r="E284" s="46"/>
      <c r="F284" s="11"/>
      <c r="G284" s="11"/>
      <c r="H284" s="11"/>
      <c r="I284" s="33"/>
      <c r="J284" s="41">
        <v>38960</v>
      </c>
      <c r="K284" s="11">
        <v>16666</v>
      </c>
      <c r="L284" s="11">
        <v>275</v>
      </c>
      <c r="M284" s="11">
        <v>4583150</v>
      </c>
      <c r="N284" s="11">
        <v>0</v>
      </c>
      <c r="O284" s="35">
        <f t="shared" ref="O284:O289" si="23">+M284-N284</f>
        <v>4583150</v>
      </c>
      <c r="P284" s="424">
        <f>+SUM(H282:H284)-SUM(N282:N284)</f>
        <v>0</v>
      </c>
      <c r="Q284" s="11"/>
      <c r="R284" s="403" t="s">
        <v>353</v>
      </c>
      <c r="S284" s="403" t="s">
        <v>1014</v>
      </c>
      <c r="T284" s="36" t="s">
        <v>9</v>
      </c>
      <c r="U284" s="36" t="s">
        <v>30</v>
      </c>
      <c r="AB284" s="252"/>
    </row>
    <row r="285" spans="1:28" s="26" customFormat="1" hidden="1">
      <c r="A285" s="31" t="s">
        <v>521</v>
      </c>
      <c r="B285" s="53" t="s">
        <v>269</v>
      </c>
      <c r="C285" s="53" t="s">
        <v>308</v>
      </c>
      <c r="D285" s="15" t="s">
        <v>155</v>
      </c>
      <c r="E285" s="42">
        <v>36706</v>
      </c>
      <c r="F285" s="15">
        <v>4167</v>
      </c>
      <c r="G285" s="15">
        <v>100000</v>
      </c>
      <c r="H285" s="15">
        <f>+F285*G285</f>
        <v>416700000</v>
      </c>
      <c r="I285" s="17" t="s">
        <v>969</v>
      </c>
      <c r="J285" s="43">
        <v>36728</v>
      </c>
      <c r="K285" s="15">
        <v>4167</v>
      </c>
      <c r="L285" s="15">
        <v>100000</v>
      </c>
      <c r="M285" s="15">
        <f>+K285*L285</f>
        <v>416700000</v>
      </c>
      <c r="N285" s="15">
        <f>+M285</f>
        <v>416700000</v>
      </c>
      <c r="O285" s="15">
        <f t="shared" si="23"/>
        <v>0</v>
      </c>
      <c r="P285" s="15">
        <f>+H285-N285</f>
        <v>0</v>
      </c>
      <c r="Q285" s="15"/>
      <c r="R285" s="405" t="s">
        <v>972</v>
      </c>
      <c r="S285" s="405" t="s">
        <v>1005</v>
      </c>
      <c r="T285" s="19" t="s">
        <v>61</v>
      </c>
      <c r="U285" s="19" t="s">
        <v>62</v>
      </c>
      <c r="V285" s="4"/>
      <c r="W285" s="4"/>
      <c r="X285" s="4"/>
      <c r="Y285" s="4"/>
      <c r="AB285" s="252"/>
    </row>
    <row r="286" spans="1:28" s="26" customFormat="1" hidden="1">
      <c r="A286" s="31" t="s">
        <v>521</v>
      </c>
      <c r="B286" s="53" t="s">
        <v>269</v>
      </c>
      <c r="C286" s="53" t="s">
        <v>309</v>
      </c>
      <c r="D286" s="15" t="s">
        <v>81</v>
      </c>
      <c r="E286" s="42">
        <v>36607</v>
      </c>
      <c r="F286" s="15"/>
      <c r="G286" s="15"/>
      <c r="H286" s="15">
        <v>2500000000</v>
      </c>
      <c r="I286" s="17" t="s">
        <v>82</v>
      </c>
      <c r="J286" s="43">
        <v>37337</v>
      </c>
      <c r="K286" s="15"/>
      <c r="L286" s="15"/>
      <c r="M286" s="15">
        <f>2500000000+256250000</f>
        <v>2756250000</v>
      </c>
      <c r="N286" s="15">
        <v>2500000000</v>
      </c>
      <c r="O286" s="15">
        <f t="shared" si="23"/>
        <v>256250000</v>
      </c>
      <c r="P286" s="15">
        <f>+H286-N286</f>
        <v>0</v>
      </c>
      <c r="Q286" s="15"/>
      <c r="R286" s="19" t="s">
        <v>64</v>
      </c>
      <c r="S286" s="405"/>
      <c r="T286" s="19" t="s">
        <v>61</v>
      </c>
      <c r="U286" s="19" t="s">
        <v>83</v>
      </c>
      <c r="V286" s="4"/>
      <c r="W286" s="4"/>
      <c r="X286" s="4"/>
      <c r="Y286" s="4"/>
      <c r="AB286" s="252"/>
    </row>
    <row r="287" spans="1:28" hidden="1">
      <c r="A287" s="31" t="s">
        <v>521</v>
      </c>
      <c r="B287" s="53" t="s">
        <v>269</v>
      </c>
      <c r="C287" s="53" t="s">
        <v>305</v>
      </c>
      <c r="D287" s="20" t="s">
        <v>156</v>
      </c>
      <c r="E287" s="44">
        <v>37350</v>
      </c>
      <c r="F287" s="20">
        <v>208152</v>
      </c>
      <c r="G287" s="20">
        <v>10500</v>
      </c>
      <c r="H287" s="20">
        <v>2185596000</v>
      </c>
      <c r="I287" s="22" t="s">
        <v>963</v>
      </c>
      <c r="J287" s="38">
        <v>37540</v>
      </c>
      <c r="K287" s="20">
        <v>129287</v>
      </c>
      <c r="L287" s="20"/>
      <c r="M287" s="20">
        <v>2130613623</v>
      </c>
      <c r="N287" s="20">
        <v>1357513500</v>
      </c>
      <c r="O287" s="20">
        <f t="shared" si="23"/>
        <v>773100123</v>
      </c>
      <c r="P287" s="20"/>
      <c r="Q287" s="20"/>
      <c r="R287" s="401" t="s">
        <v>972</v>
      </c>
      <c r="S287" s="401" t="s">
        <v>1006</v>
      </c>
      <c r="T287" s="25" t="s">
        <v>98</v>
      </c>
      <c r="U287" s="25" t="s">
        <v>67</v>
      </c>
      <c r="V287" s="26"/>
      <c r="W287" s="26"/>
      <c r="X287" s="26"/>
      <c r="Y287" s="26"/>
    </row>
    <row r="288" spans="1:28" hidden="1">
      <c r="A288" s="31" t="s">
        <v>521</v>
      </c>
      <c r="B288" s="53" t="s">
        <v>269</v>
      </c>
      <c r="C288" s="53" t="s">
        <v>305</v>
      </c>
      <c r="D288" s="11" t="str">
        <f>+D287</f>
        <v>CAP</v>
      </c>
      <c r="E288" s="46"/>
      <c r="F288" s="11"/>
      <c r="G288" s="11"/>
      <c r="H288" s="11"/>
      <c r="I288" s="33"/>
      <c r="J288" s="41">
        <v>38352</v>
      </c>
      <c r="K288" s="11"/>
      <c r="L288" s="11"/>
      <c r="M288" s="11">
        <v>0</v>
      </c>
      <c r="N288" s="11">
        <v>828082500</v>
      </c>
      <c r="O288" s="11">
        <f t="shared" si="23"/>
        <v>-828082500</v>
      </c>
      <c r="P288" s="14">
        <f>+SUM(H287:H288)-SUM(N287:N288)</f>
        <v>0</v>
      </c>
      <c r="Q288" s="11"/>
      <c r="R288" s="36" t="s">
        <v>60</v>
      </c>
      <c r="S288" s="403"/>
      <c r="T288" s="36" t="s">
        <v>98</v>
      </c>
      <c r="U288" s="36" t="s">
        <v>67</v>
      </c>
      <c r="V288" s="26"/>
      <c r="W288" s="26"/>
      <c r="X288" s="26"/>
      <c r="Y288" s="26"/>
    </row>
    <row r="289" spans="1:28" hidden="1">
      <c r="A289" s="31" t="s">
        <v>521</v>
      </c>
      <c r="B289" s="53" t="s">
        <v>269</v>
      </c>
      <c r="C289" s="53" t="s">
        <v>305</v>
      </c>
      <c r="D289" s="20" t="s">
        <v>138</v>
      </c>
      <c r="E289" s="44">
        <v>36798</v>
      </c>
      <c r="F289" s="20">
        <v>20000</v>
      </c>
      <c r="G289" s="20">
        <v>100000</v>
      </c>
      <c r="H289" s="20">
        <v>2000000000</v>
      </c>
      <c r="I289" s="22" t="s">
        <v>139</v>
      </c>
      <c r="J289" s="38">
        <v>37055</v>
      </c>
      <c r="K289" s="20">
        <v>5500</v>
      </c>
      <c r="L289" s="20">
        <v>100000</v>
      </c>
      <c r="M289" s="20">
        <f>+K289*L289</f>
        <v>550000000</v>
      </c>
      <c r="N289" s="20">
        <f>+M289</f>
        <v>550000000</v>
      </c>
      <c r="O289" s="20">
        <f t="shared" si="23"/>
        <v>0</v>
      </c>
      <c r="P289" s="20"/>
      <c r="Q289" s="20"/>
      <c r="R289" s="25" t="s">
        <v>64</v>
      </c>
      <c r="S289" s="401"/>
      <c r="T289" s="25" t="s">
        <v>66</v>
      </c>
      <c r="U289" s="25" t="s">
        <v>67</v>
      </c>
      <c r="V289" s="26"/>
      <c r="W289" s="26"/>
      <c r="X289" s="26"/>
      <c r="Y289" s="26"/>
    </row>
    <row r="290" spans="1:28" hidden="1">
      <c r="A290" s="402" t="s">
        <v>521</v>
      </c>
      <c r="B290" s="53" t="s">
        <v>269</v>
      </c>
      <c r="C290" s="53" t="s">
        <v>305</v>
      </c>
      <c r="D290" s="14" t="s">
        <v>138</v>
      </c>
      <c r="E290" s="45">
        <v>37256</v>
      </c>
      <c r="F290" s="14">
        <v>58000</v>
      </c>
      <c r="G290" s="14"/>
      <c r="H290" s="14"/>
      <c r="I290" s="28" t="s">
        <v>1004</v>
      </c>
      <c r="J290" s="40">
        <v>37326</v>
      </c>
      <c r="K290" s="14">
        <v>0</v>
      </c>
      <c r="L290" s="14">
        <v>0</v>
      </c>
      <c r="M290" s="14">
        <v>31740000</v>
      </c>
      <c r="N290" s="14">
        <v>0</v>
      </c>
      <c r="O290" s="14">
        <f>+M290-N290</f>
        <v>31740000</v>
      </c>
      <c r="P290" s="14"/>
      <c r="Q290" s="14"/>
      <c r="R290" s="402" t="s">
        <v>1002</v>
      </c>
      <c r="S290" s="402"/>
      <c r="T290" s="407" t="s">
        <v>1072</v>
      </c>
      <c r="U290" s="407" t="s">
        <v>1071</v>
      </c>
      <c r="V290" s="26"/>
      <c r="W290" s="26"/>
      <c r="X290" s="26"/>
      <c r="Y290" s="26"/>
    </row>
    <row r="291" spans="1:28" hidden="1">
      <c r="A291" s="31" t="s">
        <v>521</v>
      </c>
      <c r="B291" s="53" t="s">
        <v>269</v>
      </c>
      <c r="C291" s="53" t="s">
        <v>305</v>
      </c>
      <c r="D291" s="14" t="s">
        <v>138</v>
      </c>
      <c r="E291" s="45">
        <v>37314</v>
      </c>
      <c r="F291" s="14">
        <v>0</v>
      </c>
      <c r="G291" s="14">
        <v>1000</v>
      </c>
      <c r="H291" s="14">
        <v>72500000</v>
      </c>
      <c r="I291" s="28" t="s">
        <v>1010</v>
      </c>
      <c r="J291" s="40">
        <v>37886</v>
      </c>
      <c r="K291" s="14">
        <v>2000</v>
      </c>
      <c r="L291" s="14">
        <v>16025</v>
      </c>
      <c r="M291" s="14">
        <v>31905780</v>
      </c>
      <c r="N291" s="14">
        <f>+K291*21000</f>
        <v>42000000</v>
      </c>
      <c r="O291" s="14">
        <f t="shared" ref="O291:O306" si="24">+M291-N291</f>
        <v>-10094220</v>
      </c>
      <c r="P291" s="14"/>
      <c r="Q291" s="14"/>
      <c r="R291" s="31" t="s">
        <v>18</v>
      </c>
      <c r="S291" s="402"/>
      <c r="T291" s="31" t="s">
        <v>66</v>
      </c>
      <c r="U291" s="31" t="s">
        <v>67</v>
      </c>
      <c r="V291" s="26"/>
      <c r="W291" s="26"/>
      <c r="X291" s="26"/>
      <c r="Y291" s="26"/>
    </row>
    <row r="292" spans="1:28" s="26" customFormat="1" hidden="1">
      <c r="A292" s="31" t="s">
        <v>521</v>
      </c>
      <c r="B292" s="53" t="s">
        <v>269</v>
      </c>
      <c r="C292" s="53" t="s">
        <v>305</v>
      </c>
      <c r="D292" s="14" t="s">
        <v>138</v>
      </c>
      <c r="E292" s="45">
        <v>38341</v>
      </c>
      <c r="F292" s="14">
        <f>+H292/G292</f>
        <v>1520</v>
      </c>
      <c r="G292" s="14">
        <v>12100</v>
      </c>
      <c r="H292" s="14">
        <v>18392000</v>
      </c>
      <c r="I292" s="28" t="s">
        <v>963</v>
      </c>
      <c r="J292" s="40">
        <v>37887</v>
      </c>
      <c r="K292" s="14">
        <v>3035</v>
      </c>
      <c r="L292" s="14">
        <v>15487</v>
      </c>
      <c r="M292" s="14">
        <v>46790992</v>
      </c>
      <c r="N292" s="14">
        <f>+K292*21000</f>
        <v>63735000</v>
      </c>
      <c r="O292" s="14">
        <f t="shared" si="24"/>
        <v>-16944008</v>
      </c>
      <c r="P292" s="14"/>
      <c r="Q292" s="14"/>
      <c r="R292" s="31" t="s">
        <v>18</v>
      </c>
      <c r="S292" s="402"/>
      <c r="T292" s="31" t="s">
        <v>66</v>
      </c>
      <c r="U292" s="31" t="s">
        <v>67</v>
      </c>
      <c r="AB292" s="252"/>
    </row>
    <row r="293" spans="1:28" s="26" customFormat="1" hidden="1">
      <c r="A293" s="31" t="s">
        <v>521</v>
      </c>
      <c r="B293" s="53" t="s">
        <v>269</v>
      </c>
      <c r="C293" s="53" t="s">
        <v>305</v>
      </c>
      <c r="D293" s="14" t="s">
        <v>138</v>
      </c>
      <c r="E293" s="45"/>
      <c r="F293" s="14"/>
      <c r="G293" s="14"/>
      <c r="H293" s="14"/>
      <c r="I293" s="28"/>
      <c r="J293" s="40">
        <v>37888</v>
      </c>
      <c r="K293" s="14">
        <v>9965</v>
      </c>
      <c r="L293" s="14">
        <v>15643</v>
      </c>
      <c r="M293" s="14">
        <v>155181032</v>
      </c>
      <c r="N293" s="14">
        <f t="shared" ref="N293:N304" si="25">+K293*21000</f>
        <v>209265000</v>
      </c>
      <c r="O293" s="14">
        <f t="shared" si="24"/>
        <v>-54083968</v>
      </c>
      <c r="P293" s="14"/>
      <c r="Q293" s="14"/>
      <c r="R293" s="31" t="s">
        <v>18</v>
      </c>
      <c r="S293" s="402"/>
      <c r="T293" s="31" t="s">
        <v>66</v>
      </c>
      <c r="U293" s="31" t="s">
        <v>67</v>
      </c>
      <c r="AB293" s="252"/>
    </row>
    <row r="294" spans="1:28" hidden="1">
      <c r="A294" s="31" t="s">
        <v>521</v>
      </c>
      <c r="B294" s="53" t="s">
        <v>269</v>
      </c>
      <c r="C294" s="53" t="s">
        <v>305</v>
      </c>
      <c r="D294" s="14" t="s">
        <v>138</v>
      </c>
      <c r="E294" s="45"/>
      <c r="F294" s="14"/>
      <c r="G294" s="14"/>
      <c r="H294" s="14"/>
      <c r="I294" s="28"/>
      <c r="J294" s="40">
        <v>38033</v>
      </c>
      <c r="K294" s="14">
        <v>10012</v>
      </c>
      <c r="L294" s="14">
        <v>20312</v>
      </c>
      <c r="M294" s="14">
        <v>202455338</v>
      </c>
      <c r="N294" s="14">
        <f t="shared" si="25"/>
        <v>210252000</v>
      </c>
      <c r="O294" s="14">
        <f t="shared" si="24"/>
        <v>-7796662</v>
      </c>
      <c r="P294" s="14"/>
      <c r="Q294" s="14"/>
      <c r="R294" s="31" t="s">
        <v>18</v>
      </c>
      <c r="S294" s="402"/>
      <c r="T294" s="31" t="s">
        <v>66</v>
      </c>
      <c r="U294" s="31" t="s">
        <v>67</v>
      </c>
      <c r="V294" s="26"/>
      <c r="W294" s="26"/>
      <c r="X294" s="26"/>
      <c r="Y294" s="26"/>
    </row>
    <row r="295" spans="1:28" s="26" customFormat="1" hidden="1">
      <c r="A295" s="31" t="s">
        <v>521</v>
      </c>
      <c r="B295" s="53" t="s">
        <v>269</v>
      </c>
      <c r="C295" s="53" t="s">
        <v>305</v>
      </c>
      <c r="D295" s="14" t="s">
        <v>138</v>
      </c>
      <c r="E295" s="45"/>
      <c r="F295" s="14"/>
      <c r="G295" s="14"/>
      <c r="H295" s="14"/>
      <c r="I295" s="28"/>
      <c r="J295" s="40">
        <v>38034</v>
      </c>
      <c r="K295" s="14">
        <v>2988</v>
      </c>
      <c r="L295" s="14">
        <v>20274</v>
      </c>
      <c r="M295" s="14">
        <v>60308786</v>
      </c>
      <c r="N295" s="14">
        <f t="shared" si="25"/>
        <v>62748000</v>
      </c>
      <c r="O295" s="14">
        <f t="shared" si="24"/>
        <v>-2439214</v>
      </c>
      <c r="P295" s="14"/>
      <c r="Q295" s="14"/>
      <c r="R295" s="31" t="s">
        <v>18</v>
      </c>
      <c r="S295" s="402"/>
      <c r="T295" s="31" t="s">
        <v>66</v>
      </c>
      <c r="U295" s="31" t="s">
        <v>67</v>
      </c>
      <c r="AB295" s="252"/>
    </row>
    <row r="296" spans="1:28" s="26" customFormat="1" hidden="1">
      <c r="A296" s="31" t="s">
        <v>521</v>
      </c>
      <c r="B296" s="53" t="s">
        <v>269</v>
      </c>
      <c r="C296" s="53" t="s">
        <v>305</v>
      </c>
      <c r="D296" s="14" t="s">
        <v>138</v>
      </c>
      <c r="E296" s="45"/>
      <c r="F296" s="14"/>
      <c r="G296" s="14"/>
      <c r="H296" s="14"/>
      <c r="I296" s="28"/>
      <c r="J296" s="40">
        <v>38035</v>
      </c>
      <c r="K296" s="14">
        <v>4500</v>
      </c>
      <c r="L296" s="14">
        <v>20522</v>
      </c>
      <c r="M296" s="14">
        <v>91934430</v>
      </c>
      <c r="N296" s="14">
        <f t="shared" si="25"/>
        <v>94500000</v>
      </c>
      <c r="O296" s="14">
        <f t="shared" si="24"/>
        <v>-2565570</v>
      </c>
      <c r="P296" s="14"/>
      <c r="Q296" s="14"/>
      <c r="R296" s="31" t="s">
        <v>18</v>
      </c>
      <c r="S296" s="402"/>
      <c r="T296" s="31" t="s">
        <v>66</v>
      </c>
      <c r="U296" s="31" t="s">
        <v>67</v>
      </c>
      <c r="AB296" s="252"/>
    </row>
    <row r="297" spans="1:28" s="26" customFormat="1" hidden="1">
      <c r="A297" s="31" t="s">
        <v>521</v>
      </c>
      <c r="B297" s="53" t="s">
        <v>269</v>
      </c>
      <c r="C297" s="53" t="s">
        <v>305</v>
      </c>
      <c r="D297" s="14" t="s">
        <v>138</v>
      </c>
      <c r="E297" s="45"/>
      <c r="F297" s="14"/>
      <c r="G297" s="14"/>
      <c r="H297" s="14"/>
      <c r="I297" s="28"/>
      <c r="J297" s="40">
        <v>38036</v>
      </c>
      <c r="K297" s="14">
        <v>17000</v>
      </c>
      <c r="L297" s="14">
        <v>20421</v>
      </c>
      <c r="M297" s="14">
        <v>345602366</v>
      </c>
      <c r="N297" s="14">
        <f t="shared" si="25"/>
        <v>357000000</v>
      </c>
      <c r="O297" s="14">
        <f t="shared" si="24"/>
        <v>-11397634</v>
      </c>
      <c r="P297" s="14"/>
      <c r="Q297" s="14"/>
      <c r="R297" s="31" t="s">
        <v>18</v>
      </c>
      <c r="S297" s="402"/>
      <c r="T297" s="407" t="s">
        <v>6</v>
      </c>
      <c r="U297" s="407" t="s">
        <v>30</v>
      </c>
      <c r="AB297" s="252"/>
    </row>
    <row r="298" spans="1:28" s="26" customFormat="1" hidden="1">
      <c r="A298" s="31" t="s">
        <v>521</v>
      </c>
      <c r="B298" s="53" t="s">
        <v>269</v>
      </c>
      <c r="C298" s="53" t="s">
        <v>305</v>
      </c>
      <c r="D298" s="14" t="s">
        <v>138</v>
      </c>
      <c r="E298" s="45"/>
      <c r="F298" s="14"/>
      <c r="G298" s="14"/>
      <c r="H298" s="14"/>
      <c r="I298" s="28"/>
      <c r="J298" s="40">
        <v>38037</v>
      </c>
      <c r="K298" s="14">
        <v>10768</v>
      </c>
      <c r="L298" s="14">
        <v>20980</v>
      </c>
      <c r="M298" s="14">
        <v>224895005</v>
      </c>
      <c r="N298" s="14">
        <f t="shared" si="25"/>
        <v>226128000</v>
      </c>
      <c r="O298" s="14">
        <f t="shared" si="24"/>
        <v>-1232995</v>
      </c>
      <c r="P298" s="14"/>
      <c r="Q298" s="14"/>
      <c r="R298" s="31" t="s">
        <v>18</v>
      </c>
      <c r="S298" s="402"/>
      <c r="T298" s="407" t="s">
        <v>6</v>
      </c>
      <c r="U298" s="407" t="s">
        <v>30</v>
      </c>
      <c r="AB298" s="252"/>
    </row>
    <row r="299" spans="1:28" s="26" customFormat="1" hidden="1">
      <c r="A299" s="402" t="s">
        <v>521</v>
      </c>
      <c r="B299" s="53" t="s">
        <v>269</v>
      </c>
      <c r="C299" s="53" t="s">
        <v>305</v>
      </c>
      <c r="D299" s="14" t="s">
        <v>138</v>
      </c>
      <c r="E299" s="45"/>
      <c r="F299" s="14"/>
      <c r="G299" s="14"/>
      <c r="H299" s="14"/>
      <c r="I299" s="28"/>
      <c r="J299" s="40">
        <v>38086</v>
      </c>
      <c r="K299" s="14">
        <v>0</v>
      </c>
      <c r="L299" s="14">
        <v>0</v>
      </c>
      <c r="M299" s="14">
        <v>14375000</v>
      </c>
      <c r="N299" s="14">
        <v>0</v>
      </c>
      <c r="O299" s="14">
        <f t="shared" si="24"/>
        <v>14375000</v>
      </c>
      <c r="P299" s="14"/>
      <c r="Q299" s="14"/>
      <c r="R299" s="402" t="s">
        <v>1003</v>
      </c>
      <c r="S299" s="402"/>
      <c r="T299" s="407" t="s">
        <v>6</v>
      </c>
      <c r="U299" s="407" t="s">
        <v>30</v>
      </c>
      <c r="AB299" s="252"/>
    </row>
    <row r="300" spans="1:28" s="26" customFormat="1" hidden="1">
      <c r="A300" s="31" t="s">
        <v>521</v>
      </c>
      <c r="B300" s="53" t="s">
        <v>269</v>
      </c>
      <c r="C300" s="53" t="s">
        <v>305</v>
      </c>
      <c r="D300" s="14" t="s">
        <v>138</v>
      </c>
      <c r="E300" s="45"/>
      <c r="F300" s="14"/>
      <c r="G300" s="14"/>
      <c r="H300" s="14"/>
      <c r="I300" s="28"/>
      <c r="J300" s="40">
        <v>38246</v>
      </c>
      <c r="K300" s="14">
        <v>2230</v>
      </c>
      <c r="L300" s="14">
        <v>18283</v>
      </c>
      <c r="M300" s="14">
        <v>40587038</v>
      </c>
      <c r="N300" s="14">
        <f t="shared" si="25"/>
        <v>46830000</v>
      </c>
      <c r="O300" s="14">
        <f t="shared" si="24"/>
        <v>-6242962</v>
      </c>
      <c r="P300" s="14"/>
      <c r="Q300" s="14"/>
      <c r="R300" s="31" t="s">
        <v>18</v>
      </c>
      <c r="S300" s="402"/>
      <c r="T300" s="407" t="s">
        <v>6</v>
      </c>
      <c r="U300" s="407" t="s">
        <v>30</v>
      </c>
      <c r="AB300" s="252"/>
    </row>
    <row r="301" spans="1:28" s="26" customFormat="1" hidden="1">
      <c r="A301" s="31" t="s">
        <v>521</v>
      </c>
      <c r="B301" s="53" t="s">
        <v>269</v>
      </c>
      <c r="C301" s="53" t="s">
        <v>305</v>
      </c>
      <c r="D301" s="14" t="s">
        <v>138</v>
      </c>
      <c r="E301" s="45"/>
      <c r="F301" s="14"/>
      <c r="G301" s="14"/>
      <c r="H301" s="14"/>
      <c r="I301" s="28"/>
      <c r="J301" s="40">
        <v>38316</v>
      </c>
      <c r="K301" s="14">
        <v>2212</v>
      </c>
      <c r="L301" s="14">
        <v>18201</v>
      </c>
      <c r="M301" s="14">
        <v>40080226</v>
      </c>
      <c r="N301" s="14">
        <f t="shared" si="25"/>
        <v>46452000</v>
      </c>
      <c r="O301" s="14">
        <f t="shared" si="24"/>
        <v>-6371774</v>
      </c>
      <c r="P301" s="14"/>
      <c r="Q301" s="14"/>
      <c r="R301" s="31" t="s">
        <v>18</v>
      </c>
      <c r="S301" s="402"/>
      <c r="T301" s="407" t="s">
        <v>6</v>
      </c>
      <c r="U301" s="407" t="s">
        <v>30</v>
      </c>
      <c r="AB301" s="252"/>
    </row>
    <row r="302" spans="1:28" s="26" customFormat="1" hidden="1">
      <c r="A302" s="31" t="s">
        <v>521</v>
      </c>
      <c r="B302" s="53" t="s">
        <v>269</v>
      </c>
      <c r="C302" s="53" t="s">
        <v>305</v>
      </c>
      <c r="D302" s="14" t="s">
        <v>138</v>
      </c>
      <c r="E302" s="45"/>
      <c r="F302" s="14"/>
      <c r="G302" s="14"/>
      <c r="H302" s="14"/>
      <c r="I302" s="28"/>
      <c r="J302" s="40">
        <v>38323</v>
      </c>
      <c r="K302" s="14">
        <v>4790</v>
      </c>
      <c r="L302" s="14">
        <v>18984</v>
      </c>
      <c r="M302" s="14">
        <v>90524299</v>
      </c>
      <c r="N302" s="14">
        <f t="shared" si="25"/>
        <v>100590000</v>
      </c>
      <c r="O302" s="14">
        <f t="shared" si="24"/>
        <v>-10065701</v>
      </c>
      <c r="P302" s="14"/>
      <c r="Q302" s="14"/>
      <c r="R302" s="31" t="s">
        <v>18</v>
      </c>
      <c r="S302" s="402"/>
      <c r="T302" s="407" t="s">
        <v>6</v>
      </c>
      <c r="U302" s="407" t="s">
        <v>30</v>
      </c>
      <c r="AB302" s="252"/>
    </row>
    <row r="303" spans="1:28" s="26" customFormat="1" hidden="1">
      <c r="A303" s="31" t="s">
        <v>521</v>
      </c>
      <c r="B303" s="53" t="s">
        <v>269</v>
      </c>
      <c r="C303" s="53" t="s">
        <v>305</v>
      </c>
      <c r="D303" s="14" t="s">
        <v>138</v>
      </c>
      <c r="E303" s="45"/>
      <c r="F303" s="14"/>
      <c r="G303" s="14"/>
      <c r="H303" s="14"/>
      <c r="I303" s="28"/>
      <c r="J303" s="40">
        <v>38324</v>
      </c>
      <c r="K303" s="14">
        <v>1000</v>
      </c>
      <c r="L303" s="14">
        <v>19625</v>
      </c>
      <c r="M303" s="14">
        <v>19536695</v>
      </c>
      <c r="N303" s="14">
        <f t="shared" si="25"/>
        <v>21000000</v>
      </c>
      <c r="O303" s="14">
        <f t="shared" si="24"/>
        <v>-1463305</v>
      </c>
      <c r="P303" s="14"/>
      <c r="Q303" s="14"/>
      <c r="R303" s="31" t="s">
        <v>18</v>
      </c>
      <c r="S303" s="402"/>
      <c r="T303" s="407" t="s">
        <v>6</v>
      </c>
      <c r="U303" s="407" t="s">
        <v>30</v>
      </c>
      <c r="AB303" s="252"/>
    </row>
    <row r="304" spans="1:28" hidden="1">
      <c r="A304" s="31" t="s">
        <v>521</v>
      </c>
      <c r="B304" s="53" t="s">
        <v>269</v>
      </c>
      <c r="C304" s="53" t="s">
        <v>305</v>
      </c>
      <c r="D304" s="14" t="s">
        <v>138</v>
      </c>
      <c r="E304" s="45"/>
      <c r="F304" s="14"/>
      <c r="G304" s="14"/>
      <c r="H304" s="14"/>
      <c r="I304" s="28"/>
      <c r="J304" s="40">
        <v>38330</v>
      </c>
      <c r="K304" s="14">
        <v>2000</v>
      </c>
      <c r="L304" s="14">
        <v>19113</v>
      </c>
      <c r="M304" s="14">
        <v>38052995</v>
      </c>
      <c r="N304" s="14">
        <f t="shared" si="25"/>
        <v>42000000</v>
      </c>
      <c r="O304" s="14">
        <f t="shared" si="24"/>
        <v>-3947005</v>
      </c>
      <c r="P304" s="14"/>
      <c r="Q304" s="14"/>
      <c r="R304" s="31" t="s">
        <v>18</v>
      </c>
      <c r="S304" s="402"/>
      <c r="T304" s="407" t="s">
        <v>6</v>
      </c>
      <c r="U304" s="407" t="s">
        <v>30</v>
      </c>
      <c r="V304" s="26"/>
      <c r="W304" s="26"/>
      <c r="X304" s="26"/>
      <c r="Y304" s="26"/>
    </row>
    <row r="305" spans="1:28" hidden="1">
      <c r="A305" s="402" t="s">
        <v>521</v>
      </c>
      <c r="B305" s="53" t="s">
        <v>269</v>
      </c>
      <c r="C305" s="53" t="s">
        <v>305</v>
      </c>
      <c r="D305" s="14" t="s">
        <v>138</v>
      </c>
      <c r="E305" s="45"/>
      <c r="F305" s="14"/>
      <c r="G305" s="14"/>
      <c r="H305" s="14"/>
      <c r="I305" s="28"/>
      <c r="J305" s="40">
        <v>38464</v>
      </c>
      <c r="K305" s="14">
        <v>0</v>
      </c>
      <c r="L305" s="14">
        <v>0</v>
      </c>
      <c r="M305" s="14">
        <v>304000</v>
      </c>
      <c r="N305" s="14">
        <v>0</v>
      </c>
      <c r="O305" s="14">
        <f t="shared" si="24"/>
        <v>304000</v>
      </c>
      <c r="P305" s="14"/>
      <c r="Q305" s="14"/>
      <c r="R305" s="402" t="s">
        <v>1003</v>
      </c>
      <c r="S305" s="402"/>
      <c r="T305" s="407" t="s">
        <v>6</v>
      </c>
      <c r="U305" s="407" t="s">
        <v>30</v>
      </c>
      <c r="V305" s="26"/>
      <c r="W305" s="26"/>
      <c r="X305" s="26"/>
      <c r="Y305" s="26"/>
    </row>
    <row r="306" spans="1:28" hidden="1">
      <c r="A306" s="31" t="s">
        <v>521</v>
      </c>
      <c r="B306" s="53" t="s">
        <v>269</v>
      </c>
      <c r="C306" s="53" t="s">
        <v>305</v>
      </c>
      <c r="D306" s="11" t="s">
        <v>138</v>
      </c>
      <c r="E306" s="46"/>
      <c r="F306" s="11"/>
      <c r="G306" s="11"/>
      <c r="H306" s="11"/>
      <c r="I306" s="28"/>
      <c r="J306" s="41">
        <v>38370</v>
      </c>
      <c r="K306" s="11">
        <v>1520</v>
      </c>
      <c r="L306" s="11">
        <v>17700</v>
      </c>
      <c r="M306" s="11">
        <v>26782938</v>
      </c>
      <c r="N306" s="11">
        <v>18392000</v>
      </c>
      <c r="O306" s="11">
        <f t="shared" si="24"/>
        <v>8390938</v>
      </c>
      <c r="P306" s="14">
        <f>+SUM(H289:H306)-SUM(N289:N306)</f>
        <v>0</v>
      </c>
      <c r="Q306" s="11"/>
      <c r="R306" s="36" t="s">
        <v>18</v>
      </c>
      <c r="S306" s="403"/>
      <c r="T306" s="36" t="s">
        <v>66</v>
      </c>
      <c r="U306" s="36" t="s">
        <v>67</v>
      </c>
      <c r="V306" s="26"/>
      <c r="W306" s="26"/>
      <c r="X306" s="26"/>
      <c r="Y306" s="26"/>
    </row>
    <row r="307" spans="1:28" s="26" customFormat="1" hidden="1">
      <c r="A307" s="31" t="s">
        <v>521</v>
      </c>
      <c r="B307" s="53" t="s">
        <v>269</v>
      </c>
      <c r="C307" s="53" t="s">
        <v>278</v>
      </c>
      <c r="D307" s="20" t="s">
        <v>157</v>
      </c>
      <c r="E307" s="44">
        <v>37623</v>
      </c>
      <c r="F307" s="20">
        <v>19843</v>
      </c>
      <c r="G307" s="20">
        <v>1050</v>
      </c>
      <c r="H307" s="20">
        <f>+F307*G307</f>
        <v>20835150</v>
      </c>
      <c r="I307" s="22" t="s">
        <v>963</v>
      </c>
      <c r="J307" s="38">
        <v>38352</v>
      </c>
      <c r="K307" s="20"/>
      <c r="L307" s="20"/>
      <c r="M307" s="20">
        <v>0</v>
      </c>
      <c r="N307" s="20">
        <v>20835150</v>
      </c>
      <c r="O307" s="20">
        <f t="shared" ref="O307:O312" si="26">+M307-N307</f>
        <v>-20835150</v>
      </c>
      <c r="P307" s="20"/>
      <c r="Q307" s="20"/>
      <c r="R307" s="25" t="s">
        <v>60</v>
      </c>
      <c r="S307" s="401"/>
      <c r="T307" s="25" t="s">
        <v>61</v>
      </c>
      <c r="U307" s="25" t="s">
        <v>96</v>
      </c>
      <c r="AB307" s="252"/>
    </row>
    <row r="308" spans="1:28" s="26" customFormat="1" hidden="1">
      <c r="A308" s="31" t="s">
        <v>521</v>
      </c>
      <c r="B308" s="53" t="s">
        <v>269</v>
      </c>
      <c r="C308" s="53" t="s">
        <v>308</v>
      </c>
      <c r="D308" s="14" t="s">
        <v>157</v>
      </c>
      <c r="E308" s="45">
        <v>37672</v>
      </c>
      <c r="F308" s="14">
        <v>13262</v>
      </c>
      <c r="G308" s="14">
        <v>800</v>
      </c>
      <c r="H308" s="14">
        <v>10609600</v>
      </c>
      <c r="I308" s="28" t="s">
        <v>969</v>
      </c>
      <c r="J308" s="40">
        <v>38352</v>
      </c>
      <c r="K308" s="14"/>
      <c r="L308" s="14"/>
      <c r="M308" s="14">
        <v>0</v>
      </c>
      <c r="N308" s="14">
        <v>10609600</v>
      </c>
      <c r="O308" s="14">
        <f t="shared" si="26"/>
        <v>-10609600</v>
      </c>
      <c r="P308" s="14"/>
      <c r="Q308" s="14"/>
      <c r="R308" s="31" t="s">
        <v>60</v>
      </c>
      <c r="S308" s="402"/>
      <c r="T308" s="31" t="s">
        <v>61</v>
      </c>
      <c r="U308" s="31" t="s">
        <v>96</v>
      </c>
      <c r="AB308" s="252"/>
    </row>
    <row r="309" spans="1:28" s="26" customFormat="1" hidden="1">
      <c r="A309" s="31" t="s">
        <v>521</v>
      </c>
      <c r="B309" s="53" t="s">
        <v>269</v>
      </c>
      <c r="C309" s="53" t="s">
        <v>308</v>
      </c>
      <c r="D309" s="11" t="s">
        <v>157</v>
      </c>
      <c r="E309" s="46"/>
      <c r="F309" s="11"/>
      <c r="G309" s="11"/>
      <c r="H309" s="11"/>
      <c r="I309" s="33"/>
      <c r="J309" s="41">
        <v>38988</v>
      </c>
      <c r="K309" s="11">
        <v>33105</v>
      </c>
      <c r="L309" s="11"/>
      <c r="M309" s="11">
        <v>265000</v>
      </c>
      <c r="N309" s="11">
        <v>0</v>
      </c>
      <c r="O309" s="11">
        <f t="shared" si="26"/>
        <v>265000</v>
      </c>
      <c r="P309" s="11">
        <f>+SUM(H307:H309)-SUM(N307:N309)</f>
        <v>0</v>
      </c>
      <c r="Q309" s="11"/>
      <c r="R309" s="403" t="s">
        <v>891</v>
      </c>
      <c r="S309" s="403"/>
      <c r="T309" s="36" t="s">
        <v>9</v>
      </c>
      <c r="U309" s="36" t="s">
        <v>200</v>
      </c>
      <c r="AB309" s="252"/>
    </row>
    <row r="310" spans="1:28" s="26" customFormat="1" hidden="1">
      <c r="A310" s="31" t="s">
        <v>521</v>
      </c>
      <c r="B310" s="53" t="s">
        <v>269</v>
      </c>
      <c r="C310" s="53" t="s">
        <v>305</v>
      </c>
      <c r="D310" s="15" t="s">
        <v>158</v>
      </c>
      <c r="E310" s="42">
        <v>37690</v>
      </c>
      <c r="F310" s="15">
        <v>10077</v>
      </c>
      <c r="G310" s="15">
        <v>29772</v>
      </c>
      <c r="H310" s="15">
        <v>300012444</v>
      </c>
      <c r="I310" s="17" t="s">
        <v>963</v>
      </c>
      <c r="J310" s="43">
        <v>38000</v>
      </c>
      <c r="K310" s="15">
        <v>16209</v>
      </c>
      <c r="L310" s="15">
        <v>23372</v>
      </c>
      <c r="M310" s="15">
        <f>300012444+78824304</f>
        <v>378836748</v>
      </c>
      <c r="N310" s="15">
        <v>300012444</v>
      </c>
      <c r="O310" s="15">
        <f t="shared" si="26"/>
        <v>78824304</v>
      </c>
      <c r="P310" s="15">
        <f>+H310-N310</f>
        <v>0</v>
      </c>
      <c r="Q310" s="15"/>
      <c r="R310" s="405" t="s">
        <v>972</v>
      </c>
      <c r="S310" s="405" t="s">
        <v>1011</v>
      </c>
      <c r="T310" s="19" t="s">
        <v>61</v>
      </c>
      <c r="U310" s="19" t="s">
        <v>83</v>
      </c>
      <c r="V310" s="4"/>
      <c r="W310" s="4"/>
      <c r="X310" s="4"/>
      <c r="Y310" s="4"/>
      <c r="AB310" s="252"/>
    </row>
    <row r="311" spans="1:28" s="26" customFormat="1" hidden="1">
      <c r="A311" s="31" t="s">
        <v>521</v>
      </c>
      <c r="B311" s="53" t="s">
        <v>269</v>
      </c>
      <c r="C311" s="53" t="s">
        <v>305</v>
      </c>
      <c r="D311" s="20" t="s">
        <v>159</v>
      </c>
      <c r="E311" s="44">
        <v>37651</v>
      </c>
      <c r="F311" s="20">
        <v>525000</v>
      </c>
      <c r="G311" s="20">
        <v>952</v>
      </c>
      <c r="H311" s="20">
        <v>500000000</v>
      </c>
      <c r="I311" s="22" t="s">
        <v>963</v>
      </c>
      <c r="J311" s="38">
        <v>38016</v>
      </c>
      <c r="K311" s="20"/>
      <c r="L311" s="20"/>
      <c r="M311" s="20">
        <v>0</v>
      </c>
      <c r="N311" s="20">
        <v>500000000</v>
      </c>
      <c r="O311" s="20">
        <f t="shared" si="26"/>
        <v>-500000000</v>
      </c>
      <c r="P311" s="20">
        <f>+H311-N311</f>
        <v>0</v>
      </c>
      <c r="Q311" s="20"/>
      <c r="R311" s="25" t="s">
        <v>60</v>
      </c>
      <c r="S311" s="401"/>
      <c r="T311" s="25" t="s">
        <v>61</v>
      </c>
      <c r="U311" s="25" t="s">
        <v>96</v>
      </c>
      <c r="V311" s="4"/>
      <c r="W311" s="4"/>
      <c r="X311" s="4"/>
      <c r="Y311" s="4"/>
      <c r="AB311" s="252"/>
    </row>
    <row r="312" spans="1:28" s="26" customFormat="1" hidden="1">
      <c r="A312" s="31" t="s">
        <v>521</v>
      </c>
      <c r="B312" s="53" t="s">
        <v>269</v>
      </c>
      <c r="C312" s="53" t="s">
        <v>305</v>
      </c>
      <c r="D312" s="11" t="s">
        <v>159</v>
      </c>
      <c r="E312" s="46"/>
      <c r="F312" s="11"/>
      <c r="G312" s="11"/>
      <c r="H312" s="11"/>
      <c r="I312" s="33"/>
      <c r="J312" s="41">
        <v>38988</v>
      </c>
      <c r="K312" s="11">
        <v>525000</v>
      </c>
      <c r="L312" s="11"/>
      <c r="M312" s="11">
        <v>1000</v>
      </c>
      <c r="N312" s="11">
        <v>0</v>
      </c>
      <c r="O312" s="11">
        <f t="shared" si="26"/>
        <v>1000</v>
      </c>
      <c r="P312" s="11"/>
      <c r="Q312" s="11"/>
      <c r="R312" s="403" t="s">
        <v>891</v>
      </c>
      <c r="S312" s="403"/>
      <c r="T312" s="36" t="s">
        <v>9</v>
      </c>
      <c r="U312" s="36" t="s">
        <v>96</v>
      </c>
      <c r="V312" s="4"/>
      <c r="W312" s="4"/>
      <c r="X312" s="4"/>
      <c r="Y312" s="4"/>
      <c r="AB312" s="252"/>
    </row>
    <row r="313" spans="1:28" s="26" customFormat="1" hidden="1">
      <c r="A313" s="31" t="s">
        <v>521</v>
      </c>
      <c r="B313" s="53" t="s">
        <v>269</v>
      </c>
      <c r="C313" s="53" t="s">
        <v>305</v>
      </c>
      <c r="D313" s="20" t="s">
        <v>150</v>
      </c>
      <c r="E313" s="44">
        <v>37893</v>
      </c>
      <c r="F313" s="20">
        <v>59750</v>
      </c>
      <c r="G313" s="20">
        <v>6700</v>
      </c>
      <c r="H313" s="20">
        <v>400325000</v>
      </c>
      <c r="I313" s="22" t="s">
        <v>963</v>
      </c>
      <c r="J313" s="38">
        <v>37970</v>
      </c>
      <c r="K313" s="20">
        <v>44750</v>
      </c>
      <c r="L313" s="20">
        <v>12000</v>
      </c>
      <c r="M313" s="20">
        <f>+K313*L313</f>
        <v>537000000</v>
      </c>
      <c r="N313" s="20">
        <v>299825000</v>
      </c>
      <c r="O313" s="20">
        <f t="shared" ref="O313:O325" si="27">+M313-N313</f>
        <v>237175000</v>
      </c>
      <c r="P313" s="20"/>
      <c r="Q313" s="20"/>
      <c r="R313" s="401" t="s">
        <v>972</v>
      </c>
      <c r="S313" s="401" t="s">
        <v>1007</v>
      </c>
      <c r="T313" s="25" t="s">
        <v>61</v>
      </c>
      <c r="U313" s="25" t="s">
        <v>62</v>
      </c>
      <c r="AB313" s="252"/>
    </row>
    <row r="314" spans="1:28" s="26" customFormat="1" hidden="1">
      <c r="A314" s="31" t="s">
        <v>521</v>
      </c>
      <c r="B314" s="53" t="s">
        <v>269</v>
      </c>
      <c r="C314" s="53" t="s">
        <v>305</v>
      </c>
      <c r="D314" s="14" t="s">
        <v>150</v>
      </c>
      <c r="E314" s="45"/>
      <c r="F314" s="14"/>
      <c r="G314" s="14"/>
      <c r="H314" s="14"/>
      <c r="I314" s="28" t="s">
        <v>860</v>
      </c>
      <c r="J314" s="40">
        <v>37973</v>
      </c>
      <c r="K314" s="14">
        <v>5000</v>
      </c>
      <c r="L314" s="14">
        <v>12000</v>
      </c>
      <c r="M314" s="14">
        <f>+K314*L314</f>
        <v>60000000</v>
      </c>
      <c r="N314" s="14">
        <v>33500000</v>
      </c>
      <c r="O314" s="14">
        <f t="shared" si="27"/>
        <v>26500000</v>
      </c>
      <c r="P314" s="14"/>
      <c r="Q314" s="14"/>
      <c r="R314" s="402" t="s">
        <v>972</v>
      </c>
      <c r="S314" s="402" t="s">
        <v>1008</v>
      </c>
      <c r="T314" s="31" t="s">
        <v>61</v>
      </c>
      <c r="U314" s="31" t="s">
        <v>62</v>
      </c>
      <c r="AB314" s="252"/>
    </row>
    <row r="315" spans="1:28" s="26" customFormat="1" hidden="1">
      <c r="A315" s="31" t="s">
        <v>521</v>
      </c>
      <c r="B315" s="53" t="s">
        <v>269</v>
      </c>
      <c r="C315" s="53" t="s">
        <v>305</v>
      </c>
      <c r="D315" s="11" t="s">
        <v>150</v>
      </c>
      <c r="E315" s="46"/>
      <c r="F315" s="11"/>
      <c r="G315" s="11"/>
      <c r="H315" s="11"/>
      <c r="I315" s="33" t="s">
        <v>918</v>
      </c>
      <c r="J315" s="41">
        <v>37935</v>
      </c>
      <c r="K315" s="11">
        <v>10000</v>
      </c>
      <c r="L315" s="11">
        <v>12000</v>
      </c>
      <c r="M315" s="11">
        <f>+K315*L315</f>
        <v>120000000</v>
      </c>
      <c r="N315" s="11">
        <v>67000000</v>
      </c>
      <c r="O315" s="11">
        <f t="shared" si="27"/>
        <v>53000000</v>
      </c>
      <c r="P315" s="14">
        <f>+SUM(H313:H315)-SUM(N313:N315)</f>
        <v>0</v>
      </c>
      <c r="Q315" s="11"/>
      <c r="R315" s="403" t="s">
        <v>972</v>
      </c>
      <c r="S315" s="403" t="s">
        <v>1009</v>
      </c>
      <c r="T315" s="36" t="s">
        <v>61</v>
      </c>
      <c r="U315" s="36" t="s">
        <v>62</v>
      </c>
      <c r="AB315" s="252"/>
    </row>
    <row r="316" spans="1:28" s="411" customFormat="1" hidden="1">
      <c r="A316" s="282" t="s">
        <v>893</v>
      </c>
      <c r="B316" s="81" t="s">
        <v>269</v>
      </c>
      <c r="C316" s="81" t="s">
        <v>850</v>
      </c>
      <c r="D316" s="56" t="s">
        <v>901</v>
      </c>
      <c r="E316" s="62">
        <v>37935</v>
      </c>
      <c r="F316" s="56">
        <v>6</v>
      </c>
      <c r="G316" s="56">
        <v>3100</v>
      </c>
      <c r="H316" s="56">
        <f>+F316*G316</f>
        <v>18600</v>
      </c>
      <c r="I316" s="58" t="s">
        <v>844</v>
      </c>
      <c r="J316" s="63">
        <v>37973</v>
      </c>
      <c r="K316" s="56">
        <v>6</v>
      </c>
      <c r="L316" s="56">
        <v>3065</v>
      </c>
      <c r="M316" s="56">
        <v>18390</v>
      </c>
      <c r="N316" s="56">
        <v>18600</v>
      </c>
      <c r="O316" s="56">
        <f t="shared" si="27"/>
        <v>-210</v>
      </c>
      <c r="P316" s="56">
        <f>+H316-N316</f>
        <v>0</v>
      </c>
      <c r="Q316" s="56"/>
      <c r="R316" s="61" t="s">
        <v>1012</v>
      </c>
      <c r="S316" s="61"/>
      <c r="T316" s="61" t="s">
        <v>846</v>
      </c>
      <c r="U316" s="61" t="s">
        <v>847</v>
      </c>
      <c r="V316" s="410"/>
      <c r="W316" s="410"/>
      <c r="X316" s="410"/>
      <c r="Y316" s="410"/>
      <c r="AB316" s="587"/>
    </row>
    <row r="317" spans="1:28" s="411" customFormat="1" hidden="1">
      <c r="A317" s="282" t="s">
        <v>893</v>
      </c>
      <c r="B317" s="81" t="s">
        <v>269</v>
      </c>
      <c r="C317" s="81" t="s">
        <v>850</v>
      </c>
      <c r="D317" s="56" t="s">
        <v>902</v>
      </c>
      <c r="E317" s="62">
        <v>37935</v>
      </c>
      <c r="F317" s="56">
        <v>26</v>
      </c>
      <c r="G317" s="56">
        <v>2800</v>
      </c>
      <c r="H317" s="56">
        <f>+F317*G317</f>
        <v>72800</v>
      </c>
      <c r="I317" s="58" t="s">
        <v>844</v>
      </c>
      <c r="J317" s="63">
        <v>37973</v>
      </c>
      <c r="K317" s="56">
        <v>26</v>
      </c>
      <c r="L317" s="56">
        <v>4910</v>
      </c>
      <c r="M317" s="56">
        <f>72800+54860</f>
        <v>127660</v>
      </c>
      <c r="N317" s="56">
        <v>72800</v>
      </c>
      <c r="O317" s="56">
        <f t="shared" si="27"/>
        <v>54860</v>
      </c>
      <c r="P317" s="56">
        <f>+H317-N317</f>
        <v>0</v>
      </c>
      <c r="Q317" s="56"/>
      <c r="R317" s="61" t="s">
        <v>1012</v>
      </c>
      <c r="S317" s="61"/>
      <c r="T317" s="61" t="s">
        <v>846</v>
      </c>
      <c r="U317" s="61" t="s">
        <v>847</v>
      </c>
      <c r="V317" s="410"/>
      <c r="W317" s="410"/>
      <c r="X317" s="410"/>
      <c r="Y317" s="410"/>
      <c r="AB317" s="587"/>
    </row>
    <row r="318" spans="1:28" s="411" customFormat="1" hidden="1">
      <c r="A318" s="282" t="s">
        <v>893</v>
      </c>
      <c r="B318" s="81" t="s">
        <v>269</v>
      </c>
      <c r="C318" s="81" t="s">
        <v>850</v>
      </c>
      <c r="D318" s="73" t="s">
        <v>898</v>
      </c>
      <c r="E318" s="74">
        <v>37928</v>
      </c>
      <c r="F318" s="73">
        <v>7</v>
      </c>
      <c r="G318" s="73">
        <v>14000</v>
      </c>
      <c r="H318" s="73">
        <f>+F318*G318</f>
        <v>98000</v>
      </c>
      <c r="I318" s="75" t="s">
        <v>844</v>
      </c>
      <c r="J318" s="76">
        <v>38351</v>
      </c>
      <c r="K318" s="73">
        <v>7</v>
      </c>
      <c r="L318" s="73">
        <v>3515</v>
      </c>
      <c r="M318" s="73">
        <v>24440</v>
      </c>
      <c r="N318" s="73">
        <v>98000</v>
      </c>
      <c r="O318" s="73">
        <f t="shared" si="27"/>
        <v>-73560</v>
      </c>
      <c r="P318" s="73">
        <f>+H318-N318</f>
        <v>0</v>
      </c>
      <c r="Q318" s="73"/>
      <c r="R318" s="409" t="s">
        <v>1012</v>
      </c>
      <c r="S318" s="409"/>
      <c r="T318" s="409" t="s">
        <v>846</v>
      </c>
      <c r="U318" s="409" t="s">
        <v>847</v>
      </c>
      <c r="AB318" s="587"/>
    </row>
    <row r="319" spans="1:28" s="26" customFormat="1" hidden="1">
      <c r="A319" s="31" t="s">
        <v>521</v>
      </c>
      <c r="B319" s="53" t="s">
        <v>269</v>
      </c>
      <c r="C319" s="53" t="s">
        <v>305</v>
      </c>
      <c r="D319" s="20" t="s">
        <v>160</v>
      </c>
      <c r="E319" s="44">
        <v>37935</v>
      </c>
      <c r="F319" s="20">
        <v>4000</v>
      </c>
      <c r="G319" s="20">
        <v>24200</v>
      </c>
      <c r="H319" s="20">
        <f>+F319*G319</f>
        <v>96800000</v>
      </c>
      <c r="I319" s="22" t="s">
        <v>963</v>
      </c>
      <c r="J319" s="38">
        <v>38370</v>
      </c>
      <c r="K319" s="20"/>
      <c r="L319" s="20"/>
      <c r="M319" s="20">
        <v>0</v>
      </c>
      <c r="N319" s="20">
        <v>51740000</v>
      </c>
      <c r="O319" s="20">
        <f t="shared" si="27"/>
        <v>-51740000</v>
      </c>
      <c r="P319" s="20"/>
      <c r="Q319" s="20"/>
      <c r="R319" s="25" t="s">
        <v>60</v>
      </c>
      <c r="S319" s="401"/>
      <c r="T319" s="25" t="s">
        <v>61</v>
      </c>
      <c r="U319" s="25" t="s">
        <v>77</v>
      </c>
      <c r="V319" s="4"/>
      <c r="W319" s="4"/>
      <c r="X319" s="4"/>
      <c r="Y319" s="4"/>
      <c r="AB319" s="252"/>
    </row>
    <row r="320" spans="1:28" s="26" customFormat="1" hidden="1">
      <c r="A320" s="402" t="s">
        <v>521</v>
      </c>
      <c r="B320" s="53" t="s">
        <v>269</v>
      </c>
      <c r="C320" s="53" t="s">
        <v>305</v>
      </c>
      <c r="D320" s="14" t="s">
        <v>160</v>
      </c>
      <c r="E320" s="45"/>
      <c r="F320" s="14"/>
      <c r="G320" s="14"/>
      <c r="H320" s="14"/>
      <c r="I320" s="28"/>
      <c r="J320" s="40">
        <v>38096</v>
      </c>
      <c r="K320" s="14"/>
      <c r="L320" s="14"/>
      <c r="M320" s="14">
        <v>1500000</v>
      </c>
      <c r="N320" s="14">
        <v>0</v>
      </c>
      <c r="O320" s="14">
        <f t="shared" si="27"/>
        <v>1500000</v>
      </c>
      <c r="P320" s="14"/>
      <c r="Q320" s="14"/>
      <c r="R320" s="402" t="s">
        <v>1003</v>
      </c>
      <c r="S320" s="402"/>
      <c r="T320" s="407" t="s">
        <v>1068</v>
      </c>
      <c r="U320" s="407" t="s">
        <v>1073</v>
      </c>
      <c r="V320" s="4"/>
      <c r="W320" s="4"/>
      <c r="X320" s="4"/>
      <c r="Y320" s="4"/>
      <c r="AB320" s="252"/>
    </row>
    <row r="321" spans="1:28" s="26" customFormat="1" hidden="1">
      <c r="A321" s="31" t="s">
        <v>521</v>
      </c>
      <c r="B321" s="53" t="s">
        <v>269</v>
      </c>
      <c r="C321" s="53" t="s">
        <v>305</v>
      </c>
      <c r="D321" s="11" t="s">
        <v>160</v>
      </c>
      <c r="E321" s="46"/>
      <c r="F321" s="11"/>
      <c r="G321" s="11"/>
      <c r="H321" s="11"/>
      <c r="I321" s="33"/>
      <c r="J321" s="41">
        <v>38988</v>
      </c>
      <c r="K321" s="11">
        <v>4000</v>
      </c>
      <c r="L321" s="11">
        <v>1000</v>
      </c>
      <c r="M321" s="11">
        <f>+K321*L321</f>
        <v>4000000</v>
      </c>
      <c r="N321" s="11">
        <v>45060000</v>
      </c>
      <c r="O321" s="11">
        <f t="shared" si="27"/>
        <v>-41060000</v>
      </c>
      <c r="P321" s="11">
        <f>+SUM(H319:H321)-SUM(N319:N321)</f>
        <v>0</v>
      </c>
      <c r="Q321" s="11"/>
      <c r="R321" s="403" t="s">
        <v>891</v>
      </c>
      <c r="S321" s="403"/>
      <c r="T321" s="36" t="s">
        <v>9</v>
      </c>
      <c r="U321" s="36" t="s">
        <v>307</v>
      </c>
      <c r="V321" s="4"/>
      <c r="W321" s="4"/>
      <c r="X321" s="4"/>
      <c r="Y321" s="4"/>
      <c r="AB321" s="252"/>
    </row>
    <row r="322" spans="1:28" s="26" customFormat="1" hidden="1">
      <c r="A322" s="31" t="s">
        <v>521</v>
      </c>
      <c r="B322" s="53" t="s">
        <v>269</v>
      </c>
      <c r="C322" s="53" t="s">
        <v>305</v>
      </c>
      <c r="D322" s="20" t="s">
        <v>161</v>
      </c>
      <c r="E322" s="44">
        <v>38131</v>
      </c>
      <c r="F322" s="20">
        <v>119977</v>
      </c>
      <c r="G322" s="20">
        <v>5350</v>
      </c>
      <c r="H322" s="20">
        <f>+F322*G322</f>
        <v>641876950</v>
      </c>
      <c r="I322" s="22" t="s">
        <v>963</v>
      </c>
      <c r="J322" s="41">
        <v>38404</v>
      </c>
      <c r="K322" s="11">
        <v>119977</v>
      </c>
      <c r="L322" s="11">
        <f>+M322/K322</f>
        <v>5350</v>
      </c>
      <c r="M322" s="11">
        <v>641876950</v>
      </c>
      <c r="N322" s="11">
        <v>641876950</v>
      </c>
      <c r="O322" s="20">
        <f t="shared" si="27"/>
        <v>0</v>
      </c>
      <c r="P322" s="20">
        <f>+H322-N322</f>
        <v>0</v>
      </c>
      <c r="Q322" s="20"/>
      <c r="R322" s="403" t="s">
        <v>1001</v>
      </c>
      <c r="S322" s="403"/>
      <c r="T322" s="36" t="s">
        <v>61</v>
      </c>
      <c r="U322" s="36" t="s">
        <v>62</v>
      </c>
      <c r="AB322" s="252"/>
    </row>
    <row r="323" spans="1:28" s="26" customFormat="1" hidden="1">
      <c r="A323" s="31" t="s">
        <v>521</v>
      </c>
      <c r="B323" s="31" t="s">
        <v>269</v>
      </c>
      <c r="C323" s="403" t="s">
        <v>310</v>
      </c>
      <c r="D323" s="15" t="s">
        <v>162</v>
      </c>
      <c r="E323" s="42">
        <v>38125</v>
      </c>
      <c r="F323" s="15"/>
      <c r="G323" s="15"/>
      <c r="H323" s="15">
        <v>320000000</v>
      </c>
      <c r="I323" s="17" t="s">
        <v>85</v>
      </c>
      <c r="J323" s="43">
        <v>38233</v>
      </c>
      <c r="K323" s="15"/>
      <c r="L323" s="15"/>
      <c r="M323" s="15">
        <v>331102559</v>
      </c>
      <c r="N323" s="15">
        <v>320000000</v>
      </c>
      <c r="O323" s="15">
        <f t="shared" si="27"/>
        <v>11102559</v>
      </c>
      <c r="P323" s="15">
        <f>+H323-N323</f>
        <v>0</v>
      </c>
      <c r="Q323" s="15"/>
      <c r="R323" s="19" t="s">
        <v>64</v>
      </c>
      <c r="S323" s="405"/>
      <c r="T323" s="19" t="s">
        <v>86</v>
      </c>
      <c r="U323" s="19" t="s">
        <v>62</v>
      </c>
      <c r="V323" s="4"/>
      <c r="W323" s="4"/>
      <c r="X323" s="4"/>
      <c r="Y323" s="4"/>
      <c r="AB323" s="252"/>
    </row>
    <row r="324" spans="1:28" s="26" customFormat="1" hidden="1">
      <c r="A324" s="36" t="s">
        <v>521</v>
      </c>
      <c r="B324" s="36" t="s">
        <v>533</v>
      </c>
      <c r="C324" s="132" t="s">
        <v>523</v>
      </c>
      <c r="D324" s="147"/>
      <c r="E324" s="148"/>
      <c r="F324" s="147"/>
      <c r="G324" s="147"/>
      <c r="H324" s="147">
        <f>SUM(H274:H323)</f>
        <v>10533401544</v>
      </c>
      <c r="I324" s="149"/>
      <c r="J324" s="150"/>
      <c r="K324" s="147"/>
      <c r="L324" s="147"/>
      <c r="M324" s="147">
        <f>SUM(M274:M323)</f>
        <v>9437578690</v>
      </c>
      <c r="N324" s="147">
        <f>SUM(N274:N323)</f>
        <v>10533401544</v>
      </c>
      <c r="O324" s="147">
        <f>SUM(O274:O323)</f>
        <v>-1095822854</v>
      </c>
      <c r="P324" s="147">
        <f>SUM(P274:P323)</f>
        <v>0</v>
      </c>
      <c r="Q324" s="133"/>
      <c r="R324" s="138"/>
      <c r="S324" s="138"/>
      <c r="T324" s="138"/>
      <c r="U324" s="138"/>
      <c r="V324" s="4"/>
      <c r="W324" s="4"/>
      <c r="X324" s="4"/>
      <c r="Y324" s="4"/>
      <c r="AB324" s="252"/>
    </row>
    <row r="325" spans="1:28" hidden="1">
      <c r="A325" s="401" t="s">
        <v>871</v>
      </c>
      <c r="B325" s="404" t="s">
        <v>872</v>
      </c>
      <c r="C325" s="404" t="s">
        <v>873</v>
      </c>
      <c r="D325" s="20" t="s">
        <v>874</v>
      </c>
      <c r="E325" s="44">
        <v>36634</v>
      </c>
      <c r="F325" s="20">
        <v>2800</v>
      </c>
      <c r="G325" s="20">
        <v>5000</v>
      </c>
      <c r="H325" s="20">
        <f>+F325*G325</f>
        <v>14000000</v>
      </c>
      <c r="I325" s="22" t="s">
        <v>908</v>
      </c>
      <c r="J325" s="38">
        <v>37621</v>
      </c>
      <c r="K325" s="20"/>
      <c r="L325" s="20"/>
      <c r="M325" s="20">
        <v>0</v>
      </c>
      <c r="N325" s="20">
        <v>294000000</v>
      </c>
      <c r="O325" s="24">
        <f t="shared" si="27"/>
        <v>-294000000</v>
      </c>
      <c r="P325" s="20"/>
      <c r="Q325" s="20"/>
      <c r="R325" s="401" t="s">
        <v>876</v>
      </c>
      <c r="S325" s="401"/>
      <c r="T325" s="401" t="s">
        <v>877</v>
      </c>
      <c r="U325" s="401" t="s">
        <v>878</v>
      </c>
      <c r="V325" s="26"/>
      <c r="W325" s="20" t="s">
        <v>874</v>
      </c>
      <c r="X325" s="44">
        <v>36634</v>
      </c>
      <c r="Y325" s="20">
        <v>2800</v>
      </c>
      <c r="Z325" s="20">
        <v>-5000</v>
      </c>
      <c r="AA325" s="20">
        <f>+Y325*Z325</f>
        <v>-14000000</v>
      </c>
    </row>
    <row r="326" spans="1:28" hidden="1">
      <c r="A326" s="402" t="s">
        <v>871</v>
      </c>
      <c r="B326" s="53" t="s">
        <v>270</v>
      </c>
      <c r="C326" s="53" t="s">
        <v>879</v>
      </c>
      <c r="D326" s="11" t="s">
        <v>874</v>
      </c>
      <c r="E326" s="46">
        <v>36634</v>
      </c>
      <c r="F326" s="11">
        <v>7000</v>
      </c>
      <c r="G326" s="11">
        <v>40000</v>
      </c>
      <c r="H326" s="11">
        <f>+F326*G326</f>
        <v>280000000</v>
      </c>
      <c r="I326" s="33" t="s">
        <v>908</v>
      </c>
      <c r="J326" s="41">
        <v>38595</v>
      </c>
      <c r="K326" s="11">
        <v>9800</v>
      </c>
      <c r="L326" s="11"/>
      <c r="M326" s="11">
        <v>10</v>
      </c>
      <c r="N326" s="11">
        <v>0</v>
      </c>
      <c r="O326" s="35">
        <f t="shared" ref="O326:O339" si="28">+M326-N326</f>
        <v>10</v>
      </c>
      <c r="P326" s="11">
        <f>+SUM(H325:H326)-SUM(N325:N326)</f>
        <v>0</v>
      </c>
      <c r="Q326" s="11"/>
      <c r="R326" s="403" t="s">
        <v>928</v>
      </c>
      <c r="S326" s="403"/>
      <c r="T326" s="403" t="s">
        <v>877</v>
      </c>
      <c r="U326" s="403" t="s">
        <v>878</v>
      </c>
      <c r="V326" s="26"/>
      <c r="W326" s="11" t="s">
        <v>874</v>
      </c>
      <c r="X326" s="46">
        <v>36634</v>
      </c>
      <c r="Y326" s="11">
        <v>7000</v>
      </c>
      <c r="Z326" s="11">
        <v>-40000</v>
      </c>
      <c r="AA326" s="11">
        <f>+Y326*Z326</f>
        <v>-280000000</v>
      </c>
    </row>
    <row r="327" spans="1:28" hidden="1">
      <c r="A327" s="402" t="s">
        <v>871</v>
      </c>
      <c r="B327" s="53" t="s">
        <v>270</v>
      </c>
      <c r="C327" s="53" t="s">
        <v>873</v>
      </c>
      <c r="D327" s="20" t="s">
        <v>880</v>
      </c>
      <c r="E327" s="44">
        <v>36637</v>
      </c>
      <c r="F327" s="20">
        <v>1750</v>
      </c>
      <c r="G327" s="20">
        <v>100000</v>
      </c>
      <c r="H327" s="20">
        <f>+F327*G327</f>
        <v>175000000</v>
      </c>
      <c r="I327" s="22" t="s">
        <v>908</v>
      </c>
      <c r="J327" s="38">
        <v>37621</v>
      </c>
      <c r="K327" s="20"/>
      <c r="L327" s="20"/>
      <c r="M327" s="20">
        <v>0</v>
      </c>
      <c r="N327" s="20">
        <v>183750000</v>
      </c>
      <c r="O327" s="24">
        <f t="shared" si="28"/>
        <v>-183750000</v>
      </c>
      <c r="P327" s="20"/>
      <c r="Q327" s="20"/>
      <c r="R327" s="401" t="s">
        <v>876</v>
      </c>
      <c r="S327" s="401"/>
      <c r="T327" s="401" t="s">
        <v>881</v>
      </c>
      <c r="U327" s="401" t="s">
        <v>882</v>
      </c>
      <c r="V327" s="26"/>
      <c r="W327" s="26"/>
      <c r="X327" s="41">
        <v>38595</v>
      </c>
      <c r="Y327" s="11">
        <v>9800</v>
      </c>
      <c r="Z327" s="11"/>
      <c r="AA327" s="11">
        <v>0</v>
      </c>
      <c r="AB327" s="251" t="e">
        <f>+XIRR(AA325:AA327,X325:X327)</f>
        <v>#NUM!</v>
      </c>
    </row>
    <row r="328" spans="1:28" hidden="1">
      <c r="A328" s="402" t="s">
        <v>871</v>
      </c>
      <c r="B328" s="53" t="s">
        <v>270</v>
      </c>
      <c r="C328" s="53" t="s">
        <v>873</v>
      </c>
      <c r="D328" s="14" t="s">
        <v>880</v>
      </c>
      <c r="E328" s="45">
        <v>36775</v>
      </c>
      <c r="F328" s="14">
        <v>1750</v>
      </c>
      <c r="G328" s="14">
        <v>5000</v>
      </c>
      <c r="H328" s="14">
        <f>+F328*G328</f>
        <v>8750000</v>
      </c>
      <c r="I328" s="28" t="s">
        <v>908</v>
      </c>
      <c r="J328" s="40">
        <v>38370</v>
      </c>
      <c r="K328" s="14"/>
      <c r="L328" s="14"/>
      <c r="M328" s="14">
        <v>0</v>
      </c>
      <c r="N328" s="14">
        <v>-14409600</v>
      </c>
      <c r="O328" s="30">
        <f t="shared" si="28"/>
        <v>14409600</v>
      </c>
      <c r="P328" s="14"/>
      <c r="Q328" s="14"/>
      <c r="R328" s="402" t="s">
        <v>883</v>
      </c>
      <c r="S328" s="402"/>
      <c r="T328" s="402" t="s">
        <v>881</v>
      </c>
      <c r="U328" s="402" t="s">
        <v>882</v>
      </c>
      <c r="V328" s="26"/>
      <c r="W328" s="20" t="s">
        <v>880</v>
      </c>
      <c r="X328" s="44">
        <v>36637</v>
      </c>
      <c r="Y328" s="20">
        <v>1750</v>
      </c>
      <c r="Z328" s="20">
        <v>-100000</v>
      </c>
      <c r="AA328" s="20">
        <f>+Y328*Z328</f>
        <v>-175000000</v>
      </c>
    </row>
    <row r="329" spans="1:28" s="26" customFormat="1" hidden="1">
      <c r="A329" s="402" t="s">
        <v>871</v>
      </c>
      <c r="B329" s="53" t="s">
        <v>270</v>
      </c>
      <c r="C329" s="53" t="s">
        <v>873</v>
      </c>
      <c r="D329" s="14" t="s">
        <v>880</v>
      </c>
      <c r="E329" s="45"/>
      <c r="F329" s="14">
        <v>47060</v>
      </c>
      <c r="G329" s="14"/>
      <c r="H329" s="14"/>
      <c r="I329" s="28"/>
      <c r="J329" s="40">
        <v>38741</v>
      </c>
      <c r="K329" s="14">
        <f>8497+6797</f>
        <v>15294</v>
      </c>
      <c r="L329" s="14">
        <f>+M329/K329</f>
        <v>1111.1056623512488</v>
      </c>
      <c r="M329" s="14">
        <f>8497000+8496250</f>
        <v>16993250</v>
      </c>
      <c r="N329" s="14">
        <v>5140323</v>
      </c>
      <c r="O329" s="30">
        <f t="shared" si="28"/>
        <v>11852927</v>
      </c>
      <c r="P329" s="11">
        <f>+SUM(H327:H329)-SUM(N327:N329)</f>
        <v>9269277</v>
      </c>
      <c r="Q329" s="14"/>
      <c r="R329" s="402" t="s">
        <v>884</v>
      </c>
      <c r="S329" s="402"/>
      <c r="T329" s="402" t="s">
        <v>881</v>
      </c>
      <c r="U329" s="402" t="s">
        <v>882</v>
      </c>
      <c r="W329" s="14" t="s">
        <v>880</v>
      </c>
      <c r="X329" s="45">
        <v>36775</v>
      </c>
      <c r="Y329" s="14">
        <v>1750</v>
      </c>
      <c r="Z329" s="14">
        <v>-5000</v>
      </c>
      <c r="AA329" s="14">
        <f>+Y329*Z329</f>
        <v>-8750000</v>
      </c>
      <c r="AB329" s="252"/>
    </row>
    <row r="330" spans="1:28" s="26" customFormat="1" hidden="1">
      <c r="A330" s="402" t="s">
        <v>871</v>
      </c>
      <c r="B330" s="53" t="s">
        <v>270</v>
      </c>
      <c r="C330" s="53" t="s">
        <v>873</v>
      </c>
      <c r="D330" s="20" t="s">
        <v>885</v>
      </c>
      <c r="E330" s="44">
        <v>36701</v>
      </c>
      <c r="F330" s="20">
        <v>9723</v>
      </c>
      <c r="G330" s="20">
        <v>20000</v>
      </c>
      <c r="H330" s="20">
        <f>+F330*G330</f>
        <v>194460000</v>
      </c>
      <c r="I330" s="22" t="s">
        <v>908</v>
      </c>
      <c r="J330" s="38">
        <v>37621</v>
      </c>
      <c r="K330" s="20"/>
      <c r="L330" s="20"/>
      <c r="M330" s="20">
        <v>0</v>
      </c>
      <c r="N330" s="20">
        <v>583340000</v>
      </c>
      <c r="O330" s="24">
        <f t="shared" si="28"/>
        <v>-583340000</v>
      </c>
      <c r="P330" s="20"/>
      <c r="Q330" s="20"/>
      <c r="R330" s="401" t="s">
        <v>876</v>
      </c>
      <c r="S330" s="401"/>
      <c r="T330" s="401" t="s">
        <v>881</v>
      </c>
      <c r="U330" s="401" t="s">
        <v>886</v>
      </c>
      <c r="X330" s="40">
        <v>38741</v>
      </c>
      <c r="Y330" s="14">
        <f>8497+6797</f>
        <v>15294</v>
      </c>
      <c r="Z330" s="14">
        <f>+AA330/Y330</f>
        <v>1111.1056623512488</v>
      </c>
      <c r="AA330" s="14">
        <f>8497000+8496250</f>
        <v>16993250</v>
      </c>
      <c r="AB330" s="252"/>
    </row>
    <row r="331" spans="1:28" s="26" customFormat="1" hidden="1">
      <c r="A331" s="402" t="s">
        <v>871</v>
      </c>
      <c r="B331" s="53" t="s">
        <v>270</v>
      </c>
      <c r="C331" s="53" t="s">
        <v>879</v>
      </c>
      <c r="D331" s="11" t="s">
        <v>885</v>
      </c>
      <c r="E331" s="46">
        <v>36701</v>
      </c>
      <c r="F331" s="11">
        <v>9722</v>
      </c>
      <c r="G331" s="11">
        <v>40000</v>
      </c>
      <c r="H331" s="11">
        <f>+F331*G331</f>
        <v>388880000</v>
      </c>
      <c r="I331" s="33" t="s">
        <v>908</v>
      </c>
      <c r="J331" s="41">
        <v>38595</v>
      </c>
      <c r="K331" s="11">
        <v>19445</v>
      </c>
      <c r="L331" s="11"/>
      <c r="M331" s="11">
        <v>10</v>
      </c>
      <c r="N331" s="11">
        <v>0</v>
      </c>
      <c r="O331" s="35">
        <f t="shared" si="28"/>
        <v>10</v>
      </c>
      <c r="P331" s="11">
        <f>+SUM(H330:H331)-SUM(N330:N331)</f>
        <v>0</v>
      </c>
      <c r="Q331" s="11"/>
      <c r="R331" s="403" t="s">
        <v>928</v>
      </c>
      <c r="S331" s="403"/>
      <c r="T331" s="403" t="s">
        <v>881</v>
      </c>
      <c r="U331" s="403" t="s">
        <v>886</v>
      </c>
      <c r="X331" s="588">
        <v>41603</v>
      </c>
      <c r="AA331" s="26">
        <f>+P329</f>
        <v>9269277</v>
      </c>
      <c r="AB331" s="251">
        <f>+XIRR(AA328:AA331,X328:X331)</f>
        <v>-0.17737189810723064</v>
      </c>
    </row>
    <row r="332" spans="1:28" hidden="1">
      <c r="A332" s="402" t="s">
        <v>871</v>
      </c>
      <c r="B332" s="53" t="s">
        <v>270</v>
      </c>
      <c r="C332" s="53" t="s">
        <v>879</v>
      </c>
      <c r="D332" s="20" t="s">
        <v>929</v>
      </c>
      <c r="E332" s="44">
        <v>36619</v>
      </c>
      <c r="F332" s="20">
        <v>11667</v>
      </c>
      <c r="G332" s="20">
        <v>35000</v>
      </c>
      <c r="H332" s="20">
        <f>+F332*G332</f>
        <v>408345000</v>
      </c>
      <c r="I332" s="22" t="s">
        <v>908</v>
      </c>
      <c r="J332" s="38">
        <v>37621</v>
      </c>
      <c r="K332" s="20"/>
      <c r="L332" s="20"/>
      <c r="M332" s="20">
        <v>0</v>
      </c>
      <c r="N332" s="20">
        <v>363974245</v>
      </c>
      <c r="O332" s="24">
        <f t="shared" si="28"/>
        <v>-363974245</v>
      </c>
      <c r="P332" s="20"/>
      <c r="Q332" s="20"/>
      <c r="R332" s="401" t="s">
        <v>876</v>
      </c>
      <c r="S332" s="401"/>
      <c r="T332" s="401" t="s">
        <v>881</v>
      </c>
      <c r="U332" s="401" t="s">
        <v>886</v>
      </c>
      <c r="V332" s="26"/>
      <c r="W332" s="20" t="s">
        <v>929</v>
      </c>
      <c r="X332" s="44">
        <v>36619</v>
      </c>
      <c r="Y332" s="20">
        <v>11667</v>
      </c>
      <c r="Z332" s="20">
        <v>-35000</v>
      </c>
      <c r="AA332" s="20">
        <f>+Y332*Z332</f>
        <v>-408345000</v>
      </c>
    </row>
    <row r="333" spans="1:28" s="26" customFormat="1" hidden="1">
      <c r="A333" s="402" t="s">
        <v>871</v>
      </c>
      <c r="B333" s="53" t="s">
        <v>270</v>
      </c>
      <c r="C333" s="53" t="s">
        <v>879</v>
      </c>
      <c r="D333" s="14" t="s">
        <v>929</v>
      </c>
      <c r="E333" s="45"/>
      <c r="F333" s="14"/>
      <c r="G333" s="14"/>
      <c r="H333" s="14"/>
      <c r="I333" s="28"/>
      <c r="J333" s="40">
        <v>37986</v>
      </c>
      <c r="K333" s="14"/>
      <c r="L333" s="14"/>
      <c r="M333" s="14">
        <v>0</v>
      </c>
      <c r="N333" s="14">
        <v>44370755</v>
      </c>
      <c r="O333" s="30">
        <f t="shared" si="28"/>
        <v>-44370755</v>
      </c>
      <c r="P333" s="14"/>
      <c r="Q333" s="14"/>
      <c r="R333" s="402" t="s">
        <v>876</v>
      </c>
      <c r="S333" s="402"/>
      <c r="T333" s="402" t="s">
        <v>881</v>
      </c>
      <c r="U333" s="402" t="s">
        <v>886</v>
      </c>
      <c r="X333" s="41">
        <v>38595</v>
      </c>
      <c r="Y333" s="11">
        <v>23334</v>
      </c>
      <c r="Z333" s="11">
        <f>+AA333/Y333</f>
        <v>10970.360289706008</v>
      </c>
      <c r="AA333" s="11">
        <v>255982387</v>
      </c>
      <c r="AB333" s="251">
        <f>+XIRR(AA332:AA333,X332:X333)</f>
        <v>-8.2647380232810971E-2</v>
      </c>
    </row>
    <row r="334" spans="1:28" s="26" customFormat="1" hidden="1">
      <c r="A334" s="402" t="s">
        <v>871</v>
      </c>
      <c r="B334" s="53" t="s">
        <v>270</v>
      </c>
      <c r="C334" s="53" t="s">
        <v>879</v>
      </c>
      <c r="D334" s="11" t="s">
        <v>929</v>
      </c>
      <c r="E334" s="46"/>
      <c r="F334" s="11"/>
      <c r="G334" s="11"/>
      <c r="H334" s="11"/>
      <c r="I334" s="33"/>
      <c r="J334" s="41">
        <v>38595</v>
      </c>
      <c r="K334" s="11">
        <v>23334</v>
      </c>
      <c r="L334" s="11">
        <f>+M334/K334</f>
        <v>10970.360289706008</v>
      </c>
      <c r="M334" s="11">
        <v>255982387</v>
      </c>
      <c r="N334" s="11">
        <v>0</v>
      </c>
      <c r="O334" s="35">
        <f t="shared" si="28"/>
        <v>255982387</v>
      </c>
      <c r="P334" s="11">
        <f>+SUM(H332:H334)-SUM(N332:N334)</f>
        <v>0</v>
      </c>
      <c r="Q334" s="11"/>
      <c r="R334" s="403" t="s">
        <v>930</v>
      </c>
      <c r="S334" s="403"/>
      <c r="T334" s="403" t="s">
        <v>881</v>
      </c>
      <c r="U334" s="403" t="s">
        <v>886</v>
      </c>
      <c r="W334" s="15" t="s">
        <v>931</v>
      </c>
      <c r="X334" s="42">
        <v>36706</v>
      </c>
      <c r="Y334" s="15">
        <v>5833</v>
      </c>
      <c r="Z334" s="15">
        <v>-100000</v>
      </c>
      <c r="AA334" s="15">
        <f>+Y334*Z334</f>
        <v>-583300000</v>
      </c>
      <c r="AB334" s="252"/>
    </row>
    <row r="335" spans="1:28" s="26" customFormat="1" hidden="1">
      <c r="A335" s="402" t="s">
        <v>871</v>
      </c>
      <c r="B335" s="53" t="s">
        <v>270</v>
      </c>
      <c r="C335" s="53" t="s">
        <v>879</v>
      </c>
      <c r="D335" s="15" t="s">
        <v>931</v>
      </c>
      <c r="E335" s="42">
        <v>36706</v>
      </c>
      <c r="F335" s="15">
        <v>5833</v>
      </c>
      <c r="G335" s="15">
        <v>100000</v>
      </c>
      <c r="H335" s="15">
        <f>+F335*G335</f>
        <v>583300000</v>
      </c>
      <c r="I335" s="17" t="s">
        <v>908</v>
      </c>
      <c r="J335" s="43">
        <v>36728</v>
      </c>
      <c r="K335" s="15">
        <v>5833</v>
      </c>
      <c r="L335" s="15">
        <v>100000</v>
      </c>
      <c r="M335" s="15">
        <f>+K335*L335</f>
        <v>583300000</v>
      </c>
      <c r="N335" s="15">
        <f>+M335</f>
        <v>583300000</v>
      </c>
      <c r="O335" s="15">
        <f t="shared" si="28"/>
        <v>0</v>
      </c>
      <c r="P335" s="15">
        <f>+H335-N335</f>
        <v>0</v>
      </c>
      <c r="Q335" s="15"/>
      <c r="R335" s="405" t="s">
        <v>884</v>
      </c>
      <c r="S335" s="405"/>
      <c r="T335" s="405" t="s">
        <v>881</v>
      </c>
      <c r="U335" s="405" t="s">
        <v>878</v>
      </c>
      <c r="V335" s="4"/>
      <c r="W335" s="4"/>
      <c r="X335" s="43">
        <v>36728</v>
      </c>
      <c r="Y335" s="15">
        <v>5833</v>
      </c>
      <c r="Z335" s="15">
        <v>100000</v>
      </c>
      <c r="AA335" s="15">
        <f>+Y335*Z335</f>
        <v>583300000</v>
      </c>
      <c r="AB335" s="251">
        <f>+XIRR(AA334:AA335,X334:X335)</f>
        <v>2.9802322387695314E-9</v>
      </c>
    </row>
    <row r="336" spans="1:28" s="26" customFormat="1" hidden="1">
      <c r="A336" s="402" t="s">
        <v>871</v>
      </c>
      <c r="B336" s="53" t="s">
        <v>270</v>
      </c>
      <c r="C336" s="53" t="s">
        <v>842</v>
      </c>
      <c r="D336" s="15" t="s">
        <v>932</v>
      </c>
      <c r="E336" s="42">
        <v>36607</v>
      </c>
      <c r="F336" s="15"/>
      <c r="G336" s="15"/>
      <c r="H336" s="15">
        <v>3500000000</v>
      </c>
      <c r="I336" s="17" t="s">
        <v>933</v>
      </c>
      <c r="J336" s="43">
        <v>37337</v>
      </c>
      <c r="K336" s="15">
        <v>291666</v>
      </c>
      <c r="L336" s="15">
        <v>12000</v>
      </c>
      <c r="M336" s="15">
        <f>3500000000+358750000</f>
        <v>3858750000</v>
      </c>
      <c r="N336" s="15">
        <v>3500000000</v>
      </c>
      <c r="O336" s="15">
        <f t="shared" si="28"/>
        <v>358750000</v>
      </c>
      <c r="P336" s="15">
        <f>+H336-N336</f>
        <v>0</v>
      </c>
      <c r="Q336" s="15"/>
      <c r="R336" s="405" t="s">
        <v>884</v>
      </c>
      <c r="S336" s="405"/>
      <c r="T336" s="405" t="s">
        <v>881</v>
      </c>
      <c r="U336" s="405" t="s">
        <v>934</v>
      </c>
      <c r="V336" s="4"/>
      <c r="W336" s="15" t="s">
        <v>932</v>
      </c>
      <c r="X336" s="42">
        <v>36607</v>
      </c>
      <c r="Y336" s="15"/>
      <c r="Z336" s="15"/>
      <c r="AA336" s="15">
        <v>-3500000000</v>
      </c>
      <c r="AB336" s="252"/>
    </row>
    <row r="337" spans="1:28" s="26" customFormat="1" hidden="1">
      <c r="A337" s="402" t="s">
        <v>871</v>
      </c>
      <c r="B337" s="53" t="s">
        <v>270</v>
      </c>
      <c r="C337" s="53" t="s">
        <v>873</v>
      </c>
      <c r="D337" s="20" t="s">
        <v>935</v>
      </c>
      <c r="E337" s="44">
        <v>36798</v>
      </c>
      <c r="F337" s="20"/>
      <c r="G337" s="20"/>
      <c r="H337" s="20">
        <v>2000000000</v>
      </c>
      <c r="I337" s="22" t="s">
        <v>936</v>
      </c>
      <c r="J337" s="38">
        <v>36950</v>
      </c>
      <c r="K337" s="20"/>
      <c r="L337" s="20"/>
      <c r="M337" s="20">
        <v>0</v>
      </c>
      <c r="N337" s="20">
        <v>227243634</v>
      </c>
      <c r="O337" s="24">
        <f t="shared" si="28"/>
        <v>-227243634</v>
      </c>
      <c r="P337" s="20"/>
      <c r="Q337" s="20"/>
      <c r="R337" s="401" t="s">
        <v>937</v>
      </c>
      <c r="S337" s="401"/>
      <c r="T337" s="401" t="s">
        <v>877</v>
      </c>
      <c r="U337" s="401" t="s">
        <v>886</v>
      </c>
      <c r="X337" s="43">
        <v>37337</v>
      </c>
      <c r="Y337" s="15">
        <v>291666</v>
      </c>
      <c r="Z337" s="15">
        <v>12000</v>
      </c>
      <c r="AA337" s="15">
        <f>3500000000+358750000</f>
        <v>3858750000</v>
      </c>
      <c r="AB337" s="251">
        <f>+XIRR(AA336:AA337,X336:X337)</f>
        <v>4.9999997019767761E-2</v>
      </c>
    </row>
    <row r="338" spans="1:28" s="26" customFormat="1" hidden="1">
      <c r="A338" s="402" t="s">
        <v>871</v>
      </c>
      <c r="B338" s="53" t="s">
        <v>270</v>
      </c>
      <c r="C338" s="53" t="s">
        <v>873</v>
      </c>
      <c r="D338" s="14" t="s">
        <v>935</v>
      </c>
      <c r="E338" s="45">
        <v>37679</v>
      </c>
      <c r="F338" s="14"/>
      <c r="G338" s="14"/>
      <c r="H338" s="14">
        <v>100000000</v>
      </c>
      <c r="I338" s="28" t="s">
        <v>938</v>
      </c>
      <c r="J338" s="40">
        <v>37256</v>
      </c>
      <c r="K338" s="14"/>
      <c r="L338" s="14"/>
      <c r="M338" s="14">
        <v>0</v>
      </c>
      <c r="N338" s="14">
        <v>404039512</v>
      </c>
      <c r="O338" s="30">
        <f t="shared" si="28"/>
        <v>-404039512</v>
      </c>
      <c r="P338" s="14"/>
      <c r="Q338" s="14"/>
      <c r="R338" s="402" t="s">
        <v>939</v>
      </c>
      <c r="S338" s="402"/>
      <c r="T338" s="402" t="s">
        <v>877</v>
      </c>
      <c r="U338" s="402" t="s">
        <v>886</v>
      </c>
      <c r="W338" s="20" t="s">
        <v>935</v>
      </c>
      <c r="X338" s="44">
        <v>36798</v>
      </c>
      <c r="Y338" s="20"/>
      <c r="Z338" s="20"/>
      <c r="AA338" s="20">
        <v>-2000000000</v>
      </c>
      <c r="AB338" s="252"/>
    </row>
    <row r="339" spans="1:28" s="26" customFormat="1" hidden="1">
      <c r="A339" s="402" t="s">
        <v>871</v>
      </c>
      <c r="B339" s="53" t="s">
        <v>270</v>
      </c>
      <c r="C339" s="53" t="s">
        <v>873</v>
      </c>
      <c r="D339" s="14" t="s">
        <v>935</v>
      </c>
      <c r="E339" s="45"/>
      <c r="F339" s="14"/>
      <c r="G339" s="14"/>
      <c r="H339" s="14"/>
      <c r="I339" s="28" t="s">
        <v>908</v>
      </c>
      <c r="J339" s="40">
        <v>37326</v>
      </c>
      <c r="K339" s="14"/>
      <c r="L339" s="14"/>
      <c r="M339" s="14">
        <v>31740000</v>
      </c>
      <c r="N339" s="14">
        <v>24000000</v>
      </c>
      <c r="O339" s="30">
        <f t="shared" si="28"/>
        <v>7740000</v>
      </c>
      <c r="P339" s="14"/>
      <c r="Q339" s="14"/>
      <c r="R339" s="402" t="s">
        <v>18</v>
      </c>
      <c r="S339" s="402"/>
      <c r="T339" s="402" t="s">
        <v>877</v>
      </c>
      <c r="U339" s="402" t="s">
        <v>21</v>
      </c>
      <c r="W339" s="14" t="s">
        <v>935</v>
      </c>
      <c r="X339" s="45">
        <v>37679</v>
      </c>
      <c r="Y339" s="14"/>
      <c r="Z339" s="14"/>
      <c r="AA339" s="14">
        <v>-100000000</v>
      </c>
      <c r="AB339" s="252"/>
    </row>
    <row r="340" spans="1:28" hidden="1">
      <c r="A340" s="402" t="s">
        <v>871</v>
      </c>
      <c r="B340" s="53" t="s">
        <v>270</v>
      </c>
      <c r="C340" s="53" t="s">
        <v>873</v>
      </c>
      <c r="D340" s="14" t="s">
        <v>935</v>
      </c>
      <c r="E340" s="45"/>
      <c r="F340" s="14"/>
      <c r="G340" s="14"/>
      <c r="H340" s="14"/>
      <c r="I340" s="28" t="s">
        <v>908</v>
      </c>
      <c r="J340" s="40">
        <v>37886</v>
      </c>
      <c r="K340" s="14">
        <v>2000</v>
      </c>
      <c r="L340" s="14">
        <v>16025</v>
      </c>
      <c r="M340" s="14">
        <v>32050000</v>
      </c>
      <c r="N340" s="14">
        <v>21030618</v>
      </c>
      <c r="O340" s="30">
        <f t="shared" ref="O340:O358" si="29">+M340-N340</f>
        <v>11019382</v>
      </c>
      <c r="P340" s="14"/>
      <c r="Q340" s="14"/>
      <c r="R340" s="402" t="s">
        <v>18</v>
      </c>
      <c r="S340" s="402"/>
      <c r="T340" s="402" t="s">
        <v>877</v>
      </c>
      <c r="U340" s="402" t="s">
        <v>21</v>
      </c>
      <c r="V340" s="26"/>
      <c r="W340" s="14" t="s">
        <v>889</v>
      </c>
      <c r="X340" s="45">
        <v>38341</v>
      </c>
      <c r="Y340" s="14">
        <f>+AA340/Z340</f>
        <v>-4408</v>
      </c>
      <c r="Z340" s="14">
        <v>12100</v>
      </c>
      <c r="AA340" s="14">
        <v>-53336800</v>
      </c>
    </row>
    <row r="341" spans="1:28" s="26" customFormat="1" hidden="1">
      <c r="A341" s="402" t="s">
        <v>871</v>
      </c>
      <c r="B341" s="53" t="s">
        <v>270</v>
      </c>
      <c r="C341" s="53" t="s">
        <v>873</v>
      </c>
      <c r="D341" s="14" t="s">
        <v>935</v>
      </c>
      <c r="E341" s="45"/>
      <c r="F341" s="14"/>
      <c r="G341" s="14"/>
      <c r="H341" s="14"/>
      <c r="I341" s="28" t="s">
        <v>908</v>
      </c>
      <c r="J341" s="40">
        <v>37887</v>
      </c>
      <c r="K341" s="14">
        <v>3035</v>
      </c>
      <c r="L341" s="14">
        <v>15487</v>
      </c>
      <c r="M341" s="14">
        <v>47002500</v>
      </c>
      <c r="N341" s="14">
        <v>31913963</v>
      </c>
      <c r="O341" s="30">
        <f t="shared" si="29"/>
        <v>15088537</v>
      </c>
      <c r="P341" s="14"/>
      <c r="Q341" s="14"/>
      <c r="R341" s="402" t="s">
        <v>18</v>
      </c>
      <c r="S341" s="402"/>
      <c r="T341" s="402" t="s">
        <v>877</v>
      </c>
      <c r="U341" s="402" t="s">
        <v>21</v>
      </c>
      <c r="X341" s="40">
        <v>37326</v>
      </c>
      <c r="Y341" s="14"/>
      <c r="Z341" s="14"/>
      <c r="AA341" s="14">
        <v>31740000</v>
      </c>
      <c r="AB341" s="252"/>
    </row>
    <row r="342" spans="1:28" s="26" customFormat="1" hidden="1">
      <c r="A342" s="402" t="s">
        <v>871</v>
      </c>
      <c r="B342" s="53" t="s">
        <v>270</v>
      </c>
      <c r="C342" s="53" t="s">
        <v>873</v>
      </c>
      <c r="D342" s="14" t="s">
        <v>935</v>
      </c>
      <c r="E342" s="45"/>
      <c r="F342" s="14"/>
      <c r="G342" s="14"/>
      <c r="H342" s="14"/>
      <c r="I342" s="28" t="s">
        <v>908</v>
      </c>
      <c r="J342" s="40">
        <v>37888</v>
      </c>
      <c r="K342" s="14">
        <v>9965</v>
      </c>
      <c r="L342" s="14">
        <v>15643</v>
      </c>
      <c r="M342" s="14">
        <v>155877700</v>
      </c>
      <c r="N342" s="14">
        <v>104785054</v>
      </c>
      <c r="O342" s="30">
        <f t="shared" si="29"/>
        <v>51092646</v>
      </c>
      <c r="P342" s="14"/>
      <c r="Q342" s="14"/>
      <c r="R342" s="402" t="s">
        <v>18</v>
      </c>
      <c r="S342" s="402"/>
      <c r="T342" s="402" t="s">
        <v>877</v>
      </c>
      <c r="U342" s="402" t="s">
        <v>21</v>
      </c>
      <c r="X342" s="40">
        <v>37886</v>
      </c>
      <c r="Y342" s="14">
        <v>2000</v>
      </c>
      <c r="Z342" s="14">
        <v>16025</v>
      </c>
      <c r="AA342" s="14">
        <v>32050000</v>
      </c>
      <c r="AB342" s="252"/>
    </row>
    <row r="343" spans="1:28" s="26" customFormat="1" hidden="1">
      <c r="A343" s="402" t="s">
        <v>887</v>
      </c>
      <c r="B343" s="53" t="s">
        <v>270</v>
      </c>
      <c r="C343" s="53" t="s">
        <v>888</v>
      </c>
      <c r="D343" s="14" t="s">
        <v>889</v>
      </c>
      <c r="E343" s="45"/>
      <c r="F343" s="14"/>
      <c r="G343" s="14"/>
      <c r="H343" s="14"/>
      <c r="I343" s="28" t="s">
        <v>927</v>
      </c>
      <c r="J343" s="40">
        <v>37890</v>
      </c>
      <c r="K343" s="14">
        <v>4000</v>
      </c>
      <c r="L343" s="14">
        <v>16063</v>
      </c>
      <c r="M343" s="14">
        <v>64250000</v>
      </c>
      <c r="N343" s="14">
        <v>42061236</v>
      </c>
      <c r="O343" s="30">
        <f t="shared" si="29"/>
        <v>22188764</v>
      </c>
      <c r="P343" s="14"/>
      <c r="Q343" s="14"/>
      <c r="R343" s="402" t="s">
        <v>18</v>
      </c>
      <c r="S343" s="402"/>
      <c r="T343" s="402" t="s">
        <v>890</v>
      </c>
      <c r="U343" s="402" t="s">
        <v>21</v>
      </c>
      <c r="X343" s="40">
        <v>37887</v>
      </c>
      <c r="Y343" s="14">
        <v>3035</v>
      </c>
      <c r="Z343" s="14">
        <v>15487</v>
      </c>
      <c r="AA343" s="14">
        <v>47002500</v>
      </c>
      <c r="AB343" s="252"/>
    </row>
    <row r="344" spans="1:28" s="26" customFormat="1" hidden="1">
      <c r="A344" s="402" t="s">
        <v>887</v>
      </c>
      <c r="B344" s="53" t="s">
        <v>270</v>
      </c>
      <c r="C344" s="53" t="s">
        <v>888</v>
      </c>
      <c r="D344" s="14" t="s">
        <v>889</v>
      </c>
      <c r="E344" s="45"/>
      <c r="F344" s="14"/>
      <c r="G344" s="14"/>
      <c r="H344" s="14"/>
      <c r="I344" s="28" t="s">
        <v>927</v>
      </c>
      <c r="J344" s="40">
        <v>37893</v>
      </c>
      <c r="K344" s="14">
        <v>3300</v>
      </c>
      <c r="L344" s="14">
        <v>16603</v>
      </c>
      <c r="M344" s="14">
        <v>54790000</v>
      </c>
      <c r="N344" s="14">
        <v>34700520</v>
      </c>
      <c r="O344" s="30">
        <f t="shared" si="29"/>
        <v>20089480</v>
      </c>
      <c r="P344" s="14"/>
      <c r="Q344" s="14"/>
      <c r="R344" s="402" t="s">
        <v>18</v>
      </c>
      <c r="S344" s="402"/>
      <c r="T344" s="402" t="s">
        <v>890</v>
      </c>
      <c r="U344" s="402" t="s">
        <v>21</v>
      </c>
      <c r="X344" s="40">
        <v>37888</v>
      </c>
      <c r="Y344" s="14">
        <v>9965</v>
      </c>
      <c r="Z344" s="14">
        <v>15643</v>
      </c>
      <c r="AA344" s="14">
        <v>155877700</v>
      </c>
      <c r="AB344" s="252"/>
    </row>
    <row r="345" spans="1:28" s="26" customFormat="1" hidden="1">
      <c r="A345" s="402" t="s">
        <v>887</v>
      </c>
      <c r="B345" s="53" t="s">
        <v>270</v>
      </c>
      <c r="C345" s="53" t="s">
        <v>888</v>
      </c>
      <c r="D345" s="14" t="s">
        <v>889</v>
      </c>
      <c r="E345" s="45"/>
      <c r="F345" s="14"/>
      <c r="G345" s="14"/>
      <c r="H345" s="14"/>
      <c r="I345" s="28" t="s">
        <v>927</v>
      </c>
      <c r="J345" s="40">
        <v>37894</v>
      </c>
      <c r="K345" s="14">
        <v>3200</v>
      </c>
      <c r="L345" s="14">
        <v>16669</v>
      </c>
      <c r="M345" s="14">
        <v>53340000</v>
      </c>
      <c r="N345" s="14">
        <v>33648989</v>
      </c>
      <c r="O345" s="30">
        <f t="shared" si="29"/>
        <v>19691011</v>
      </c>
      <c r="P345" s="14"/>
      <c r="Q345" s="14"/>
      <c r="R345" s="402" t="s">
        <v>18</v>
      </c>
      <c r="S345" s="402"/>
      <c r="T345" s="402" t="s">
        <v>890</v>
      </c>
      <c r="U345" s="402" t="s">
        <v>21</v>
      </c>
      <c r="X345" s="40">
        <v>37890</v>
      </c>
      <c r="Y345" s="14">
        <v>4000</v>
      </c>
      <c r="Z345" s="14">
        <v>16063</v>
      </c>
      <c r="AA345" s="14">
        <v>64250000</v>
      </c>
      <c r="AB345" s="252"/>
    </row>
    <row r="346" spans="1:28" s="26" customFormat="1" hidden="1">
      <c r="A346" s="402" t="s">
        <v>887</v>
      </c>
      <c r="B346" s="53" t="s">
        <v>270</v>
      </c>
      <c r="C346" s="53" t="s">
        <v>888</v>
      </c>
      <c r="D346" s="14" t="s">
        <v>889</v>
      </c>
      <c r="E346" s="45"/>
      <c r="F346" s="14"/>
      <c r="G346" s="14"/>
      <c r="H346" s="14"/>
      <c r="I346" s="28" t="s">
        <v>927</v>
      </c>
      <c r="J346" s="40">
        <v>37986</v>
      </c>
      <c r="K346" s="14"/>
      <c r="L346" s="14"/>
      <c r="M346" s="14"/>
      <c r="N346" s="14">
        <v>-298523526</v>
      </c>
      <c r="O346" s="30">
        <f t="shared" si="29"/>
        <v>298523526</v>
      </c>
      <c r="P346" s="14"/>
      <c r="Q346" s="14"/>
      <c r="R346" s="402" t="s">
        <v>18</v>
      </c>
      <c r="S346" s="402"/>
      <c r="T346" s="402" t="s">
        <v>890</v>
      </c>
      <c r="U346" s="402" t="s">
        <v>21</v>
      </c>
      <c r="X346" s="40">
        <v>37893</v>
      </c>
      <c r="Y346" s="14">
        <v>3300</v>
      </c>
      <c r="Z346" s="14">
        <v>16603</v>
      </c>
      <c r="AA346" s="14">
        <v>54790000</v>
      </c>
      <c r="AB346" s="252"/>
    </row>
    <row r="347" spans="1:28" s="26" customFormat="1" hidden="1">
      <c r="A347" s="402" t="s">
        <v>887</v>
      </c>
      <c r="B347" s="53" t="s">
        <v>270</v>
      </c>
      <c r="C347" s="53" t="s">
        <v>888</v>
      </c>
      <c r="D347" s="14" t="s">
        <v>889</v>
      </c>
      <c r="E347" s="45"/>
      <c r="F347" s="14"/>
      <c r="G347" s="14"/>
      <c r="H347" s="14"/>
      <c r="I347" s="28" t="s">
        <v>927</v>
      </c>
      <c r="J347" s="40">
        <v>38040</v>
      </c>
      <c r="K347" s="14">
        <v>5000</v>
      </c>
      <c r="L347" s="14">
        <v>21198</v>
      </c>
      <c r="M347" s="14">
        <v>105513947</v>
      </c>
      <c r="N347" s="14">
        <v>99000000</v>
      </c>
      <c r="O347" s="30">
        <f t="shared" si="29"/>
        <v>6513947</v>
      </c>
      <c r="P347" s="14"/>
      <c r="Q347" s="14"/>
      <c r="R347" s="402" t="s">
        <v>18</v>
      </c>
      <c r="S347" s="402"/>
      <c r="T347" s="402" t="s">
        <v>890</v>
      </c>
      <c r="U347" s="402" t="s">
        <v>21</v>
      </c>
      <c r="X347" s="40">
        <v>37894</v>
      </c>
      <c r="Y347" s="14">
        <v>3200</v>
      </c>
      <c r="Z347" s="14">
        <v>16669</v>
      </c>
      <c r="AA347" s="14">
        <v>53340000</v>
      </c>
      <c r="AB347" s="252"/>
    </row>
    <row r="348" spans="1:28" s="26" customFormat="1" hidden="1">
      <c r="A348" s="402" t="s">
        <v>887</v>
      </c>
      <c r="B348" s="53" t="s">
        <v>270</v>
      </c>
      <c r="C348" s="53" t="s">
        <v>888</v>
      </c>
      <c r="D348" s="14" t="s">
        <v>889</v>
      </c>
      <c r="E348" s="45"/>
      <c r="F348" s="14"/>
      <c r="G348" s="14"/>
      <c r="H348" s="14"/>
      <c r="I348" s="28" t="s">
        <v>927</v>
      </c>
      <c r="J348" s="40">
        <v>38041</v>
      </c>
      <c r="K348" s="14">
        <v>2500</v>
      </c>
      <c r="L348" s="14">
        <v>21118</v>
      </c>
      <c r="M348" s="14">
        <v>52557425</v>
      </c>
      <c r="N348" s="14">
        <v>49500000</v>
      </c>
      <c r="O348" s="30">
        <f t="shared" si="29"/>
        <v>3057425</v>
      </c>
      <c r="P348" s="14"/>
      <c r="Q348" s="14"/>
      <c r="R348" s="402" t="s">
        <v>18</v>
      </c>
      <c r="S348" s="402"/>
      <c r="T348" s="402" t="s">
        <v>890</v>
      </c>
      <c r="U348" s="402" t="s">
        <v>21</v>
      </c>
      <c r="X348" s="40">
        <v>37986</v>
      </c>
      <c r="Y348" s="14"/>
      <c r="Z348" s="14"/>
      <c r="AA348" s="14"/>
      <c r="AB348" s="252"/>
    </row>
    <row r="349" spans="1:28" s="26" customFormat="1" hidden="1">
      <c r="A349" s="402" t="s">
        <v>887</v>
      </c>
      <c r="B349" s="53" t="s">
        <v>270</v>
      </c>
      <c r="C349" s="53" t="s">
        <v>888</v>
      </c>
      <c r="D349" s="14" t="s">
        <v>889</v>
      </c>
      <c r="E349" s="45"/>
      <c r="F349" s="14"/>
      <c r="G349" s="14"/>
      <c r="H349" s="14"/>
      <c r="I349" s="28" t="s">
        <v>927</v>
      </c>
      <c r="J349" s="40">
        <v>38246</v>
      </c>
      <c r="K349" s="14">
        <v>32053</v>
      </c>
      <c r="L349" s="14">
        <v>18190</v>
      </c>
      <c r="M349" s="14">
        <v>580418414</v>
      </c>
      <c r="N349" s="14">
        <v>634649400</v>
      </c>
      <c r="O349" s="30">
        <f t="shared" si="29"/>
        <v>-54230986</v>
      </c>
      <c r="P349" s="14"/>
      <c r="Q349" s="14"/>
      <c r="R349" s="402" t="s">
        <v>18</v>
      </c>
      <c r="S349" s="402"/>
      <c r="T349" s="402" t="s">
        <v>890</v>
      </c>
      <c r="U349" s="402" t="s">
        <v>21</v>
      </c>
      <c r="X349" s="40">
        <v>38040</v>
      </c>
      <c r="Y349" s="14">
        <v>5000</v>
      </c>
      <c r="Z349" s="14">
        <v>21198</v>
      </c>
      <c r="AA349" s="14">
        <v>105513947</v>
      </c>
      <c r="AB349" s="252"/>
    </row>
    <row r="350" spans="1:28" s="26" customFormat="1" hidden="1">
      <c r="A350" s="402" t="s">
        <v>887</v>
      </c>
      <c r="B350" s="53" t="s">
        <v>270</v>
      </c>
      <c r="C350" s="53" t="s">
        <v>888</v>
      </c>
      <c r="D350" s="14" t="s">
        <v>889</v>
      </c>
      <c r="E350" s="45"/>
      <c r="F350" s="14"/>
      <c r="G350" s="14"/>
      <c r="H350" s="14"/>
      <c r="I350" s="28" t="s">
        <v>927</v>
      </c>
      <c r="J350" s="40">
        <v>38252</v>
      </c>
      <c r="K350" s="14">
        <v>5947</v>
      </c>
      <c r="L350" s="14">
        <v>18369</v>
      </c>
      <c r="M350" s="14">
        <v>108749018</v>
      </c>
      <c r="N350" s="14">
        <v>117750600</v>
      </c>
      <c r="O350" s="30">
        <f t="shared" si="29"/>
        <v>-9001582</v>
      </c>
      <c r="P350" s="14"/>
      <c r="Q350" s="14"/>
      <c r="R350" s="402" t="s">
        <v>18</v>
      </c>
      <c r="S350" s="402"/>
      <c r="T350" s="402" t="s">
        <v>890</v>
      </c>
      <c r="U350" s="402" t="s">
        <v>21</v>
      </c>
      <c r="X350" s="40">
        <v>38041</v>
      </c>
      <c r="Y350" s="14">
        <v>2500</v>
      </c>
      <c r="Z350" s="14">
        <v>21118</v>
      </c>
      <c r="AA350" s="14">
        <v>52557425</v>
      </c>
      <c r="AB350" s="252"/>
    </row>
    <row r="351" spans="1:28" s="26" customFormat="1" hidden="1">
      <c r="A351" s="402" t="s">
        <v>887</v>
      </c>
      <c r="B351" s="53" t="s">
        <v>270</v>
      </c>
      <c r="C351" s="53" t="s">
        <v>888</v>
      </c>
      <c r="D351" s="14" t="s">
        <v>889</v>
      </c>
      <c r="E351" s="45">
        <v>38341</v>
      </c>
      <c r="F351" s="14">
        <f>+H351/G351</f>
        <v>4408</v>
      </c>
      <c r="G351" s="14">
        <v>12100</v>
      </c>
      <c r="H351" s="14">
        <v>53336800</v>
      </c>
      <c r="I351" s="28" t="s">
        <v>927</v>
      </c>
      <c r="J351" s="40">
        <v>38316</v>
      </c>
      <c r="K351" s="14">
        <v>4550</v>
      </c>
      <c r="L351" s="14">
        <v>18208</v>
      </c>
      <c r="M351" s="14">
        <v>82474687</v>
      </c>
      <c r="N351" s="14">
        <v>90090000</v>
      </c>
      <c r="O351" s="30">
        <f t="shared" si="29"/>
        <v>-7615313</v>
      </c>
      <c r="P351" s="14"/>
      <c r="Q351" s="14"/>
      <c r="R351" s="402" t="s">
        <v>18</v>
      </c>
      <c r="S351" s="402"/>
      <c r="T351" s="402" t="s">
        <v>890</v>
      </c>
      <c r="U351" s="402" t="s">
        <v>21</v>
      </c>
      <c r="X351" s="40">
        <v>38246</v>
      </c>
      <c r="Y351" s="14">
        <v>32053</v>
      </c>
      <c r="Z351" s="14">
        <v>18190</v>
      </c>
      <c r="AA351" s="14">
        <v>580418414</v>
      </c>
      <c r="AB351" s="252"/>
    </row>
    <row r="352" spans="1:28" s="26" customFormat="1" hidden="1">
      <c r="A352" s="402" t="s">
        <v>887</v>
      </c>
      <c r="B352" s="53" t="s">
        <v>270</v>
      </c>
      <c r="C352" s="53" t="s">
        <v>888</v>
      </c>
      <c r="D352" s="14" t="s">
        <v>889</v>
      </c>
      <c r="E352" s="45"/>
      <c r="F352" s="14"/>
      <c r="G352" s="14"/>
      <c r="H352" s="14"/>
      <c r="I352" s="28" t="s">
        <v>927</v>
      </c>
      <c r="J352" s="40">
        <v>38323</v>
      </c>
      <c r="K352" s="14">
        <v>10450</v>
      </c>
      <c r="L352" s="14">
        <v>18984</v>
      </c>
      <c r="M352" s="14">
        <v>197499742</v>
      </c>
      <c r="N352" s="14">
        <v>206910000</v>
      </c>
      <c r="O352" s="30">
        <f t="shared" si="29"/>
        <v>-9410258</v>
      </c>
      <c r="P352" s="14"/>
      <c r="Q352" s="14"/>
      <c r="R352" s="402" t="s">
        <v>18</v>
      </c>
      <c r="S352" s="402"/>
      <c r="T352" s="402" t="s">
        <v>890</v>
      </c>
      <c r="U352" s="402" t="s">
        <v>21</v>
      </c>
      <c r="X352" s="40">
        <v>38252</v>
      </c>
      <c r="Y352" s="14">
        <v>5947</v>
      </c>
      <c r="Z352" s="14">
        <v>18369</v>
      </c>
      <c r="AA352" s="14">
        <v>108749018</v>
      </c>
      <c r="AB352" s="252"/>
    </row>
    <row r="353" spans="1:28" hidden="1">
      <c r="A353" s="402" t="s">
        <v>887</v>
      </c>
      <c r="B353" s="53" t="s">
        <v>270</v>
      </c>
      <c r="C353" s="53" t="s">
        <v>888</v>
      </c>
      <c r="D353" s="14" t="s">
        <v>889</v>
      </c>
      <c r="E353" s="45"/>
      <c r="F353" s="14"/>
      <c r="G353" s="14"/>
      <c r="H353" s="14"/>
      <c r="I353" s="28" t="s">
        <v>927</v>
      </c>
      <c r="J353" s="40">
        <v>38324</v>
      </c>
      <c r="K353" s="14">
        <v>2000</v>
      </c>
      <c r="L353" s="14">
        <v>19625</v>
      </c>
      <c r="M353" s="14">
        <v>39073380</v>
      </c>
      <c r="N353" s="14">
        <v>39600000</v>
      </c>
      <c r="O353" s="30">
        <f t="shared" si="29"/>
        <v>-526620</v>
      </c>
      <c r="P353" s="14"/>
      <c r="Q353" s="14"/>
      <c r="R353" s="402" t="s">
        <v>18</v>
      </c>
      <c r="S353" s="402"/>
      <c r="T353" s="402" t="s">
        <v>890</v>
      </c>
      <c r="U353" s="402" t="s">
        <v>21</v>
      </c>
      <c r="V353" s="26"/>
      <c r="W353" s="26"/>
      <c r="X353" s="40">
        <v>38316</v>
      </c>
      <c r="Y353" s="14">
        <v>4550</v>
      </c>
      <c r="Z353" s="14">
        <v>18208</v>
      </c>
      <c r="AA353" s="14">
        <v>82474687</v>
      </c>
    </row>
    <row r="354" spans="1:28" s="26" customFormat="1" hidden="1">
      <c r="A354" s="402" t="s">
        <v>887</v>
      </c>
      <c r="B354" s="53" t="s">
        <v>270</v>
      </c>
      <c r="C354" s="53" t="s">
        <v>888</v>
      </c>
      <c r="D354" s="14" t="s">
        <v>889</v>
      </c>
      <c r="E354" s="45"/>
      <c r="F354" s="14"/>
      <c r="G354" s="14"/>
      <c r="H354" s="14"/>
      <c r="I354" s="28" t="s">
        <v>927</v>
      </c>
      <c r="J354" s="40">
        <v>38327</v>
      </c>
      <c r="K354" s="14">
        <v>500</v>
      </c>
      <c r="L354" s="14">
        <v>19000</v>
      </c>
      <c r="M354" s="14">
        <v>9457250</v>
      </c>
      <c r="N354" s="14">
        <v>9900000</v>
      </c>
      <c r="O354" s="30">
        <f t="shared" si="29"/>
        <v>-442750</v>
      </c>
      <c r="P354" s="14"/>
      <c r="Q354" s="14"/>
      <c r="R354" s="402" t="s">
        <v>18</v>
      </c>
      <c r="S354" s="402"/>
      <c r="T354" s="402" t="s">
        <v>890</v>
      </c>
      <c r="U354" s="402" t="s">
        <v>21</v>
      </c>
      <c r="X354" s="40">
        <v>38323</v>
      </c>
      <c r="Y354" s="14">
        <v>10450</v>
      </c>
      <c r="Z354" s="14">
        <v>18984</v>
      </c>
      <c r="AA354" s="14">
        <v>197499742</v>
      </c>
      <c r="AB354" s="252"/>
    </row>
    <row r="355" spans="1:28" s="26" customFormat="1" hidden="1">
      <c r="A355" s="402" t="s">
        <v>887</v>
      </c>
      <c r="B355" s="53" t="s">
        <v>270</v>
      </c>
      <c r="C355" s="53" t="s">
        <v>888</v>
      </c>
      <c r="D355" s="14" t="s">
        <v>889</v>
      </c>
      <c r="E355" s="45"/>
      <c r="F355" s="14"/>
      <c r="G355" s="14"/>
      <c r="H355" s="14"/>
      <c r="I355" s="28" t="s">
        <v>927</v>
      </c>
      <c r="J355" s="40">
        <v>38328</v>
      </c>
      <c r="K355" s="14">
        <v>68</v>
      </c>
      <c r="L355" s="14">
        <v>18650</v>
      </c>
      <c r="M355" s="14">
        <v>1262495</v>
      </c>
      <c r="N355" s="14">
        <v>1346400</v>
      </c>
      <c r="O355" s="30">
        <f t="shared" si="29"/>
        <v>-83905</v>
      </c>
      <c r="P355" s="14"/>
      <c r="Q355" s="14"/>
      <c r="R355" s="402" t="s">
        <v>18</v>
      </c>
      <c r="S355" s="402"/>
      <c r="T355" s="402" t="s">
        <v>890</v>
      </c>
      <c r="U355" s="402" t="s">
        <v>21</v>
      </c>
      <c r="X355" s="40">
        <v>38324</v>
      </c>
      <c r="Y355" s="14">
        <v>2000</v>
      </c>
      <c r="Z355" s="14">
        <v>19625</v>
      </c>
      <c r="AA355" s="14">
        <v>39073380</v>
      </c>
      <c r="AB355" s="252"/>
    </row>
    <row r="356" spans="1:28" hidden="1">
      <c r="A356" s="402" t="s">
        <v>887</v>
      </c>
      <c r="B356" s="53" t="s">
        <v>270</v>
      </c>
      <c r="C356" s="53" t="s">
        <v>888</v>
      </c>
      <c r="D356" s="14" t="s">
        <v>889</v>
      </c>
      <c r="E356" s="45"/>
      <c r="F356" s="14"/>
      <c r="G356" s="14"/>
      <c r="H356" s="14"/>
      <c r="I356" s="28" t="s">
        <v>927</v>
      </c>
      <c r="J356" s="40">
        <v>38329</v>
      </c>
      <c r="K356" s="14">
        <v>2932</v>
      </c>
      <c r="L356" s="14">
        <v>18650</v>
      </c>
      <c r="M356" s="14">
        <v>54631455</v>
      </c>
      <c r="N356" s="14">
        <v>58053600</v>
      </c>
      <c r="O356" s="30">
        <f t="shared" si="29"/>
        <v>-3422145</v>
      </c>
      <c r="P356" s="14"/>
      <c r="Q356" s="14"/>
      <c r="R356" s="402" t="s">
        <v>18</v>
      </c>
      <c r="S356" s="402"/>
      <c r="T356" s="402" t="s">
        <v>890</v>
      </c>
      <c r="U356" s="402" t="s">
        <v>21</v>
      </c>
      <c r="V356" s="26"/>
      <c r="W356" s="26"/>
      <c r="X356" s="40">
        <v>38327</v>
      </c>
      <c r="Y356" s="14">
        <v>500</v>
      </c>
      <c r="Z356" s="14">
        <v>19000</v>
      </c>
      <c r="AA356" s="14">
        <v>9457250</v>
      </c>
    </row>
    <row r="357" spans="1:28" s="26" customFormat="1" hidden="1">
      <c r="A357" s="402" t="s">
        <v>887</v>
      </c>
      <c r="B357" s="53" t="s">
        <v>270</v>
      </c>
      <c r="C357" s="53" t="s">
        <v>888</v>
      </c>
      <c r="D357" s="14" t="s">
        <v>889</v>
      </c>
      <c r="E357" s="45"/>
      <c r="F357" s="14"/>
      <c r="G357" s="14"/>
      <c r="H357" s="14"/>
      <c r="I357" s="28" t="s">
        <v>927</v>
      </c>
      <c r="J357" s="40">
        <v>38330</v>
      </c>
      <c r="K357" s="14">
        <v>8500</v>
      </c>
      <c r="L357" s="14">
        <v>19063</v>
      </c>
      <c r="M357" s="14">
        <v>161306044</v>
      </c>
      <c r="N357" s="14">
        <v>168300000</v>
      </c>
      <c r="O357" s="30">
        <f t="shared" si="29"/>
        <v>-6993956</v>
      </c>
      <c r="P357" s="14"/>
      <c r="Q357" s="14"/>
      <c r="R357" s="402" t="s">
        <v>18</v>
      </c>
      <c r="S357" s="402"/>
      <c r="T357" s="402" t="s">
        <v>890</v>
      </c>
      <c r="U357" s="402" t="s">
        <v>21</v>
      </c>
      <c r="X357" s="40">
        <v>38328</v>
      </c>
      <c r="Y357" s="14">
        <v>68</v>
      </c>
      <c r="Z357" s="14">
        <v>18650</v>
      </c>
      <c r="AA357" s="14">
        <v>1262495</v>
      </c>
      <c r="AB357" s="252"/>
    </row>
    <row r="358" spans="1:28" s="26" customFormat="1" hidden="1">
      <c r="A358" s="402" t="s">
        <v>887</v>
      </c>
      <c r="B358" s="53" t="s">
        <v>270</v>
      </c>
      <c r="C358" s="53" t="s">
        <v>888</v>
      </c>
      <c r="D358" s="14" t="s">
        <v>889</v>
      </c>
      <c r="E358" s="46"/>
      <c r="F358" s="11"/>
      <c r="G358" s="11"/>
      <c r="H358" s="11"/>
      <c r="I358" s="28" t="s">
        <v>927</v>
      </c>
      <c r="J358" s="41">
        <v>38370</v>
      </c>
      <c r="K358" s="11">
        <v>4408</v>
      </c>
      <c r="L358" s="11">
        <v>15639</v>
      </c>
      <c r="M358" s="11">
        <f>15603000+53336800</f>
        <v>68939800</v>
      </c>
      <c r="N358" s="11">
        <v>53336800</v>
      </c>
      <c r="O358" s="35">
        <f t="shared" si="29"/>
        <v>15603000</v>
      </c>
      <c r="P358" s="11">
        <f>+SUM(H337:H358)-SUM(N337:N358)</f>
        <v>0</v>
      </c>
      <c r="Q358" s="11"/>
      <c r="R358" s="403" t="s">
        <v>18</v>
      </c>
      <c r="S358" s="403"/>
      <c r="T358" s="403" t="s">
        <v>890</v>
      </c>
      <c r="U358" s="403" t="s">
        <v>21</v>
      </c>
      <c r="X358" s="40">
        <v>38329</v>
      </c>
      <c r="Y358" s="14">
        <v>2932</v>
      </c>
      <c r="Z358" s="14">
        <v>18650</v>
      </c>
      <c r="AA358" s="14">
        <v>54631455</v>
      </c>
      <c r="AB358" s="252"/>
    </row>
    <row r="359" spans="1:28" s="26" customFormat="1" hidden="1">
      <c r="A359" s="402" t="s">
        <v>843</v>
      </c>
      <c r="B359" s="53" t="s">
        <v>270</v>
      </c>
      <c r="C359" s="53" t="s">
        <v>850</v>
      </c>
      <c r="D359" s="20" t="s">
        <v>1065</v>
      </c>
      <c r="E359" s="44">
        <v>37350</v>
      </c>
      <c r="F359" s="20">
        <v>274848</v>
      </c>
      <c r="G359" s="20">
        <v>10500</v>
      </c>
      <c r="H359" s="20">
        <v>2885904000</v>
      </c>
      <c r="I359" s="22" t="s">
        <v>905</v>
      </c>
      <c r="J359" s="38">
        <v>37540</v>
      </c>
      <c r="K359" s="20">
        <v>170713</v>
      </c>
      <c r="L359" s="20">
        <f>+M359/K359</f>
        <v>16479.730231441074</v>
      </c>
      <c r="M359" s="20">
        <v>2813304187</v>
      </c>
      <c r="N359" s="20">
        <v>1792486500</v>
      </c>
      <c r="O359" s="24">
        <f t="shared" ref="O359:O366" si="30">+M359-N359</f>
        <v>1020817687</v>
      </c>
      <c r="P359" s="20"/>
      <c r="Q359" s="20"/>
      <c r="R359" s="401" t="s">
        <v>18</v>
      </c>
      <c r="S359" s="401"/>
      <c r="T359" s="401" t="s">
        <v>855</v>
      </c>
      <c r="U359" s="401" t="s">
        <v>854</v>
      </c>
      <c r="X359" s="40">
        <v>38330</v>
      </c>
      <c r="Y359" s="14">
        <v>8500</v>
      </c>
      <c r="Z359" s="14">
        <v>19063</v>
      </c>
      <c r="AA359" s="14">
        <v>161306044</v>
      </c>
      <c r="AB359" s="252"/>
    </row>
    <row r="360" spans="1:28" s="26" customFormat="1" hidden="1">
      <c r="A360" s="402" t="s">
        <v>843</v>
      </c>
      <c r="B360" s="53" t="s">
        <v>270</v>
      </c>
      <c r="C360" s="53" t="s">
        <v>850</v>
      </c>
      <c r="D360" s="11" t="s">
        <v>1065</v>
      </c>
      <c r="E360" s="46"/>
      <c r="F360" s="11"/>
      <c r="G360" s="11"/>
      <c r="H360" s="11"/>
      <c r="I360" s="33" t="s">
        <v>844</v>
      </c>
      <c r="J360" s="41">
        <v>38352</v>
      </c>
      <c r="K360" s="11"/>
      <c r="L360" s="11"/>
      <c r="M360" s="11">
        <v>0</v>
      </c>
      <c r="N360" s="11">
        <v>1093417500</v>
      </c>
      <c r="O360" s="35">
        <f t="shared" si="30"/>
        <v>-1093417500</v>
      </c>
      <c r="P360" s="11">
        <f>+SUM(H359:H360)-SUM(N359:N360)</f>
        <v>0</v>
      </c>
      <c r="Q360" s="11"/>
      <c r="R360" s="403" t="s">
        <v>848</v>
      </c>
      <c r="S360" s="403"/>
      <c r="T360" s="403" t="s">
        <v>855</v>
      </c>
      <c r="U360" s="403" t="s">
        <v>854</v>
      </c>
      <c r="X360" s="41">
        <v>38370</v>
      </c>
      <c r="Y360" s="11">
        <v>4408</v>
      </c>
      <c r="Z360" s="11">
        <v>15639</v>
      </c>
      <c r="AA360" s="11">
        <f>15603000+53336800</f>
        <v>68939800</v>
      </c>
      <c r="AB360" s="251">
        <f>+XIRR(AA338:AA360,X338:X360)</f>
        <v>-3.479467928409577E-2</v>
      </c>
    </row>
    <row r="361" spans="1:28" s="26" customFormat="1" hidden="1">
      <c r="A361" s="402" t="s">
        <v>843</v>
      </c>
      <c r="B361" s="53" t="s">
        <v>270</v>
      </c>
      <c r="C361" s="53" t="s">
        <v>850</v>
      </c>
      <c r="D361" s="20" t="s">
        <v>1066</v>
      </c>
      <c r="E361" s="44">
        <v>37623</v>
      </c>
      <c r="F361" s="20">
        <v>27777</v>
      </c>
      <c r="G361" s="20">
        <v>1050</v>
      </c>
      <c r="H361" s="20">
        <v>29165583</v>
      </c>
      <c r="I361" s="22" t="s">
        <v>844</v>
      </c>
      <c r="J361" s="38">
        <v>38352</v>
      </c>
      <c r="K361" s="20"/>
      <c r="L361" s="20"/>
      <c r="M361" s="20">
        <v>0</v>
      </c>
      <c r="N361" s="20">
        <v>29165583</v>
      </c>
      <c r="O361" s="20">
        <f t="shared" si="30"/>
        <v>-29165583</v>
      </c>
      <c r="P361" s="20"/>
      <c r="Q361" s="20"/>
      <c r="R361" s="401" t="s">
        <v>848</v>
      </c>
      <c r="S361" s="401"/>
      <c r="T361" s="401" t="s">
        <v>846</v>
      </c>
      <c r="U361" s="401" t="s">
        <v>853</v>
      </c>
      <c r="W361" s="20" t="s">
        <v>1065</v>
      </c>
      <c r="X361" s="44">
        <v>37350</v>
      </c>
      <c r="Y361" s="20">
        <v>274848</v>
      </c>
      <c r="Z361" s="20">
        <v>10500</v>
      </c>
      <c r="AA361" s="20">
        <v>-2885904000</v>
      </c>
      <c r="AB361" s="252"/>
    </row>
    <row r="362" spans="1:28" s="26" customFormat="1" hidden="1">
      <c r="A362" s="402" t="s">
        <v>843</v>
      </c>
      <c r="B362" s="53" t="s">
        <v>270</v>
      </c>
      <c r="C362" s="53" t="s">
        <v>841</v>
      </c>
      <c r="D362" s="14" t="s">
        <v>1066</v>
      </c>
      <c r="E362" s="45">
        <v>37672</v>
      </c>
      <c r="F362" s="14">
        <v>18565</v>
      </c>
      <c r="G362" s="14">
        <v>800</v>
      </c>
      <c r="H362" s="14">
        <v>14852000</v>
      </c>
      <c r="I362" s="28" t="s">
        <v>844</v>
      </c>
      <c r="J362" s="40">
        <v>38352</v>
      </c>
      <c r="K362" s="14"/>
      <c r="L362" s="14"/>
      <c r="M362" s="14">
        <v>0</v>
      </c>
      <c r="N362" s="14">
        <v>14852000</v>
      </c>
      <c r="O362" s="14">
        <f t="shared" si="30"/>
        <v>-14852000</v>
      </c>
      <c r="P362" s="14"/>
      <c r="Q362" s="14"/>
      <c r="R362" s="402" t="s">
        <v>848</v>
      </c>
      <c r="S362" s="402"/>
      <c r="T362" s="402" t="s">
        <v>846</v>
      </c>
      <c r="U362" s="402" t="s">
        <v>853</v>
      </c>
      <c r="X362" s="38">
        <v>37540</v>
      </c>
      <c r="Y362" s="20">
        <v>170713</v>
      </c>
      <c r="Z362" s="20">
        <f>+AA362/Y362</f>
        <v>16479.730231441074</v>
      </c>
      <c r="AA362" s="20">
        <v>2813304187</v>
      </c>
      <c r="AB362" s="251">
        <f>+XIRR(AA361:AA362,X361:X362)</f>
        <v>-4.7767075896263111E-2</v>
      </c>
    </row>
    <row r="363" spans="1:28" s="26" customFormat="1" ht="13.5" hidden="1" customHeight="1">
      <c r="A363" s="402" t="s">
        <v>843</v>
      </c>
      <c r="B363" s="53" t="s">
        <v>270</v>
      </c>
      <c r="C363" s="53" t="s">
        <v>841</v>
      </c>
      <c r="D363" s="11" t="s">
        <v>1066</v>
      </c>
      <c r="E363" s="46"/>
      <c r="F363" s="11"/>
      <c r="G363" s="11"/>
      <c r="H363" s="11"/>
      <c r="I363" s="33" t="s">
        <v>844</v>
      </c>
      <c r="J363" s="41">
        <v>38595</v>
      </c>
      <c r="K363" s="11">
        <v>46342</v>
      </c>
      <c r="L363" s="11"/>
      <c r="M363" s="11">
        <v>44017583</v>
      </c>
      <c r="N363" s="11">
        <v>0</v>
      </c>
      <c r="O363" s="11">
        <f t="shared" si="30"/>
        <v>44017583</v>
      </c>
      <c r="P363" s="11">
        <f>+SUM(H361:H363)-SUM(N361:N363)</f>
        <v>0</v>
      </c>
      <c r="Q363" s="11"/>
      <c r="R363" s="403" t="s">
        <v>870</v>
      </c>
      <c r="S363" s="403"/>
      <c r="T363" s="403" t="s">
        <v>846</v>
      </c>
      <c r="U363" s="403" t="s">
        <v>853</v>
      </c>
      <c r="W363" s="20" t="s">
        <v>1066</v>
      </c>
      <c r="X363" s="44">
        <v>37623</v>
      </c>
      <c r="Y363" s="20">
        <v>27777</v>
      </c>
      <c r="Z363" s="20">
        <v>1050</v>
      </c>
      <c r="AA363" s="20">
        <v>-29165583</v>
      </c>
      <c r="AB363" s="252"/>
    </row>
    <row r="364" spans="1:28" s="26" customFormat="1" hidden="1">
      <c r="A364" s="402" t="s">
        <v>843</v>
      </c>
      <c r="B364" s="53" t="s">
        <v>270</v>
      </c>
      <c r="C364" s="53" t="s">
        <v>850</v>
      </c>
      <c r="D364" s="14" t="s">
        <v>895</v>
      </c>
      <c r="E364" s="45">
        <v>37984</v>
      </c>
      <c r="F364" s="14">
        <v>1097</v>
      </c>
      <c r="G364" s="14">
        <v>5000</v>
      </c>
      <c r="H364" s="14">
        <f>+F364*G364</f>
        <v>5485000</v>
      </c>
      <c r="I364" s="28" t="s">
        <v>905</v>
      </c>
      <c r="J364" s="40">
        <v>38202</v>
      </c>
      <c r="K364" s="14">
        <v>1097</v>
      </c>
      <c r="L364" s="14">
        <f>+M364/K364</f>
        <v>61538</v>
      </c>
      <c r="M364" s="14">
        <f>5485000+62022186</f>
        <v>67507186</v>
      </c>
      <c r="N364" s="14">
        <v>5485000</v>
      </c>
      <c r="O364" s="14">
        <f t="shared" si="30"/>
        <v>62022186</v>
      </c>
      <c r="P364" s="14"/>
      <c r="Q364" s="14"/>
      <c r="R364" s="402" t="s">
        <v>18</v>
      </c>
      <c r="S364" s="402"/>
      <c r="T364" s="402" t="s">
        <v>849</v>
      </c>
      <c r="U364" s="402" t="s">
        <v>854</v>
      </c>
      <c r="W364" s="14" t="s">
        <v>1066</v>
      </c>
      <c r="X364" s="45">
        <v>37672</v>
      </c>
      <c r="Y364" s="14">
        <v>18565</v>
      </c>
      <c r="Z364" s="14">
        <v>800</v>
      </c>
      <c r="AA364" s="14">
        <v>-14852000</v>
      </c>
      <c r="AB364" s="252"/>
    </row>
    <row r="365" spans="1:28" s="26" customFormat="1" hidden="1">
      <c r="A365" s="402" t="s">
        <v>843</v>
      </c>
      <c r="B365" s="53" t="s">
        <v>270</v>
      </c>
      <c r="C365" s="53" t="s">
        <v>894</v>
      </c>
      <c r="D365" s="14" t="s">
        <v>895</v>
      </c>
      <c r="E365" s="45">
        <v>37648</v>
      </c>
      <c r="F365" s="14"/>
      <c r="G365" s="14"/>
      <c r="H365" s="14">
        <v>474400000</v>
      </c>
      <c r="I365" s="28" t="s">
        <v>896</v>
      </c>
      <c r="J365" s="40">
        <v>38230</v>
      </c>
      <c r="K365" s="14"/>
      <c r="L365" s="14"/>
      <c r="M365" s="14">
        <v>555000000</v>
      </c>
      <c r="N365" s="14">
        <f>+M365</f>
        <v>555000000</v>
      </c>
      <c r="O365" s="14">
        <f t="shared" si="30"/>
        <v>0</v>
      </c>
      <c r="P365" s="14"/>
      <c r="Q365" s="14"/>
      <c r="R365" s="402" t="s">
        <v>18</v>
      </c>
      <c r="S365" s="402"/>
      <c r="T365" s="402" t="s">
        <v>849</v>
      </c>
      <c r="U365" s="402" t="s">
        <v>854</v>
      </c>
      <c r="X365" s="41">
        <v>38595</v>
      </c>
      <c r="Y365" s="11">
        <v>46342</v>
      </c>
      <c r="Z365" s="11"/>
      <c r="AA365" s="11">
        <v>44017583</v>
      </c>
      <c r="AB365" s="251">
        <f>+XIRR(AA363:AA365,X363:X365)</f>
        <v>2.9802322387695314E-9</v>
      </c>
    </row>
    <row r="366" spans="1:28" s="26" customFormat="1" hidden="1">
      <c r="A366" s="402" t="s">
        <v>843</v>
      </c>
      <c r="B366" s="53" t="s">
        <v>270</v>
      </c>
      <c r="C366" s="53" t="s">
        <v>894</v>
      </c>
      <c r="D366" s="14" t="s">
        <v>895</v>
      </c>
      <c r="E366" s="45">
        <v>37677</v>
      </c>
      <c r="F366" s="14"/>
      <c r="G366" s="14"/>
      <c r="H366" s="14">
        <v>402800000</v>
      </c>
      <c r="I366" s="28" t="s">
        <v>896</v>
      </c>
      <c r="J366" s="40">
        <v>38231</v>
      </c>
      <c r="K366" s="14"/>
      <c r="L366" s="14"/>
      <c r="M366" s="14">
        <v>527200000</v>
      </c>
      <c r="N366" s="14">
        <v>527200000</v>
      </c>
      <c r="O366" s="14">
        <f t="shared" si="30"/>
        <v>0</v>
      </c>
      <c r="P366" s="14"/>
      <c r="Q366" s="14"/>
      <c r="R366" s="402" t="s">
        <v>18</v>
      </c>
      <c r="S366" s="402"/>
      <c r="T366" s="402" t="s">
        <v>849</v>
      </c>
      <c r="U366" s="402" t="s">
        <v>854</v>
      </c>
      <c r="W366" s="14" t="s">
        <v>895</v>
      </c>
      <c r="X366" s="45">
        <v>37984</v>
      </c>
      <c r="Y366" s="14">
        <v>1097</v>
      </c>
      <c r="Z366" s="14">
        <v>-5000</v>
      </c>
      <c r="AA366" s="14">
        <f>+Y366*Z366</f>
        <v>-5485000</v>
      </c>
      <c r="AB366" s="252"/>
    </row>
    <row r="367" spans="1:28" s="26" customFormat="1" hidden="1">
      <c r="A367" s="402" t="s">
        <v>843</v>
      </c>
      <c r="B367" s="53" t="s">
        <v>270</v>
      </c>
      <c r="C367" s="53" t="s">
        <v>894</v>
      </c>
      <c r="D367" s="14" t="s">
        <v>895</v>
      </c>
      <c r="E367" s="45">
        <v>37739</v>
      </c>
      <c r="F367" s="14"/>
      <c r="G367" s="14"/>
      <c r="H367" s="14">
        <v>7000000</v>
      </c>
      <c r="I367" s="28" t="s">
        <v>896</v>
      </c>
      <c r="J367" s="40"/>
      <c r="K367" s="14"/>
      <c r="L367" s="14"/>
      <c r="M367" s="14"/>
      <c r="N367" s="14"/>
      <c r="O367" s="14">
        <f t="shared" ref="O367:O378" si="31">+M367-N367</f>
        <v>0</v>
      </c>
      <c r="P367" s="14"/>
      <c r="Q367" s="14"/>
      <c r="R367" s="402" t="s">
        <v>18</v>
      </c>
      <c r="S367" s="402"/>
      <c r="T367" s="402" t="s">
        <v>849</v>
      </c>
      <c r="U367" s="402" t="s">
        <v>854</v>
      </c>
      <c r="W367" s="14"/>
      <c r="X367" s="40">
        <v>38202</v>
      </c>
      <c r="Y367" s="14">
        <v>1097</v>
      </c>
      <c r="Z367" s="14">
        <f>+AA367/Y367</f>
        <v>61538</v>
      </c>
      <c r="AA367" s="14">
        <f>5485000+62022186</f>
        <v>67507186</v>
      </c>
      <c r="AB367" s="251">
        <f>+XIRR(AA366:AA367,X366:X367)</f>
        <v>65.879078292846657</v>
      </c>
    </row>
    <row r="368" spans="1:28" s="26" customFormat="1" hidden="1">
      <c r="A368" s="402" t="s">
        <v>843</v>
      </c>
      <c r="B368" s="53" t="s">
        <v>270</v>
      </c>
      <c r="C368" s="53" t="s">
        <v>894</v>
      </c>
      <c r="D368" s="14" t="s">
        <v>895</v>
      </c>
      <c r="E368" s="45">
        <v>37741</v>
      </c>
      <c r="F368" s="14"/>
      <c r="G368" s="14"/>
      <c r="H368" s="14">
        <v>116000000</v>
      </c>
      <c r="I368" s="28" t="s">
        <v>896</v>
      </c>
      <c r="J368" s="40"/>
      <c r="K368" s="14"/>
      <c r="L368" s="14"/>
      <c r="M368" s="14"/>
      <c r="N368" s="14"/>
      <c r="O368" s="14">
        <f t="shared" si="31"/>
        <v>0</v>
      </c>
      <c r="P368" s="14"/>
      <c r="Q368" s="14"/>
      <c r="R368" s="402" t="s">
        <v>18</v>
      </c>
      <c r="S368" s="402"/>
      <c r="T368" s="402" t="s">
        <v>849</v>
      </c>
      <c r="U368" s="402" t="s">
        <v>854</v>
      </c>
      <c r="W368" s="14" t="s">
        <v>895</v>
      </c>
      <c r="X368" s="45">
        <v>37648</v>
      </c>
      <c r="Y368" s="14"/>
      <c r="Z368" s="14"/>
      <c r="AA368" s="14">
        <v>-474400000</v>
      </c>
      <c r="AB368" s="252"/>
    </row>
    <row r="369" spans="1:28" s="26" customFormat="1" hidden="1">
      <c r="A369" s="31" t="s">
        <v>522</v>
      </c>
      <c r="B369" s="53" t="s">
        <v>270</v>
      </c>
      <c r="C369" s="53" t="s">
        <v>322</v>
      </c>
      <c r="D369" s="14" t="s">
        <v>895</v>
      </c>
      <c r="E369" s="45">
        <v>37747</v>
      </c>
      <c r="F369" s="14"/>
      <c r="G369" s="14"/>
      <c r="H369" s="14">
        <v>82000000</v>
      </c>
      <c r="I369" s="28" t="s">
        <v>896</v>
      </c>
      <c r="J369" s="40"/>
      <c r="K369" s="78"/>
      <c r="L369" s="78"/>
      <c r="M369" s="78"/>
      <c r="N369" s="78"/>
      <c r="O369" s="14">
        <f t="shared" si="31"/>
        <v>0</v>
      </c>
      <c r="P369" s="11">
        <f>+SUM(H364:H369)-SUM(N364:N369)</f>
        <v>0</v>
      </c>
      <c r="Q369" s="14"/>
      <c r="R369" s="31" t="s">
        <v>18</v>
      </c>
      <c r="S369" s="402"/>
      <c r="T369" s="36" t="s">
        <v>168</v>
      </c>
      <c r="U369" s="36" t="s">
        <v>163</v>
      </c>
      <c r="W369" s="14" t="s">
        <v>895</v>
      </c>
      <c r="X369" s="45">
        <v>37677</v>
      </c>
      <c r="Y369" s="14"/>
      <c r="Z369" s="14"/>
      <c r="AA369" s="14">
        <v>-402800000</v>
      </c>
      <c r="AB369" s="252"/>
    </row>
    <row r="370" spans="1:28" ht="17.25" hidden="1" customHeight="1">
      <c r="A370" s="31" t="s">
        <v>522</v>
      </c>
      <c r="B370" s="53" t="s">
        <v>270</v>
      </c>
      <c r="C370" s="53" t="s">
        <v>319</v>
      </c>
      <c r="D370" s="20" t="s">
        <v>169</v>
      </c>
      <c r="E370" s="44">
        <v>37651</v>
      </c>
      <c r="F370" s="20">
        <v>525000</v>
      </c>
      <c r="G370" s="20">
        <v>952</v>
      </c>
      <c r="H370" s="20">
        <v>500000000</v>
      </c>
      <c r="I370" s="22" t="s">
        <v>892</v>
      </c>
      <c r="J370" s="38">
        <v>38016</v>
      </c>
      <c r="K370" s="20"/>
      <c r="L370" s="20"/>
      <c r="M370" s="20">
        <v>0</v>
      </c>
      <c r="N370" s="20">
        <v>500000000</v>
      </c>
      <c r="O370" s="20">
        <f t="shared" si="31"/>
        <v>-500000000</v>
      </c>
      <c r="P370" s="20"/>
      <c r="Q370" s="20"/>
      <c r="R370" s="25" t="s">
        <v>164</v>
      </c>
      <c r="S370" s="401"/>
      <c r="T370" s="25" t="s">
        <v>165</v>
      </c>
      <c r="U370" s="25" t="s">
        <v>166</v>
      </c>
      <c r="W370" s="14" t="s">
        <v>895</v>
      </c>
      <c r="X370" s="45">
        <v>37739</v>
      </c>
      <c r="Y370" s="14"/>
      <c r="Z370" s="14"/>
      <c r="AA370" s="14">
        <v>-7000000</v>
      </c>
    </row>
    <row r="371" spans="1:28" hidden="1">
      <c r="A371" s="31" t="s">
        <v>522</v>
      </c>
      <c r="B371" s="53" t="s">
        <v>270</v>
      </c>
      <c r="C371" s="53" t="s">
        <v>319</v>
      </c>
      <c r="D371" s="11" t="s">
        <v>159</v>
      </c>
      <c r="E371" s="46"/>
      <c r="F371" s="11"/>
      <c r="G371" s="11"/>
      <c r="H371" s="11"/>
      <c r="I371" s="33" t="s">
        <v>892</v>
      </c>
      <c r="J371" s="41">
        <v>38595</v>
      </c>
      <c r="K371" s="11">
        <v>525000</v>
      </c>
      <c r="L371" s="11"/>
      <c r="M371" s="11">
        <v>10</v>
      </c>
      <c r="N371" s="11">
        <v>0</v>
      </c>
      <c r="O371" s="11">
        <f t="shared" si="31"/>
        <v>10</v>
      </c>
      <c r="P371" s="11">
        <f>+SUM(H370:H371)-SUM(N370:N371)</f>
        <v>0</v>
      </c>
      <c r="Q371" s="11"/>
      <c r="R371" s="403" t="s">
        <v>858</v>
      </c>
      <c r="S371" s="403"/>
      <c r="T371" s="36" t="s">
        <v>9</v>
      </c>
      <c r="U371" s="36" t="s">
        <v>96</v>
      </c>
      <c r="W371" s="14" t="s">
        <v>895</v>
      </c>
      <c r="X371" s="45">
        <v>37741</v>
      </c>
      <c r="Y371" s="14"/>
      <c r="Z371" s="14"/>
      <c r="AA371" s="14">
        <v>-116000000</v>
      </c>
    </row>
    <row r="372" spans="1:28" hidden="1">
      <c r="A372" s="31" t="s">
        <v>522</v>
      </c>
      <c r="B372" s="53" t="s">
        <v>270</v>
      </c>
      <c r="C372" s="53" t="s">
        <v>319</v>
      </c>
      <c r="D372" s="15" t="s">
        <v>170</v>
      </c>
      <c r="E372" s="42">
        <v>37935</v>
      </c>
      <c r="F372" s="15">
        <v>4000</v>
      </c>
      <c r="G372" s="15">
        <v>24200</v>
      </c>
      <c r="H372" s="15">
        <f>+F372*G372</f>
        <v>96800000</v>
      </c>
      <c r="I372" s="17" t="s">
        <v>892</v>
      </c>
      <c r="J372" s="43">
        <v>38352</v>
      </c>
      <c r="K372" s="15"/>
      <c r="L372" s="15"/>
      <c r="M372" s="15">
        <v>0</v>
      </c>
      <c r="N372" s="15">
        <v>51740000</v>
      </c>
      <c r="O372" s="15">
        <f t="shared" si="31"/>
        <v>-51740000</v>
      </c>
      <c r="P372" s="15">
        <f>+H372-N372</f>
        <v>45060000</v>
      </c>
      <c r="Q372" s="15"/>
      <c r="R372" s="19" t="s">
        <v>164</v>
      </c>
      <c r="S372" s="405"/>
      <c r="T372" s="19" t="s">
        <v>165</v>
      </c>
      <c r="U372" s="19" t="s">
        <v>171</v>
      </c>
      <c r="W372" s="14" t="s">
        <v>895</v>
      </c>
      <c r="X372" s="45">
        <v>37747</v>
      </c>
      <c r="Y372" s="14"/>
      <c r="Z372" s="14"/>
      <c r="AA372" s="14">
        <v>-82000000</v>
      </c>
    </row>
    <row r="373" spans="1:28" s="26" customFormat="1" hidden="1">
      <c r="A373" s="31" t="s">
        <v>522</v>
      </c>
      <c r="B373" s="53" t="s">
        <v>270</v>
      </c>
      <c r="C373" s="53" t="s">
        <v>319</v>
      </c>
      <c r="D373" s="20" t="s">
        <v>172</v>
      </c>
      <c r="E373" s="44">
        <v>37893</v>
      </c>
      <c r="F373" s="20">
        <v>59750</v>
      </c>
      <c r="G373" s="20">
        <v>6700</v>
      </c>
      <c r="H373" s="20">
        <f>+F373*G373</f>
        <v>400325000</v>
      </c>
      <c r="I373" s="22" t="s">
        <v>892</v>
      </c>
      <c r="J373" s="38">
        <v>37935</v>
      </c>
      <c r="K373" s="20">
        <v>10000</v>
      </c>
      <c r="L373" s="20">
        <v>12000</v>
      </c>
      <c r="M373" s="20">
        <f>+K373*L373</f>
        <v>120000000</v>
      </c>
      <c r="N373" s="20">
        <v>67000000</v>
      </c>
      <c r="O373" s="24">
        <f t="shared" si="31"/>
        <v>53000000</v>
      </c>
      <c r="P373" s="20"/>
      <c r="Q373" s="20"/>
      <c r="R373" s="25" t="s">
        <v>167</v>
      </c>
      <c r="S373" s="401"/>
      <c r="T373" s="25" t="s">
        <v>165</v>
      </c>
      <c r="U373" s="25" t="s">
        <v>173</v>
      </c>
      <c r="X373" s="40">
        <v>38230</v>
      </c>
      <c r="Y373" s="14"/>
      <c r="Z373" s="14"/>
      <c r="AA373" s="14">
        <v>555000000</v>
      </c>
      <c r="AB373" s="252"/>
    </row>
    <row r="374" spans="1:28" s="26" customFormat="1" hidden="1">
      <c r="A374" s="31" t="s">
        <v>522</v>
      </c>
      <c r="B374" s="53" t="s">
        <v>270</v>
      </c>
      <c r="C374" s="53" t="s">
        <v>319</v>
      </c>
      <c r="D374" s="14" t="s">
        <v>172</v>
      </c>
      <c r="E374" s="45"/>
      <c r="F374" s="14"/>
      <c r="G374" s="14"/>
      <c r="H374" s="14"/>
      <c r="I374" s="28" t="s">
        <v>892</v>
      </c>
      <c r="J374" s="40">
        <v>37970</v>
      </c>
      <c r="K374" s="14">
        <v>44750</v>
      </c>
      <c r="L374" s="14">
        <v>12000</v>
      </c>
      <c r="M374" s="14">
        <f>+K374*L374</f>
        <v>537000000</v>
      </c>
      <c r="N374" s="14">
        <v>299825000</v>
      </c>
      <c r="O374" s="30">
        <f t="shared" si="31"/>
        <v>237175000</v>
      </c>
      <c r="P374" s="14"/>
      <c r="Q374" s="14"/>
      <c r="R374" s="31" t="s">
        <v>167</v>
      </c>
      <c r="S374" s="402"/>
      <c r="T374" s="31" t="s">
        <v>165</v>
      </c>
      <c r="U374" s="31" t="s">
        <v>173</v>
      </c>
      <c r="X374" s="40">
        <v>38231</v>
      </c>
      <c r="Y374" s="14"/>
      <c r="Z374" s="14"/>
      <c r="AA374" s="14">
        <v>527200000</v>
      </c>
      <c r="AB374" s="251">
        <f>+XIRR(AA368:AA374,X368:X374)</f>
        <v>2.9802322387695314E-9</v>
      </c>
    </row>
    <row r="375" spans="1:28" s="26" customFormat="1" hidden="1">
      <c r="A375" s="31" t="s">
        <v>522</v>
      </c>
      <c r="B375" s="53" t="s">
        <v>270</v>
      </c>
      <c r="C375" s="53" t="s">
        <v>319</v>
      </c>
      <c r="D375" s="11" t="s">
        <v>172</v>
      </c>
      <c r="E375" s="46"/>
      <c r="F375" s="11"/>
      <c r="G375" s="11"/>
      <c r="H375" s="11"/>
      <c r="I375" s="33" t="s">
        <v>892</v>
      </c>
      <c r="J375" s="41">
        <v>37973</v>
      </c>
      <c r="K375" s="11">
        <v>5000</v>
      </c>
      <c r="L375" s="11">
        <v>12000</v>
      </c>
      <c r="M375" s="11">
        <f>+K375*L375</f>
        <v>60000000</v>
      </c>
      <c r="N375" s="11">
        <v>33500000</v>
      </c>
      <c r="O375" s="35">
        <f t="shared" si="31"/>
        <v>26500000</v>
      </c>
      <c r="P375" s="11">
        <f>+SUM(H373:H375)-SUM(N373:N375)</f>
        <v>0</v>
      </c>
      <c r="Q375" s="11"/>
      <c r="R375" s="36" t="s">
        <v>167</v>
      </c>
      <c r="S375" s="403"/>
      <c r="T375" s="36" t="s">
        <v>165</v>
      </c>
      <c r="U375" s="36" t="s">
        <v>173</v>
      </c>
      <c r="W375" s="20" t="s">
        <v>172</v>
      </c>
      <c r="X375" s="44">
        <v>37893</v>
      </c>
      <c r="Y375" s="20">
        <v>59750</v>
      </c>
      <c r="Z375" s="20">
        <v>-6700</v>
      </c>
      <c r="AA375" s="20">
        <f>+Y375*Z375</f>
        <v>-400325000</v>
      </c>
      <c r="AB375" s="252"/>
    </row>
    <row r="376" spans="1:28" s="411" customFormat="1" hidden="1">
      <c r="A376" s="282" t="s">
        <v>843</v>
      </c>
      <c r="B376" s="81" t="s">
        <v>270</v>
      </c>
      <c r="C376" s="81" t="s">
        <v>850</v>
      </c>
      <c r="D376" s="56" t="s">
        <v>902</v>
      </c>
      <c r="E376" s="62">
        <v>37935</v>
      </c>
      <c r="F376" s="56">
        <v>26</v>
      </c>
      <c r="G376" s="56">
        <v>2800</v>
      </c>
      <c r="H376" s="56">
        <f>+F376*G376</f>
        <v>72800</v>
      </c>
      <c r="I376" s="58" t="s">
        <v>905</v>
      </c>
      <c r="J376" s="63">
        <v>37973</v>
      </c>
      <c r="K376" s="56">
        <v>26</v>
      </c>
      <c r="L376" s="56">
        <v>4900</v>
      </c>
      <c r="M376" s="56">
        <f>72800+54600</f>
        <v>127400</v>
      </c>
      <c r="N376" s="56">
        <v>72800</v>
      </c>
      <c r="O376" s="56">
        <f t="shared" si="31"/>
        <v>54600</v>
      </c>
      <c r="P376" s="56">
        <f>+H376-N376</f>
        <v>0</v>
      </c>
      <c r="Q376" s="56"/>
      <c r="R376" s="61" t="s">
        <v>845</v>
      </c>
      <c r="S376" s="61"/>
      <c r="T376" s="61" t="s">
        <v>846</v>
      </c>
      <c r="U376" s="61" t="s">
        <v>847</v>
      </c>
      <c r="V376" s="410"/>
      <c r="W376" s="410"/>
      <c r="X376" s="38">
        <v>37935</v>
      </c>
      <c r="Y376" s="20">
        <v>10000</v>
      </c>
      <c r="Z376" s="20">
        <v>12000</v>
      </c>
      <c r="AA376" s="20">
        <f>+Y376*Z376</f>
        <v>120000000</v>
      </c>
      <c r="AB376" s="587"/>
    </row>
    <row r="377" spans="1:28" s="411" customFormat="1" hidden="1">
      <c r="A377" s="282" t="s">
        <v>843</v>
      </c>
      <c r="B377" s="81" t="s">
        <v>270</v>
      </c>
      <c r="C377" s="81" t="s">
        <v>850</v>
      </c>
      <c r="D377" s="73" t="s">
        <v>898</v>
      </c>
      <c r="E377" s="74">
        <v>37928</v>
      </c>
      <c r="F377" s="73">
        <v>7</v>
      </c>
      <c r="G377" s="73">
        <v>14000</v>
      </c>
      <c r="H377" s="73">
        <f>+F377*G377</f>
        <v>98000</v>
      </c>
      <c r="I377" s="75" t="s">
        <v>905</v>
      </c>
      <c r="J377" s="84">
        <v>38351</v>
      </c>
      <c r="K377" s="60">
        <v>7</v>
      </c>
      <c r="L377" s="60">
        <v>3510</v>
      </c>
      <c r="M377" s="60">
        <v>24400</v>
      </c>
      <c r="N377" s="60">
        <v>98000</v>
      </c>
      <c r="O377" s="304">
        <f t="shared" si="31"/>
        <v>-73600</v>
      </c>
      <c r="P377" s="56">
        <f>+H377-N377</f>
        <v>0</v>
      </c>
      <c r="Q377" s="73"/>
      <c r="R377" s="409" t="s">
        <v>845</v>
      </c>
      <c r="S377" s="409"/>
      <c r="T377" s="409" t="s">
        <v>846</v>
      </c>
      <c r="U377" s="409" t="s">
        <v>847</v>
      </c>
      <c r="X377" s="40">
        <v>37970</v>
      </c>
      <c r="Y377" s="14">
        <v>44750</v>
      </c>
      <c r="Z377" s="14">
        <v>12000</v>
      </c>
      <c r="AA377" s="14">
        <f>+Y377*Z377</f>
        <v>537000000</v>
      </c>
      <c r="AB377" s="587"/>
    </row>
    <row r="378" spans="1:28" s="26" customFormat="1" hidden="1">
      <c r="A378" s="31" t="s">
        <v>522</v>
      </c>
      <c r="B378" s="53" t="s">
        <v>270</v>
      </c>
      <c r="C378" s="72" t="s">
        <v>319</v>
      </c>
      <c r="D378" s="15" t="s">
        <v>176</v>
      </c>
      <c r="E378" s="42">
        <v>38131</v>
      </c>
      <c r="F378" s="15">
        <v>119977</v>
      </c>
      <c r="G378" s="15">
        <v>5350</v>
      </c>
      <c r="H378" s="15">
        <v>641876950</v>
      </c>
      <c r="I378" s="17" t="s">
        <v>892</v>
      </c>
      <c r="J378" s="43">
        <v>38370</v>
      </c>
      <c r="K378" s="15">
        <v>119977</v>
      </c>
      <c r="L378" s="15">
        <v>6730</v>
      </c>
      <c r="M378" s="15">
        <v>807445210</v>
      </c>
      <c r="N378" s="15">
        <v>641876950</v>
      </c>
      <c r="O378" s="37">
        <f t="shared" si="31"/>
        <v>165568260</v>
      </c>
      <c r="P378" s="15">
        <f>+H378-N378</f>
        <v>0</v>
      </c>
      <c r="Q378" s="15"/>
      <c r="R378" s="19" t="s">
        <v>167</v>
      </c>
      <c r="S378" s="405"/>
      <c r="T378" s="19" t="s">
        <v>16</v>
      </c>
      <c r="U378" s="19" t="s">
        <v>173</v>
      </c>
      <c r="V378" s="4"/>
      <c r="W378" s="4"/>
      <c r="X378" s="41">
        <v>37973</v>
      </c>
      <c r="Y378" s="11">
        <v>5000</v>
      </c>
      <c r="Z378" s="11">
        <v>12000</v>
      </c>
      <c r="AA378" s="11">
        <f>+Y378*Z378</f>
        <v>60000000</v>
      </c>
      <c r="AB378" s="251">
        <f>+XIRR(AA375:AA378,X375:X378)</f>
        <v>19.325872993469243</v>
      </c>
    </row>
    <row r="379" spans="1:28" s="26" customFormat="1" hidden="1">
      <c r="A379" s="36" t="s">
        <v>522</v>
      </c>
      <c r="B379" s="72" t="s">
        <v>534</v>
      </c>
      <c r="C379" s="146" t="s">
        <v>523</v>
      </c>
      <c r="D379" s="133"/>
      <c r="E379" s="144"/>
      <c r="F379" s="133"/>
      <c r="G379" s="133"/>
      <c r="H379" s="133">
        <f>SUM(H325:H378)</f>
        <v>13362851133</v>
      </c>
      <c r="I379" s="135"/>
      <c r="J379" s="143"/>
      <c r="K379" s="133"/>
      <c r="L379" s="133"/>
      <c r="M379" s="133">
        <f>SUM(M325:M378)</f>
        <v>12147585490</v>
      </c>
      <c r="N379" s="133">
        <f>SUM(N325:N378)</f>
        <v>13308521856</v>
      </c>
      <c r="O379" s="133">
        <f>SUM(O325:O378)</f>
        <v>-1160936366</v>
      </c>
      <c r="P379" s="133">
        <f>SUM(P325:P378)</f>
        <v>54329277</v>
      </c>
      <c r="Q379" s="133"/>
      <c r="R379" s="138"/>
      <c r="S379" s="138"/>
      <c r="T379" s="138"/>
      <c r="U379" s="138"/>
      <c r="V379" s="4"/>
      <c r="W379" s="15" t="s">
        <v>176</v>
      </c>
      <c r="X379" s="42">
        <v>38131</v>
      </c>
      <c r="Y379" s="15">
        <v>119977</v>
      </c>
      <c r="Z379" s="15">
        <v>5350</v>
      </c>
      <c r="AA379" s="15">
        <v>-641876950</v>
      </c>
      <c r="AB379" s="252"/>
    </row>
    <row r="380" spans="1:28" s="26" customFormat="1" hidden="1">
      <c r="A380" s="25" t="s">
        <v>521</v>
      </c>
      <c r="B380" s="52" t="s">
        <v>177</v>
      </c>
      <c r="C380" s="52" t="s">
        <v>278</v>
      </c>
      <c r="D380" s="20" t="s">
        <v>178</v>
      </c>
      <c r="E380" s="44">
        <v>36833</v>
      </c>
      <c r="F380" s="20">
        <v>4000</v>
      </c>
      <c r="G380" s="20">
        <v>10000</v>
      </c>
      <c r="H380" s="20">
        <f>+F380*G380</f>
        <v>40000000</v>
      </c>
      <c r="I380" s="22" t="s">
        <v>963</v>
      </c>
      <c r="J380" s="38">
        <v>38377</v>
      </c>
      <c r="K380" s="20">
        <v>4000</v>
      </c>
      <c r="L380" s="20">
        <v>45000</v>
      </c>
      <c r="M380" s="20">
        <f>40000000+140000000</f>
        <v>180000000</v>
      </c>
      <c r="N380" s="20">
        <v>40000000</v>
      </c>
      <c r="O380" s="20">
        <f>+M380-N380</f>
        <v>140000000</v>
      </c>
      <c r="P380" s="20"/>
      <c r="Q380" s="20"/>
      <c r="R380" s="401" t="s">
        <v>949</v>
      </c>
      <c r="S380" s="401" t="s">
        <v>1022</v>
      </c>
      <c r="T380" s="25" t="s">
        <v>165</v>
      </c>
      <c r="U380" s="25" t="s">
        <v>22</v>
      </c>
      <c r="X380" s="43">
        <v>38370</v>
      </c>
      <c r="Y380" s="15">
        <v>119977</v>
      </c>
      <c r="Z380" s="15">
        <v>6730</v>
      </c>
      <c r="AA380" s="15">
        <v>807445210</v>
      </c>
      <c r="AB380" s="251">
        <f>+XIRR(AA379:AA380,X379:X380)</f>
        <v>0.41971893906593327</v>
      </c>
    </row>
    <row r="381" spans="1:28" s="26" customFormat="1" hidden="1">
      <c r="A381" s="31" t="s">
        <v>521</v>
      </c>
      <c r="B381" s="53" t="s">
        <v>271</v>
      </c>
      <c r="C381" s="53" t="s">
        <v>280</v>
      </c>
      <c r="D381" s="11" t="s">
        <v>179</v>
      </c>
      <c r="E381" s="46">
        <v>36833</v>
      </c>
      <c r="F381" s="11">
        <v>10000</v>
      </c>
      <c r="G381" s="11">
        <v>40000</v>
      </c>
      <c r="H381" s="11">
        <f>+F381*G381</f>
        <v>400000000</v>
      </c>
      <c r="I381" s="33" t="s">
        <v>969</v>
      </c>
      <c r="J381" s="41">
        <v>38377</v>
      </c>
      <c r="K381" s="11">
        <v>10000</v>
      </c>
      <c r="L381" s="11">
        <v>45000</v>
      </c>
      <c r="M381" s="11">
        <f>400000000+50000000</f>
        <v>450000000</v>
      </c>
      <c r="N381" s="11">
        <v>400000000</v>
      </c>
      <c r="O381" s="11">
        <f t="shared" ref="O381:O418" si="32">+M381-N381</f>
        <v>50000000</v>
      </c>
      <c r="P381" s="11">
        <f>+SUM(H380:H381)-SUM(N380:N381)</f>
        <v>0</v>
      </c>
      <c r="Q381" s="11"/>
      <c r="R381" s="403" t="s">
        <v>949</v>
      </c>
      <c r="S381" s="403" t="s">
        <v>1022</v>
      </c>
      <c r="T381" s="403" t="s">
        <v>180</v>
      </c>
      <c r="U381" s="403" t="s">
        <v>22</v>
      </c>
      <c r="AB381" s="252"/>
    </row>
    <row r="382" spans="1:28" hidden="1">
      <c r="A382" s="31" t="s">
        <v>521</v>
      </c>
      <c r="B382" s="53" t="s">
        <v>271</v>
      </c>
      <c r="C382" s="53" t="s">
        <v>278</v>
      </c>
      <c r="D382" s="56" t="s">
        <v>275</v>
      </c>
      <c r="E382" s="62">
        <v>36854</v>
      </c>
      <c r="F382" s="56">
        <v>2000</v>
      </c>
      <c r="G382" s="56">
        <v>100000</v>
      </c>
      <c r="H382" s="56">
        <f>+F382*G382</f>
        <v>200000000</v>
      </c>
      <c r="I382" s="58" t="s">
        <v>1020</v>
      </c>
      <c r="J382" s="63">
        <v>37224</v>
      </c>
      <c r="K382" s="56">
        <v>2000</v>
      </c>
      <c r="L382" s="56">
        <v>100000</v>
      </c>
      <c r="M382" s="56">
        <f>+K382*L382</f>
        <v>200000000</v>
      </c>
      <c r="N382" s="56">
        <f>+M382</f>
        <v>200000000</v>
      </c>
      <c r="O382" s="60">
        <f t="shared" si="32"/>
        <v>0</v>
      </c>
      <c r="P382" s="15">
        <f>+H382-N382</f>
        <v>0</v>
      </c>
      <c r="Q382" s="15"/>
      <c r="R382" s="405" t="s">
        <v>949</v>
      </c>
      <c r="S382" s="405" t="s">
        <v>1021</v>
      </c>
      <c r="T382" s="405" t="s">
        <v>181</v>
      </c>
      <c r="U382" s="405" t="s">
        <v>182</v>
      </c>
    </row>
    <row r="383" spans="1:28" s="26" customFormat="1" hidden="1">
      <c r="A383" s="31" t="s">
        <v>521</v>
      </c>
      <c r="B383" s="53" t="s">
        <v>271</v>
      </c>
      <c r="C383" s="53" t="s">
        <v>279</v>
      </c>
      <c r="D383" s="15" t="s">
        <v>183</v>
      </c>
      <c r="E383" s="42">
        <v>36810</v>
      </c>
      <c r="F383" s="15"/>
      <c r="G383" s="15"/>
      <c r="H383" s="15">
        <v>1586301400</v>
      </c>
      <c r="I383" s="17" t="s">
        <v>1029</v>
      </c>
      <c r="J383" s="43">
        <v>36921</v>
      </c>
      <c r="K383" s="16"/>
      <c r="L383" s="15"/>
      <c r="M383" s="15">
        <v>1681643836</v>
      </c>
      <c r="N383" s="15">
        <v>1586301400</v>
      </c>
      <c r="O383" s="11">
        <f t="shared" si="32"/>
        <v>95342436</v>
      </c>
      <c r="P383" s="15">
        <f>+H383-N383</f>
        <v>0</v>
      </c>
      <c r="Q383" s="15"/>
      <c r="R383" s="405" t="s">
        <v>983</v>
      </c>
      <c r="S383" s="405"/>
      <c r="T383" s="405" t="s">
        <v>180</v>
      </c>
      <c r="U383" s="405" t="s">
        <v>22</v>
      </c>
      <c r="V383" s="4"/>
      <c r="W383" s="4"/>
      <c r="X383" s="4"/>
      <c r="Y383" s="4"/>
      <c r="AB383" s="252"/>
    </row>
    <row r="384" spans="1:28" s="26" customFormat="1" hidden="1">
      <c r="A384" s="31" t="s">
        <v>521</v>
      </c>
      <c r="B384" s="53" t="s">
        <v>271</v>
      </c>
      <c r="C384" s="53" t="s">
        <v>279</v>
      </c>
      <c r="D384" s="20" t="s">
        <v>185</v>
      </c>
      <c r="E384" s="44">
        <v>36886</v>
      </c>
      <c r="F384" s="20"/>
      <c r="G384" s="20"/>
      <c r="H384" s="20">
        <v>400000000</v>
      </c>
      <c r="I384" s="22" t="s">
        <v>184</v>
      </c>
      <c r="J384" s="38">
        <v>37428</v>
      </c>
      <c r="K384" s="20"/>
      <c r="L384" s="20"/>
      <c r="M384" s="20">
        <v>61660000</v>
      </c>
      <c r="N384" s="20">
        <v>61660000</v>
      </c>
      <c r="O384" s="24">
        <f t="shared" si="32"/>
        <v>0</v>
      </c>
      <c r="P384" s="20"/>
      <c r="Q384" s="20"/>
      <c r="R384" s="401" t="s">
        <v>983</v>
      </c>
      <c r="S384" s="401"/>
      <c r="T384" s="401" t="s">
        <v>180</v>
      </c>
      <c r="U384" s="401" t="s">
        <v>22</v>
      </c>
      <c r="AB384" s="252"/>
    </row>
    <row r="385" spans="1:28" hidden="1">
      <c r="A385" s="31" t="s">
        <v>521</v>
      </c>
      <c r="B385" s="53" t="s">
        <v>271</v>
      </c>
      <c r="C385" s="53" t="s">
        <v>279</v>
      </c>
      <c r="D385" s="14" t="s">
        <v>185</v>
      </c>
      <c r="E385" s="45"/>
      <c r="F385" s="14"/>
      <c r="G385" s="14"/>
      <c r="H385" s="14"/>
      <c r="I385" s="28" t="s">
        <v>184</v>
      </c>
      <c r="J385" s="40">
        <v>37518</v>
      </c>
      <c r="K385" s="14"/>
      <c r="L385" s="14"/>
      <c r="M385" s="14">
        <v>97467014</v>
      </c>
      <c r="N385" s="14">
        <v>97467014</v>
      </c>
      <c r="O385" s="30">
        <f t="shared" si="32"/>
        <v>0</v>
      </c>
      <c r="P385" s="14"/>
      <c r="Q385" s="14"/>
      <c r="R385" s="402" t="s">
        <v>983</v>
      </c>
      <c r="S385" s="402"/>
      <c r="T385" s="402" t="s">
        <v>180</v>
      </c>
      <c r="U385" s="402" t="s">
        <v>22</v>
      </c>
      <c r="V385" s="26"/>
      <c r="W385" s="26"/>
      <c r="X385" s="26"/>
      <c r="Y385" s="26"/>
    </row>
    <row r="386" spans="1:28" s="26" customFormat="1" hidden="1">
      <c r="A386" s="31" t="s">
        <v>521</v>
      </c>
      <c r="B386" s="53" t="s">
        <v>271</v>
      </c>
      <c r="C386" s="53" t="s">
        <v>279</v>
      </c>
      <c r="D386" s="14" t="s">
        <v>185</v>
      </c>
      <c r="E386" s="45"/>
      <c r="F386" s="14"/>
      <c r="G386" s="14"/>
      <c r="H386" s="14"/>
      <c r="I386" s="28" t="s">
        <v>184</v>
      </c>
      <c r="J386" s="40">
        <v>37592</v>
      </c>
      <c r="K386" s="14"/>
      <c r="L386" s="14"/>
      <c r="M386" s="14">
        <v>95098899</v>
      </c>
      <c r="N386" s="14">
        <f>+M386</f>
        <v>95098899</v>
      </c>
      <c r="O386" s="30">
        <f t="shared" si="32"/>
        <v>0</v>
      </c>
      <c r="P386" s="14"/>
      <c r="Q386" s="14"/>
      <c r="R386" s="402" t="s">
        <v>983</v>
      </c>
      <c r="S386" s="402"/>
      <c r="T386" s="402" t="s">
        <v>180</v>
      </c>
      <c r="U386" s="402" t="s">
        <v>22</v>
      </c>
      <c r="AB386" s="252"/>
    </row>
    <row r="387" spans="1:28" s="26" customFormat="1" hidden="1">
      <c r="A387" s="31" t="s">
        <v>521</v>
      </c>
      <c r="B387" s="53" t="s">
        <v>271</v>
      </c>
      <c r="C387" s="53" t="s">
        <v>279</v>
      </c>
      <c r="D387" s="14" t="s">
        <v>185</v>
      </c>
      <c r="E387" s="45"/>
      <c r="F387" s="14"/>
      <c r="G387" s="14"/>
      <c r="H387" s="14"/>
      <c r="I387" s="28" t="s">
        <v>184</v>
      </c>
      <c r="J387" s="40">
        <v>37634</v>
      </c>
      <c r="K387" s="14"/>
      <c r="L387" s="14"/>
      <c r="M387" s="14">
        <v>45076357</v>
      </c>
      <c r="N387" s="14">
        <f>+M387</f>
        <v>45076357</v>
      </c>
      <c r="O387" s="30">
        <f t="shared" si="32"/>
        <v>0</v>
      </c>
      <c r="P387" s="14"/>
      <c r="Q387" s="14"/>
      <c r="R387" s="402" t="s">
        <v>983</v>
      </c>
      <c r="S387" s="402"/>
      <c r="T387" s="402" t="s">
        <v>180</v>
      </c>
      <c r="U387" s="402" t="s">
        <v>22</v>
      </c>
      <c r="AB387" s="252"/>
    </row>
    <row r="388" spans="1:28" s="26" customFormat="1" hidden="1">
      <c r="A388" s="31" t="s">
        <v>521</v>
      </c>
      <c r="B388" s="53" t="s">
        <v>271</v>
      </c>
      <c r="C388" s="53" t="s">
        <v>279</v>
      </c>
      <c r="D388" s="14" t="s">
        <v>185</v>
      </c>
      <c r="E388" s="45"/>
      <c r="F388" s="14"/>
      <c r="G388" s="14"/>
      <c r="H388" s="14"/>
      <c r="I388" s="28" t="s">
        <v>184</v>
      </c>
      <c r="J388" s="40">
        <v>37711</v>
      </c>
      <c r="K388" s="14"/>
      <c r="L388" s="14"/>
      <c r="M388" s="14">
        <v>86523234</v>
      </c>
      <c r="N388" s="14">
        <f>+M388</f>
        <v>86523234</v>
      </c>
      <c r="O388" s="30">
        <f t="shared" si="32"/>
        <v>0</v>
      </c>
      <c r="P388" s="14"/>
      <c r="Q388" s="14"/>
      <c r="R388" s="402" t="s">
        <v>983</v>
      </c>
      <c r="S388" s="402"/>
      <c r="T388" s="402" t="s">
        <v>180</v>
      </c>
      <c r="U388" s="402" t="s">
        <v>22</v>
      </c>
      <c r="AB388" s="252"/>
    </row>
    <row r="389" spans="1:28" s="26" customFormat="1" hidden="1">
      <c r="A389" s="402" t="s">
        <v>521</v>
      </c>
      <c r="B389" s="53" t="s">
        <v>271</v>
      </c>
      <c r="C389" s="53" t="s">
        <v>279</v>
      </c>
      <c r="D389" s="11" t="s">
        <v>185</v>
      </c>
      <c r="E389" s="46"/>
      <c r="F389" s="11"/>
      <c r="G389" s="11"/>
      <c r="H389" s="11"/>
      <c r="I389" s="33" t="s">
        <v>184</v>
      </c>
      <c r="J389" s="41">
        <v>37726</v>
      </c>
      <c r="K389" s="11"/>
      <c r="L389" s="11"/>
      <c r="M389" s="11">
        <v>27485897</v>
      </c>
      <c r="N389" s="11">
        <v>14174496</v>
      </c>
      <c r="O389" s="35">
        <f t="shared" si="32"/>
        <v>13311401</v>
      </c>
      <c r="P389" s="11">
        <f>+SUM(H384:H389)-SUM(N384:N389)</f>
        <v>0</v>
      </c>
      <c r="Q389" s="11"/>
      <c r="R389" s="403" t="s">
        <v>983</v>
      </c>
      <c r="S389" s="403"/>
      <c r="T389" s="403" t="s">
        <v>180</v>
      </c>
      <c r="U389" s="403" t="s">
        <v>22</v>
      </c>
      <c r="AB389" s="252"/>
    </row>
    <row r="390" spans="1:28" s="26" customFormat="1" hidden="1">
      <c r="A390" s="402" t="s">
        <v>521</v>
      </c>
      <c r="B390" s="53" t="s">
        <v>271</v>
      </c>
      <c r="C390" s="53" t="s">
        <v>279</v>
      </c>
      <c r="D390" s="20" t="s">
        <v>186</v>
      </c>
      <c r="E390" s="44">
        <v>36931</v>
      </c>
      <c r="F390" s="20">
        <v>150000</v>
      </c>
      <c r="G390" s="20">
        <v>2000</v>
      </c>
      <c r="H390" s="20">
        <f>+F390*G390</f>
        <v>300000000</v>
      </c>
      <c r="I390" s="22" t="s">
        <v>184</v>
      </c>
      <c r="J390" s="38">
        <v>38352</v>
      </c>
      <c r="K390" s="20">
        <v>0</v>
      </c>
      <c r="L390" s="20">
        <v>0</v>
      </c>
      <c r="M390" s="20">
        <v>0</v>
      </c>
      <c r="N390" s="20">
        <v>300000000</v>
      </c>
      <c r="O390" s="20">
        <f t="shared" si="32"/>
        <v>-300000000</v>
      </c>
      <c r="P390" s="20">
        <f>+H390-N390</f>
        <v>0</v>
      </c>
      <c r="Q390" s="20"/>
      <c r="R390" s="401" t="s">
        <v>975</v>
      </c>
      <c r="S390" s="401"/>
      <c r="T390" s="401" t="s">
        <v>187</v>
      </c>
      <c r="U390" s="401" t="s">
        <v>22</v>
      </c>
      <c r="V390" s="4"/>
      <c r="W390" s="4"/>
      <c r="X390" s="4"/>
      <c r="Y390" s="4"/>
      <c r="AB390" s="252"/>
    </row>
    <row r="391" spans="1:28" s="26" customFormat="1" hidden="1">
      <c r="A391" s="402" t="s">
        <v>521</v>
      </c>
      <c r="B391" s="53" t="s">
        <v>271</v>
      </c>
      <c r="C391" s="53" t="s">
        <v>279</v>
      </c>
      <c r="D391" s="14" t="s">
        <v>186</v>
      </c>
      <c r="E391" s="45"/>
      <c r="F391" s="14"/>
      <c r="G391" s="14"/>
      <c r="H391" s="14"/>
      <c r="I391" s="28"/>
      <c r="J391" s="40">
        <v>38177</v>
      </c>
      <c r="K391" s="14"/>
      <c r="L391" s="14"/>
      <c r="M391" s="14">
        <v>25000000</v>
      </c>
      <c r="N391" s="14">
        <v>0</v>
      </c>
      <c r="O391" s="14">
        <f t="shared" si="32"/>
        <v>25000000</v>
      </c>
      <c r="P391" s="14"/>
      <c r="Q391" s="14"/>
      <c r="R391" s="402" t="s">
        <v>977</v>
      </c>
      <c r="S391" s="402"/>
      <c r="T391" s="406" t="s">
        <v>187</v>
      </c>
      <c r="U391" s="402" t="s">
        <v>22</v>
      </c>
      <c r="V391" s="4"/>
      <c r="W391" s="4"/>
      <c r="X391" s="4"/>
      <c r="Y391" s="4"/>
      <c r="AB391" s="252"/>
    </row>
    <row r="392" spans="1:28" s="26" customFormat="1" hidden="1">
      <c r="A392" s="402" t="s">
        <v>521</v>
      </c>
      <c r="B392" s="53" t="s">
        <v>271</v>
      </c>
      <c r="C392" s="53" t="s">
        <v>279</v>
      </c>
      <c r="D392" s="14" t="s">
        <v>186</v>
      </c>
      <c r="E392" s="45"/>
      <c r="F392" s="14"/>
      <c r="G392" s="14"/>
      <c r="H392" s="14"/>
      <c r="I392" s="28"/>
      <c r="J392" s="40">
        <v>38418</v>
      </c>
      <c r="K392" s="14"/>
      <c r="L392" s="14"/>
      <c r="M392" s="14">
        <v>37211442</v>
      </c>
      <c r="N392" s="14">
        <v>0</v>
      </c>
      <c r="O392" s="14">
        <f t="shared" si="32"/>
        <v>37211442</v>
      </c>
      <c r="P392" s="14"/>
      <c r="Q392" s="14"/>
      <c r="R392" s="402" t="s">
        <v>977</v>
      </c>
      <c r="S392" s="402"/>
      <c r="T392" s="407" t="s">
        <v>187</v>
      </c>
      <c r="U392" s="402" t="s">
        <v>22</v>
      </c>
      <c r="V392" s="4"/>
      <c r="W392" s="4"/>
      <c r="X392" s="4"/>
      <c r="Y392" s="4"/>
      <c r="AB392" s="252"/>
    </row>
    <row r="393" spans="1:28" s="26" customFormat="1" hidden="1">
      <c r="A393" s="402" t="s">
        <v>521</v>
      </c>
      <c r="B393" s="53" t="s">
        <v>271</v>
      </c>
      <c r="C393" s="53" t="s">
        <v>279</v>
      </c>
      <c r="D393" s="11" t="s">
        <v>186</v>
      </c>
      <c r="E393" s="46"/>
      <c r="F393" s="11"/>
      <c r="G393" s="11"/>
      <c r="H393" s="11"/>
      <c r="I393" s="33"/>
      <c r="J393" s="41">
        <v>38639</v>
      </c>
      <c r="K393" s="11">
        <v>150000</v>
      </c>
      <c r="L393" s="11">
        <f>+M393/K393</f>
        <v>10</v>
      </c>
      <c r="M393" s="11">
        <v>1500000</v>
      </c>
      <c r="N393" s="11">
        <v>0</v>
      </c>
      <c r="O393" s="11">
        <f>+M393-N393</f>
        <v>1500000</v>
      </c>
      <c r="P393" s="11">
        <f t="shared" ref="P393:P398" si="33">+H393-N393</f>
        <v>0</v>
      </c>
      <c r="Q393" s="11"/>
      <c r="R393" s="403" t="s">
        <v>949</v>
      </c>
      <c r="S393" s="403" t="s">
        <v>1023</v>
      </c>
      <c r="T393" s="408" t="s">
        <v>187</v>
      </c>
      <c r="U393" s="403" t="s">
        <v>22</v>
      </c>
      <c r="V393" s="4"/>
      <c r="W393" s="4"/>
      <c r="X393" s="4"/>
      <c r="Y393" s="4"/>
      <c r="AB393" s="252"/>
    </row>
    <row r="394" spans="1:28" s="26" customFormat="1" hidden="1">
      <c r="A394" s="402" t="s">
        <v>521</v>
      </c>
      <c r="B394" s="53" t="s">
        <v>271</v>
      </c>
      <c r="C394" s="53" t="s">
        <v>280</v>
      </c>
      <c r="D394" s="20" t="s">
        <v>188</v>
      </c>
      <c r="E394" s="44">
        <v>37042</v>
      </c>
      <c r="F394" s="20">
        <v>12000</v>
      </c>
      <c r="G394" s="20">
        <v>25000</v>
      </c>
      <c r="H394" s="20">
        <f>+F394*G394</f>
        <v>300000000</v>
      </c>
      <c r="I394" s="22" t="s">
        <v>969</v>
      </c>
      <c r="J394" s="38">
        <v>38352</v>
      </c>
      <c r="K394" s="20">
        <v>0</v>
      </c>
      <c r="L394" s="20"/>
      <c r="M394" s="20">
        <v>0</v>
      </c>
      <c r="N394" s="20">
        <v>300000000</v>
      </c>
      <c r="O394" s="20">
        <f t="shared" si="32"/>
        <v>-300000000</v>
      </c>
      <c r="P394" s="20">
        <f t="shared" si="33"/>
        <v>0</v>
      </c>
      <c r="Q394" s="20"/>
      <c r="R394" s="401" t="s">
        <v>29</v>
      </c>
      <c r="S394" s="401"/>
      <c r="T394" s="401" t="s">
        <v>189</v>
      </c>
      <c r="U394" s="406" t="s">
        <v>22</v>
      </c>
      <c r="V394" s="4"/>
      <c r="W394" s="4"/>
      <c r="X394" s="4"/>
      <c r="Y394" s="4"/>
      <c r="AB394" s="252"/>
    </row>
    <row r="395" spans="1:28" s="26" customFormat="1" hidden="1">
      <c r="A395" s="402" t="s">
        <v>521</v>
      </c>
      <c r="B395" s="53" t="s">
        <v>271</v>
      </c>
      <c r="C395" s="53" t="s">
        <v>280</v>
      </c>
      <c r="D395" s="11" t="s">
        <v>188</v>
      </c>
      <c r="E395" s="46"/>
      <c r="F395" s="11"/>
      <c r="G395" s="11"/>
      <c r="H395" s="11"/>
      <c r="I395" s="33"/>
      <c r="J395" s="41">
        <v>38639</v>
      </c>
      <c r="K395" s="11">
        <v>12000</v>
      </c>
      <c r="L395" s="11"/>
      <c r="M395" s="11">
        <v>7800</v>
      </c>
      <c r="N395" s="11">
        <v>0</v>
      </c>
      <c r="O395" s="11">
        <f>+M395-N395</f>
        <v>7800</v>
      </c>
      <c r="P395" s="11">
        <f t="shared" si="33"/>
        <v>0</v>
      </c>
      <c r="Q395" s="11"/>
      <c r="R395" s="403" t="s">
        <v>949</v>
      </c>
      <c r="S395" s="403" t="s">
        <v>1023</v>
      </c>
      <c r="T395" s="408" t="s">
        <v>16</v>
      </c>
      <c r="U395" s="408" t="s">
        <v>22</v>
      </c>
      <c r="V395" s="4"/>
      <c r="W395" s="4"/>
      <c r="X395" s="4"/>
      <c r="Y395" s="4"/>
      <c r="AB395" s="252"/>
    </row>
    <row r="396" spans="1:28" s="26" customFormat="1" hidden="1">
      <c r="A396" s="402" t="s">
        <v>521</v>
      </c>
      <c r="B396" s="53" t="s">
        <v>271</v>
      </c>
      <c r="C396" s="53" t="s">
        <v>278</v>
      </c>
      <c r="D396" s="20" t="s">
        <v>190</v>
      </c>
      <c r="E396" s="44">
        <v>36997</v>
      </c>
      <c r="F396" s="20">
        <v>23034</v>
      </c>
      <c r="G396" s="20">
        <v>34731</v>
      </c>
      <c r="H396" s="20">
        <v>800000000</v>
      </c>
      <c r="I396" s="22" t="s">
        <v>963</v>
      </c>
      <c r="J396" s="38">
        <v>37621</v>
      </c>
      <c r="K396" s="20">
        <v>0</v>
      </c>
      <c r="L396" s="20"/>
      <c r="M396" s="20">
        <v>0</v>
      </c>
      <c r="N396" s="20">
        <v>800000000</v>
      </c>
      <c r="O396" s="20">
        <f t="shared" si="32"/>
        <v>-800000000</v>
      </c>
      <c r="P396" s="20">
        <f t="shared" si="33"/>
        <v>0</v>
      </c>
      <c r="Q396" s="20"/>
      <c r="R396" s="401" t="s">
        <v>29</v>
      </c>
      <c r="S396" s="401"/>
      <c r="T396" s="406" t="s">
        <v>180</v>
      </c>
      <c r="U396" s="401" t="s">
        <v>22</v>
      </c>
      <c r="V396" s="4"/>
      <c r="W396" s="4"/>
      <c r="X396" s="4"/>
      <c r="Y396" s="4"/>
      <c r="AB396" s="252"/>
    </row>
    <row r="397" spans="1:28" s="26" customFormat="1" hidden="1">
      <c r="A397" s="402" t="s">
        <v>521</v>
      </c>
      <c r="B397" s="53" t="s">
        <v>271</v>
      </c>
      <c r="C397" s="53" t="s">
        <v>278</v>
      </c>
      <c r="D397" s="11" t="s">
        <v>190</v>
      </c>
      <c r="E397" s="46"/>
      <c r="F397" s="11"/>
      <c r="G397" s="11"/>
      <c r="H397" s="11"/>
      <c r="I397" s="33"/>
      <c r="J397" s="41">
        <v>38639</v>
      </c>
      <c r="K397" s="11">
        <v>23034</v>
      </c>
      <c r="L397" s="11"/>
      <c r="M397" s="11">
        <v>1000</v>
      </c>
      <c r="N397" s="11">
        <v>0</v>
      </c>
      <c r="O397" s="11">
        <f>+M397-N397</f>
        <v>1000</v>
      </c>
      <c r="P397" s="11">
        <f t="shared" si="33"/>
        <v>0</v>
      </c>
      <c r="Q397" s="11"/>
      <c r="R397" s="403" t="s">
        <v>972</v>
      </c>
      <c r="S397" s="403" t="s">
        <v>1023</v>
      </c>
      <c r="T397" s="408" t="s">
        <v>9</v>
      </c>
      <c r="U397" s="408" t="s">
        <v>1074</v>
      </c>
      <c r="V397" s="4"/>
      <c r="W397" s="4"/>
      <c r="X397" s="4"/>
      <c r="Y397" s="4"/>
      <c r="AB397" s="252"/>
    </row>
    <row r="398" spans="1:28" s="26" customFormat="1" hidden="1">
      <c r="A398" s="402" t="s">
        <v>521</v>
      </c>
      <c r="B398" s="53" t="s">
        <v>271</v>
      </c>
      <c r="C398" s="53" t="s">
        <v>279</v>
      </c>
      <c r="D398" s="15" t="s">
        <v>191</v>
      </c>
      <c r="E398" s="42">
        <v>37141</v>
      </c>
      <c r="F398" s="15">
        <v>12500</v>
      </c>
      <c r="G398" s="15">
        <v>20000</v>
      </c>
      <c r="H398" s="15">
        <f>+F398*G398</f>
        <v>250000000</v>
      </c>
      <c r="I398" s="17" t="s">
        <v>184</v>
      </c>
      <c r="J398" s="43">
        <v>37924</v>
      </c>
      <c r="K398" s="15"/>
      <c r="L398" s="15"/>
      <c r="M398" s="15">
        <v>470000000</v>
      </c>
      <c r="N398" s="15">
        <v>250000000</v>
      </c>
      <c r="O398" s="15">
        <f t="shared" si="32"/>
        <v>220000000</v>
      </c>
      <c r="P398" s="15">
        <f t="shared" si="33"/>
        <v>0</v>
      </c>
      <c r="Q398" s="15"/>
      <c r="R398" s="405" t="s">
        <v>949</v>
      </c>
      <c r="S398" s="405" t="s">
        <v>1030</v>
      </c>
      <c r="T398" s="405" t="s">
        <v>180</v>
      </c>
      <c r="U398" s="405" t="s">
        <v>22</v>
      </c>
      <c r="V398" s="4"/>
      <c r="W398" s="4"/>
      <c r="X398" s="4"/>
      <c r="Y398" s="4"/>
      <c r="AB398" s="252"/>
    </row>
    <row r="399" spans="1:28" s="26" customFormat="1" hidden="1">
      <c r="A399" s="402" t="s">
        <v>521</v>
      </c>
      <c r="B399" s="53" t="s">
        <v>271</v>
      </c>
      <c r="C399" s="53" t="s">
        <v>280</v>
      </c>
      <c r="D399" s="20" t="s">
        <v>192</v>
      </c>
      <c r="E399" s="44">
        <v>37890</v>
      </c>
      <c r="F399" s="20">
        <v>4667</v>
      </c>
      <c r="G399" s="20">
        <v>75000</v>
      </c>
      <c r="H399" s="20">
        <v>350000000</v>
      </c>
      <c r="I399" s="22" t="s">
        <v>997</v>
      </c>
      <c r="J399" s="40">
        <v>38639</v>
      </c>
      <c r="K399" s="14">
        <v>74000</v>
      </c>
      <c r="L399" s="14">
        <v>700</v>
      </c>
      <c r="M399" s="14">
        <v>51800000</v>
      </c>
      <c r="N399" s="20">
        <f>+M399/SUM(M399:M401)*350000000</f>
        <v>118671248.5681558</v>
      </c>
      <c r="O399" s="24">
        <f t="shared" si="32"/>
        <v>-66871248.568155795</v>
      </c>
      <c r="P399" s="20"/>
      <c r="Q399" s="20"/>
      <c r="R399" s="401" t="s">
        <v>949</v>
      </c>
      <c r="S399" s="401" t="s">
        <v>1024</v>
      </c>
      <c r="T399" s="401" t="s">
        <v>180</v>
      </c>
      <c r="U399" s="401" t="s">
        <v>22</v>
      </c>
      <c r="AB399" s="252"/>
    </row>
    <row r="400" spans="1:28" s="26" customFormat="1" hidden="1">
      <c r="A400" s="402" t="s">
        <v>521</v>
      </c>
      <c r="B400" s="53" t="s">
        <v>271</v>
      </c>
      <c r="C400" s="53" t="s">
        <v>280</v>
      </c>
      <c r="D400" s="14" t="s">
        <v>192</v>
      </c>
      <c r="E400" s="45"/>
      <c r="F400" s="14"/>
      <c r="G400" s="14"/>
      <c r="H400" s="14"/>
      <c r="I400" s="28"/>
      <c r="J400" s="40">
        <v>38639</v>
      </c>
      <c r="K400" s="14">
        <v>70000</v>
      </c>
      <c r="L400" s="14">
        <v>700</v>
      </c>
      <c r="M400" s="14">
        <v>49000000</v>
      </c>
      <c r="N400" s="14">
        <f>+M400/SUM(M399:M401)*350000000</f>
        <v>112256586.48339061</v>
      </c>
      <c r="O400" s="30">
        <f t="shared" si="32"/>
        <v>-63256586.483390614</v>
      </c>
      <c r="P400" s="14"/>
      <c r="Q400" s="14"/>
      <c r="R400" s="402" t="s">
        <v>949</v>
      </c>
      <c r="S400" s="402" t="s">
        <v>1025</v>
      </c>
      <c r="T400" s="402" t="str">
        <f>+T399</f>
        <v>정보통신</v>
      </c>
      <c r="U400" s="402" t="s">
        <v>22</v>
      </c>
      <c r="AB400" s="252"/>
    </row>
    <row r="401" spans="1:28" s="26" customFormat="1" hidden="1">
      <c r="A401" s="402" t="s">
        <v>521</v>
      </c>
      <c r="B401" s="53" t="s">
        <v>271</v>
      </c>
      <c r="C401" s="53" t="s">
        <v>280</v>
      </c>
      <c r="D401" s="11" t="s">
        <v>192</v>
      </c>
      <c r="E401" s="45"/>
      <c r="F401" s="14"/>
      <c r="G401" s="14"/>
      <c r="H401" s="14"/>
      <c r="I401" s="28"/>
      <c r="J401" s="40">
        <v>38639</v>
      </c>
      <c r="K401" s="14">
        <v>74250</v>
      </c>
      <c r="L401" s="14">
        <v>700</v>
      </c>
      <c r="M401" s="14">
        <v>51975000</v>
      </c>
      <c r="N401" s="14">
        <f>350000000-N400-N399</f>
        <v>119072164.94845358</v>
      </c>
      <c r="O401" s="30">
        <f t="shared" si="32"/>
        <v>-67097164.948453575</v>
      </c>
      <c r="P401" s="14">
        <f>+SUM(H399:H401)-SUM(N399:N401)</f>
        <v>0</v>
      </c>
      <c r="Q401" s="14"/>
      <c r="R401" s="402" t="s">
        <v>949</v>
      </c>
      <c r="S401" s="402" t="s">
        <v>1023</v>
      </c>
      <c r="T401" s="402" t="str">
        <f>+T400</f>
        <v>정보통신</v>
      </c>
      <c r="U401" s="402" t="s">
        <v>22</v>
      </c>
      <c r="AB401" s="252"/>
    </row>
    <row r="402" spans="1:28" s="26" customFormat="1" hidden="1">
      <c r="A402" s="402" t="s">
        <v>521</v>
      </c>
      <c r="B402" s="53" t="s">
        <v>271</v>
      </c>
      <c r="C402" s="53" t="s">
        <v>278</v>
      </c>
      <c r="D402" s="20" t="s">
        <v>193</v>
      </c>
      <c r="E402" s="44">
        <v>38111</v>
      </c>
      <c r="F402" s="20">
        <v>100000</v>
      </c>
      <c r="G402" s="20">
        <v>4000</v>
      </c>
      <c r="H402" s="20">
        <v>400000000</v>
      </c>
      <c r="I402" s="22" t="s">
        <v>963</v>
      </c>
      <c r="J402" s="38">
        <v>38520</v>
      </c>
      <c r="K402" s="20">
        <v>74800</v>
      </c>
      <c r="L402" s="20">
        <v>5000</v>
      </c>
      <c r="M402" s="20">
        <f>+N402+74800000</f>
        <v>374000000</v>
      </c>
      <c r="N402" s="20">
        <v>299200000</v>
      </c>
      <c r="O402" s="24">
        <f t="shared" si="32"/>
        <v>74800000</v>
      </c>
      <c r="P402" s="20"/>
      <c r="Q402" s="20"/>
      <c r="R402" s="401" t="s">
        <v>949</v>
      </c>
      <c r="S402" s="401" t="s">
        <v>1026</v>
      </c>
      <c r="T402" s="401" t="s">
        <v>180</v>
      </c>
      <c r="U402" s="401" t="s">
        <v>22</v>
      </c>
      <c r="AB402" s="252"/>
    </row>
    <row r="403" spans="1:28" s="26" customFormat="1" hidden="1">
      <c r="A403" s="402" t="s">
        <v>521</v>
      </c>
      <c r="B403" s="53" t="s">
        <v>271</v>
      </c>
      <c r="C403" s="53" t="s">
        <v>278</v>
      </c>
      <c r="D403" s="11" t="s">
        <v>193</v>
      </c>
      <c r="E403" s="45"/>
      <c r="F403" s="14"/>
      <c r="G403" s="14"/>
      <c r="H403" s="14"/>
      <c r="I403" s="28"/>
      <c r="J403" s="40">
        <v>38610</v>
      </c>
      <c r="K403" s="14">
        <v>25200</v>
      </c>
      <c r="L403" s="14">
        <v>5000</v>
      </c>
      <c r="M403" s="14">
        <f>+N403+25200000</f>
        <v>126000000</v>
      </c>
      <c r="N403" s="14">
        <v>100800000</v>
      </c>
      <c r="O403" s="30">
        <f t="shared" si="32"/>
        <v>25200000</v>
      </c>
      <c r="P403" s="14">
        <f>+SUM(H402:H403)-SUM(N402:N403)</f>
        <v>0</v>
      </c>
      <c r="Q403" s="14"/>
      <c r="R403" s="402" t="s">
        <v>949</v>
      </c>
      <c r="S403" s="402" t="s">
        <v>1027</v>
      </c>
      <c r="T403" s="402" t="str">
        <f>+T402</f>
        <v>정보통신</v>
      </c>
      <c r="U403" s="402" t="s">
        <v>22</v>
      </c>
      <c r="AB403" s="252"/>
    </row>
    <row r="404" spans="1:28" s="26" customFormat="1" hidden="1">
      <c r="A404" s="402" t="s">
        <v>521</v>
      </c>
      <c r="B404" s="53" t="s">
        <v>271</v>
      </c>
      <c r="C404" s="53" t="s">
        <v>279</v>
      </c>
      <c r="D404" s="20" t="s">
        <v>194</v>
      </c>
      <c r="E404" s="44">
        <v>38204</v>
      </c>
      <c r="F404" s="20"/>
      <c r="G404" s="20"/>
      <c r="H404" s="20">
        <v>300000000</v>
      </c>
      <c r="I404" s="22" t="s">
        <v>184</v>
      </c>
      <c r="J404" s="38">
        <v>38492</v>
      </c>
      <c r="K404" s="20"/>
      <c r="L404" s="20"/>
      <c r="M404" s="20">
        <f>+N404+5876321</f>
        <v>130000000</v>
      </c>
      <c r="N404" s="20">
        <v>124123679</v>
      </c>
      <c r="O404" s="24">
        <f t="shared" si="32"/>
        <v>5876321</v>
      </c>
      <c r="P404" s="20"/>
      <c r="Q404" s="20"/>
      <c r="R404" s="401" t="s">
        <v>983</v>
      </c>
      <c r="S404" s="401"/>
      <c r="T404" s="401" t="s">
        <v>180</v>
      </c>
      <c r="U404" s="401" t="s">
        <v>22</v>
      </c>
      <c r="AB404" s="252"/>
    </row>
    <row r="405" spans="1:28" s="26" customFormat="1" hidden="1">
      <c r="A405" s="402" t="s">
        <v>521</v>
      </c>
      <c r="B405" s="53" t="s">
        <v>271</v>
      </c>
      <c r="C405" s="53" t="s">
        <v>279</v>
      </c>
      <c r="D405" s="14" t="s">
        <v>194</v>
      </c>
      <c r="E405" s="45"/>
      <c r="F405" s="14"/>
      <c r="G405" s="14"/>
      <c r="H405" s="14"/>
      <c r="I405" s="28"/>
      <c r="J405" s="40">
        <v>38611</v>
      </c>
      <c r="K405" s="14"/>
      <c r="L405" s="14"/>
      <c r="M405" s="14">
        <f>+N405+10660469</f>
        <v>170000000</v>
      </c>
      <c r="N405" s="14">
        <v>159339531</v>
      </c>
      <c r="O405" s="30">
        <f t="shared" si="32"/>
        <v>10660469</v>
      </c>
      <c r="P405" s="14"/>
      <c r="Q405" s="14"/>
      <c r="R405" s="402" t="s">
        <v>983</v>
      </c>
      <c r="S405" s="402"/>
      <c r="T405" s="402" t="str">
        <f>+T404</f>
        <v>정보통신</v>
      </c>
      <c r="U405" s="402" t="s">
        <v>22</v>
      </c>
      <c r="AB405" s="252"/>
    </row>
    <row r="406" spans="1:28" s="26" customFormat="1" hidden="1">
      <c r="A406" s="31" t="s">
        <v>521</v>
      </c>
      <c r="B406" s="53" t="s">
        <v>271</v>
      </c>
      <c r="C406" s="53" t="s">
        <v>279</v>
      </c>
      <c r="D406" s="11" t="s">
        <v>194</v>
      </c>
      <c r="E406" s="45"/>
      <c r="F406" s="14"/>
      <c r="G406" s="14"/>
      <c r="H406" s="14"/>
      <c r="I406" s="28"/>
      <c r="J406" s="40">
        <v>38625</v>
      </c>
      <c r="K406" s="14"/>
      <c r="L406" s="14"/>
      <c r="M406" s="14">
        <f>+N406+1144437</f>
        <v>17681227</v>
      </c>
      <c r="N406" s="14">
        <v>16536790</v>
      </c>
      <c r="O406" s="30">
        <f t="shared" si="32"/>
        <v>1144437</v>
      </c>
      <c r="P406" s="14">
        <f>+SUM(H404:H406)-SUM(N404:N406)</f>
        <v>0</v>
      </c>
      <c r="Q406" s="14"/>
      <c r="R406" s="402" t="s">
        <v>983</v>
      </c>
      <c r="S406" s="402"/>
      <c r="T406" s="402" t="str">
        <f>+T405</f>
        <v>정보통신</v>
      </c>
      <c r="U406" s="402" t="s">
        <v>22</v>
      </c>
      <c r="V406" s="4"/>
      <c r="W406" s="4"/>
      <c r="X406" s="4"/>
      <c r="Y406" s="4"/>
      <c r="AB406" s="252"/>
    </row>
    <row r="407" spans="1:28" s="26" customFormat="1" hidden="1">
      <c r="A407" s="31" t="s">
        <v>521</v>
      </c>
      <c r="B407" s="53" t="s">
        <v>271</v>
      </c>
      <c r="C407" s="53" t="s">
        <v>280</v>
      </c>
      <c r="D407" s="20" t="s">
        <v>195</v>
      </c>
      <c r="E407" s="44">
        <v>37144</v>
      </c>
      <c r="F407" s="20">
        <v>3000</v>
      </c>
      <c r="G407" s="20">
        <v>100000</v>
      </c>
      <c r="H407" s="20">
        <f>+F407*G407</f>
        <v>300000000</v>
      </c>
      <c r="I407" s="22" t="s">
        <v>969</v>
      </c>
      <c r="J407" s="38">
        <v>38553</v>
      </c>
      <c r="K407" s="20">
        <v>38155</v>
      </c>
      <c r="L407" s="20">
        <v>11909</v>
      </c>
      <c r="M407" s="20">
        <v>453968620</v>
      </c>
      <c r="N407" s="20">
        <v>38155000</v>
      </c>
      <c r="O407" s="24">
        <f>+M407-N407</f>
        <v>415813620</v>
      </c>
      <c r="P407" s="20"/>
      <c r="Q407" s="20"/>
      <c r="R407" s="401" t="s">
        <v>1028</v>
      </c>
      <c r="S407" s="401"/>
      <c r="T407" s="401" t="s">
        <v>180</v>
      </c>
      <c r="U407" s="401" t="s">
        <v>22</v>
      </c>
      <c r="AB407" s="252"/>
    </row>
    <row r="408" spans="1:28" s="26" customFormat="1" hidden="1">
      <c r="A408" s="31" t="s">
        <v>521</v>
      </c>
      <c r="B408" s="53" t="s">
        <v>271</v>
      </c>
      <c r="C408" s="53" t="s">
        <v>280</v>
      </c>
      <c r="D408" s="14" t="s">
        <v>195</v>
      </c>
      <c r="E408" s="45"/>
      <c r="F408" s="14"/>
      <c r="G408" s="14"/>
      <c r="H408" s="14"/>
      <c r="I408" s="28"/>
      <c r="J408" s="40">
        <v>38554</v>
      </c>
      <c r="K408" s="14">
        <f>13438+23128+11845</f>
        <v>48411</v>
      </c>
      <c r="L408" s="14">
        <f t="shared" ref="L408:L418" si="34">+M408/K408</f>
        <v>11469.388362149099</v>
      </c>
      <c r="M408" s="14">
        <v>555244560</v>
      </c>
      <c r="N408" s="14">
        <f>13438000+23128000+11845000</f>
        <v>48411000</v>
      </c>
      <c r="O408" s="30">
        <f t="shared" si="32"/>
        <v>506833560</v>
      </c>
      <c r="P408" s="14"/>
      <c r="Q408" s="14"/>
      <c r="R408" s="402" t="s">
        <v>1028</v>
      </c>
      <c r="S408" s="402"/>
      <c r="T408" s="402" t="s">
        <v>180</v>
      </c>
      <c r="U408" s="402" t="s">
        <v>22</v>
      </c>
      <c r="AB408" s="252"/>
    </row>
    <row r="409" spans="1:28" s="26" customFormat="1" hidden="1">
      <c r="A409" s="31" t="s">
        <v>521</v>
      </c>
      <c r="B409" s="53" t="s">
        <v>271</v>
      </c>
      <c r="C409" s="53" t="s">
        <v>280</v>
      </c>
      <c r="D409" s="14" t="s">
        <v>195</v>
      </c>
      <c r="E409" s="45"/>
      <c r="F409" s="14"/>
      <c r="G409" s="14"/>
      <c r="H409" s="14"/>
      <c r="I409" s="28"/>
      <c r="J409" s="40">
        <v>38558</v>
      </c>
      <c r="K409" s="14">
        <f>53562+6872</f>
        <v>60434</v>
      </c>
      <c r="L409" s="14">
        <f t="shared" si="34"/>
        <v>10067.59671707979</v>
      </c>
      <c r="M409" s="14">
        <v>608425140</v>
      </c>
      <c r="N409" s="14">
        <f>53562000+6872000</f>
        <v>60434000</v>
      </c>
      <c r="O409" s="30">
        <f t="shared" si="32"/>
        <v>547991140</v>
      </c>
      <c r="P409" s="14"/>
      <c r="Q409" s="14"/>
      <c r="R409" s="402" t="s">
        <v>1028</v>
      </c>
      <c r="S409" s="402"/>
      <c r="T409" s="402" t="s">
        <v>180</v>
      </c>
      <c r="U409" s="402" t="s">
        <v>22</v>
      </c>
      <c r="AB409" s="252"/>
    </row>
    <row r="410" spans="1:28" s="26" customFormat="1" hidden="1">
      <c r="A410" s="31" t="s">
        <v>521</v>
      </c>
      <c r="B410" s="53" t="s">
        <v>271</v>
      </c>
      <c r="C410" s="53" t="s">
        <v>280</v>
      </c>
      <c r="D410" s="14" t="s">
        <v>195</v>
      </c>
      <c r="E410" s="45"/>
      <c r="F410" s="14"/>
      <c r="G410" s="14"/>
      <c r="H410" s="14"/>
      <c r="I410" s="28"/>
      <c r="J410" s="40">
        <v>38559</v>
      </c>
      <c r="K410" s="14">
        <f>15000+5000</f>
        <v>20000</v>
      </c>
      <c r="L410" s="14">
        <f t="shared" si="34"/>
        <v>10058.316000000001</v>
      </c>
      <c r="M410" s="14">
        <v>201166320</v>
      </c>
      <c r="N410" s="14">
        <v>20000000</v>
      </c>
      <c r="O410" s="30">
        <f t="shared" si="32"/>
        <v>181166320</v>
      </c>
      <c r="P410" s="14"/>
      <c r="Q410" s="14"/>
      <c r="R410" s="402" t="s">
        <v>1028</v>
      </c>
      <c r="S410" s="402"/>
      <c r="T410" s="402" t="s">
        <v>180</v>
      </c>
      <c r="U410" s="402" t="s">
        <v>22</v>
      </c>
      <c r="AB410" s="252"/>
    </row>
    <row r="411" spans="1:28" s="26" customFormat="1" hidden="1">
      <c r="A411" s="31" t="s">
        <v>521</v>
      </c>
      <c r="B411" s="53" t="s">
        <v>271</v>
      </c>
      <c r="C411" s="53" t="s">
        <v>280</v>
      </c>
      <c r="D411" s="14" t="s">
        <v>195</v>
      </c>
      <c r="E411" s="45"/>
      <c r="F411" s="14"/>
      <c r="G411" s="14"/>
      <c r="H411" s="14"/>
      <c r="I411" s="28"/>
      <c r="J411" s="40">
        <v>38560</v>
      </c>
      <c r="K411" s="14">
        <f>1000+21697</f>
        <v>22697</v>
      </c>
      <c r="L411" s="14">
        <f t="shared" si="34"/>
        <v>10216.769617130018</v>
      </c>
      <c r="M411" s="14">
        <v>231890020</v>
      </c>
      <c r="N411" s="14">
        <v>22697000</v>
      </c>
      <c r="O411" s="30">
        <f t="shared" si="32"/>
        <v>209193020</v>
      </c>
      <c r="P411" s="14"/>
      <c r="Q411" s="14"/>
      <c r="R411" s="402" t="s">
        <v>1028</v>
      </c>
      <c r="S411" s="402"/>
      <c r="T411" s="402" t="s">
        <v>180</v>
      </c>
      <c r="U411" s="402" t="s">
        <v>22</v>
      </c>
      <c r="AB411" s="252"/>
    </row>
    <row r="412" spans="1:28" s="26" customFormat="1" hidden="1">
      <c r="A412" s="31" t="s">
        <v>521</v>
      </c>
      <c r="B412" s="53" t="s">
        <v>271</v>
      </c>
      <c r="C412" s="53" t="s">
        <v>280</v>
      </c>
      <c r="D412" s="14" t="s">
        <v>195</v>
      </c>
      <c r="E412" s="45"/>
      <c r="F412" s="14"/>
      <c r="G412" s="14"/>
      <c r="H412" s="14"/>
      <c r="I412" s="28"/>
      <c r="J412" s="40">
        <v>38561</v>
      </c>
      <c r="K412" s="14">
        <v>8933</v>
      </c>
      <c r="L412" s="14">
        <f t="shared" si="34"/>
        <v>9501.441844844956</v>
      </c>
      <c r="M412" s="14">
        <v>84876380</v>
      </c>
      <c r="N412" s="14">
        <v>8933000</v>
      </c>
      <c r="O412" s="30">
        <f t="shared" si="32"/>
        <v>75943380</v>
      </c>
      <c r="P412" s="14"/>
      <c r="Q412" s="14"/>
      <c r="R412" s="402" t="s">
        <v>1028</v>
      </c>
      <c r="S412" s="402"/>
      <c r="T412" s="402" t="s">
        <v>180</v>
      </c>
      <c r="U412" s="402" t="s">
        <v>22</v>
      </c>
      <c r="AB412" s="252"/>
    </row>
    <row r="413" spans="1:28" s="26" customFormat="1" hidden="1">
      <c r="A413" s="31" t="s">
        <v>521</v>
      </c>
      <c r="B413" s="53" t="s">
        <v>271</v>
      </c>
      <c r="C413" s="53" t="s">
        <v>280</v>
      </c>
      <c r="D413" s="14" t="s">
        <v>195</v>
      </c>
      <c r="E413" s="45"/>
      <c r="F413" s="14"/>
      <c r="G413" s="14"/>
      <c r="H413" s="14"/>
      <c r="I413" s="28"/>
      <c r="J413" s="40">
        <v>38562</v>
      </c>
      <c r="K413" s="14">
        <v>22315</v>
      </c>
      <c r="L413" s="14">
        <f t="shared" si="34"/>
        <v>9573.2529688550294</v>
      </c>
      <c r="M413" s="14">
        <v>213627140</v>
      </c>
      <c r="N413" s="14">
        <v>22315000</v>
      </c>
      <c r="O413" s="30">
        <f t="shared" si="32"/>
        <v>191312140</v>
      </c>
      <c r="P413" s="14"/>
      <c r="Q413" s="14"/>
      <c r="R413" s="402" t="s">
        <v>1028</v>
      </c>
      <c r="S413" s="402"/>
      <c r="T413" s="402" t="s">
        <v>180</v>
      </c>
      <c r="U413" s="402" t="s">
        <v>22</v>
      </c>
      <c r="AB413" s="252"/>
    </row>
    <row r="414" spans="1:28" hidden="1">
      <c r="A414" s="31" t="s">
        <v>521</v>
      </c>
      <c r="B414" s="53" t="s">
        <v>271</v>
      </c>
      <c r="C414" s="53" t="s">
        <v>280</v>
      </c>
      <c r="D414" s="14" t="s">
        <v>195</v>
      </c>
      <c r="E414" s="45"/>
      <c r="F414" s="14"/>
      <c r="G414" s="14"/>
      <c r="H414" s="14"/>
      <c r="I414" s="28"/>
      <c r="J414" s="40">
        <v>38565</v>
      </c>
      <c r="K414" s="14">
        <v>8269</v>
      </c>
      <c r="L414" s="14">
        <f t="shared" si="34"/>
        <v>9461.931309710968</v>
      </c>
      <c r="M414" s="14">
        <v>78240710</v>
      </c>
      <c r="N414" s="14">
        <v>8269000</v>
      </c>
      <c r="O414" s="30">
        <f t="shared" si="32"/>
        <v>69971710</v>
      </c>
      <c r="P414" s="14"/>
      <c r="Q414" s="14"/>
      <c r="R414" s="402" t="s">
        <v>1028</v>
      </c>
      <c r="S414" s="402"/>
      <c r="T414" s="402" t="s">
        <v>180</v>
      </c>
      <c r="U414" s="402" t="s">
        <v>22</v>
      </c>
      <c r="V414" s="26"/>
      <c r="W414" s="26"/>
      <c r="X414" s="26"/>
      <c r="Y414" s="26"/>
    </row>
    <row r="415" spans="1:28" s="26" customFormat="1" hidden="1">
      <c r="A415" s="31" t="s">
        <v>521</v>
      </c>
      <c r="B415" s="53" t="s">
        <v>271</v>
      </c>
      <c r="C415" s="53" t="s">
        <v>280</v>
      </c>
      <c r="D415" s="14" t="s">
        <v>195</v>
      </c>
      <c r="E415" s="45"/>
      <c r="F415" s="14"/>
      <c r="G415" s="14"/>
      <c r="H415" s="14"/>
      <c r="I415" s="28"/>
      <c r="J415" s="40">
        <v>38566</v>
      </c>
      <c r="K415" s="14">
        <f>14821+5067</f>
        <v>19888</v>
      </c>
      <c r="L415" s="14">
        <f t="shared" si="34"/>
        <v>9186.6733708769116</v>
      </c>
      <c r="M415" s="14">
        <v>182704560</v>
      </c>
      <c r="N415" s="14">
        <f>14821000+5067000</f>
        <v>19888000</v>
      </c>
      <c r="O415" s="30">
        <f t="shared" si="32"/>
        <v>162816560</v>
      </c>
      <c r="P415" s="14"/>
      <c r="Q415" s="14"/>
      <c r="R415" s="402" t="s">
        <v>1028</v>
      </c>
      <c r="S415" s="402"/>
      <c r="T415" s="402" t="s">
        <v>180</v>
      </c>
      <c r="U415" s="402" t="s">
        <v>22</v>
      </c>
      <c r="AB415" s="252"/>
    </row>
    <row r="416" spans="1:28" s="26" customFormat="1" hidden="1">
      <c r="A416" s="31" t="s">
        <v>521</v>
      </c>
      <c r="B416" s="53" t="s">
        <v>271</v>
      </c>
      <c r="C416" s="53" t="s">
        <v>280</v>
      </c>
      <c r="D416" s="14" t="s">
        <v>195</v>
      </c>
      <c r="E416" s="45"/>
      <c r="F416" s="14"/>
      <c r="G416" s="14"/>
      <c r="H416" s="14"/>
      <c r="I416" s="28"/>
      <c r="J416" s="40">
        <v>38572</v>
      </c>
      <c r="K416" s="14">
        <v>30898</v>
      </c>
      <c r="L416" s="14">
        <f t="shared" si="34"/>
        <v>8223.0060198071078</v>
      </c>
      <c r="M416" s="14">
        <v>254074440</v>
      </c>
      <c r="N416" s="14">
        <v>30898000</v>
      </c>
      <c r="O416" s="30">
        <f t="shared" si="32"/>
        <v>223176440</v>
      </c>
      <c r="P416" s="14"/>
      <c r="Q416" s="14"/>
      <c r="R416" s="402" t="s">
        <v>1028</v>
      </c>
      <c r="S416" s="402"/>
      <c r="T416" s="402" t="s">
        <v>180</v>
      </c>
      <c r="U416" s="402" t="s">
        <v>22</v>
      </c>
      <c r="AB416" s="252"/>
    </row>
    <row r="417" spans="1:28" hidden="1">
      <c r="A417" s="31" t="s">
        <v>521</v>
      </c>
      <c r="B417" s="53" t="s">
        <v>271</v>
      </c>
      <c r="C417" s="53" t="s">
        <v>280</v>
      </c>
      <c r="D417" s="14" t="s">
        <v>195</v>
      </c>
      <c r="E417" s="45"/>
      <c r="F417" s="14"/>
      <c r="G417" s="14"/>
      <c r="H417" s="14"/>
      <c r="I417" s="28"/>
      <c r="J417" s="40">
        <v>38603</v>
      </c>
      <c r="K417" s="14">
        <v>10000</v>
      </c>
      <c r="L417" s="14">
        <f t="shared" si="34"/>
        <v>9567.6129999999994</v>
      </c>
      <c r="M417" s="14">
        <v>95676130</v>
      </c>
      <c r="N417" s="14">
        <v>10000000</v>
      </c>
      <c r="O417" s="30">
        <f t="shared" si="32"/>
        <v>85676130</v>
      </c>
      <c r="P417" s="14"/>
      <c r="Q417" s="14"/>
      <c r="R417" s="402" t="s">
        <v>1028</v>
      </c>
      <c r="S417" s="402"/>
      <c r="T417" s="402" t="s">
        <v>180</v>
      </c>
      <c r="U417" s="402" t="s">
        <v>22</v>
      </c>
      <c r="V417" s="26"/>
      <c r="W417" s="26"/>
      <c r="X417" s="26"/>
      <c r="Y417" s="26"/>
    </row>
    <row r="418" spans="1:28" hidden="1">
      <c r="A418" s="31" t="s">
        <v>521</v>
      </c>
      <c r="B418" s="31" t="s">
        <v>271</v>
      </c>
      <c r="C418" s="72" t="s">
        <v>280</v>
      </c>
      <c r="D418" s="11" t="s">
        <v>195</v>
      </c>
      <c r="E418" s="46"/>
      <c r="F418" s="11"/>
      <c r="G418" s="11"/>
      <c r="H418" s="11"/>
      <c r="I418" s="33"/>
      <c r="J418" s="41">
        <v>38604</v>
      </c>
      <c r="K418" s="11">
        <v>10000</v>
      </c>
      <c r="L418" s="11">
        <f t="shared" si="34"/>
        <v>9496.232</v>
      </c>
      <c r="M418" s="11">
        <v>94962320</v>
      </c>
      <c r="N418" s="11">
        <v>10000000</v>
      </c>
      <c r="O418" s="35">
        <f t="shared" si="32"/>
        <v>84962320</v>
      </c>
      <c r="P418" s="11">
        <f>+SUM(H407:H418)-SUM(N407:N418)</f>
        <v>0</v>
      </c>
      <c r="Q418" s="11"/>
      <c r="R418" s="403" t="s">
        <v>1028</v>
      </c>
      <c r="S418" s="403"/>
      <c r="T418" s="403" t="s">
        <v>180</v>
      </c>
      <c r="U418" s="403" t="s">
        <v>22</v>
      </c>
      <c r="V418" s="26"/>
      <c r="W418" s="26"/>
      <c r="X418" s="26"/>
      <c r="Y418" s="26"/>
    </row>
    <row r="419" spans="1:28" hidden="1">
      <c r="A419" s="36" t="s">
        <v>521</v>
      </c>
      <c r="B419" s="36" t="s">
        <v>271</v>
      </c>
      <c r="C419" s="146" t="s">
        <v>523</v>
      </c>
      <c r="D419" s="137"/>
      <c r="E419" s="157"/>
      <c r="F419" s="137"/>
      <c r="G419" s="137"/>
      <c r="H419" s="137">
        <f>SUM(H380:H418)</f>
        <v>5626301400</v>
      </c>
      <c r="I419" s="141"/>
      <c r="J419" s="145"/>
      <c r="K419" s="137"/>
      <c r="L419" s="137"/>
      <c r="M419" s="137">
        <f>SUM(M380:M418)</f>
        <v>7483988046</v>
      </c>
      <c r="N419" s="137">
        <f>SUM(N380:N418)</f>
        <v>5626301400.000001</v>
      </c>
      <c r="O419" s="137">
        <f>SUM(O380:O418)</f>
        <v>1857686646</v>
      </c>
      <c r="P419" s="137">
        <f>SUM(P380:P418)</f>
        <v>0</v>
      </c>
      <c r="Q419" s="137"/>
      <c r="R419" s="139"/>
      <c r="S419" s="139"/>
      <c r="T419" s="139"/>
      <c r="U419" s="139"/>
      <c r="V419" s="26"/>
      <c r="W419" s="26"/>
      <c r="X419" s="26"/>
      <c r="Y419" s="26"/>
    </row>
    <row r="420" spans="1:28" s="26" customFormat="1" hidden="1">
      <c r="A420" s="401" t="s">
        <v>521</v>
      </c>
      <c r="B420" s="404" t="s">
        <v>196</v>
      </c>
      <c r="C420" s="404" t="s">
        <v>279</v>
      </c>
      <c r="D420" s="20" t="s">
        <v>197</v>
      </c>
      <c r="E420" s="44">
        <v>36890</v>
      </c>
      <c r="F420" s="20"/>
      <c r="G420" s="20"/>
      <c r="H420" s="20">
        <v>1000000000</v>
      </c>
      <c r="I420" s="22" t="s">
        <v>184</v>
      </c>
      <c r="J420" s="38">
        <v>37620</v>
      </c>
      <c r="K420" s="20">
        <f>500000000/2000</f>
        <v>250000</v>
      </c>
      <c r="L420" s="20">
        <v>2000</v>
      </c>
      <c r="M420" s="20">
        <v>699025000</v>
      </c>
      <c r="N420" s="20">
        <v>500000000</v>
      </c>
      <c r="O420" s="24">
        <f>+M420-N420</f>
        <v>199025000</v>
      </c>
      <c r="P420" s="20"/>
      <c r="Q420" s="20"/>
      <c r="R420" s="401" t="s">
        <v>978</v>
      </c>
      <c r="S420" s="401"/>
      <c r="T420" s="401" t="s">
        <v>180</v>
      </c>
      <c r="U420" s="401" t="s">
        <v>182</v>
      </c>
      <c r="AB420" s="252"/>
    </row>
    <row r="421" spans="1:28" hidden="1">
      <c r="A421" s="402" t="s">
        <v>521</v>
      </c>
      <c r="B421" s="53" t="s">
        <v>272</v>
      </c>
      <c r="C421" s="53" t="s">
        <v>279</v>
      </c>
      <c r="D421" s="11" t="s">
        <v>197</v>
      </c>
      <c r="E421" s="46"/>
      <c r="F421" s="11"/>
      <c r="G421" s="11"/>
      <c r="H421" s="11"/>
      <c r="I421" s="33" t="s">
        <v>184</v>
      </c>
      <c r="J421" s="41">
        <v>37672</v>
      </c>
      <c r="K421" s="11"/>
      <c r="L421" s="11"/>
      <c r="M421" s="11">
        <v>507835610</v>
      </c>
      <c r="N421" s="11">
        <v>500000000</v>
      </c>
      <c r="O421" s="11">
        <f>+M421-N421</f>
        <v>7835610</v>
      </c>
      <c r="P421" s="11">
        <f>+SUM(H420:H421)-SUM(N420:N421)</f>
        <v>0</v>
      </c>
      <c r="Q421" s="11"/>
      <c r="R421" s="403" t="s">
        <v>978</v>
      </c>
      <c r="S421" s="403"/>
      <c r="T421" s="403" t="s">
        <v>180</v>
      </c>
      <c r="U421" s="403" t="s">
        <v>182</v>
      </c>
      <c r="V421" s="26"/>
      <c r="W421" s="26"/>
      <c r="X421" s="26"/>
      <c r="Y421" s="26"/>
    </row>
    <row r="422" spans="1:28" hidden="1">
      <c r="A422" s="402" t="s">
        <v>521</v>
      </c>
      <c r="B422" s="53" t="s">
        <v>272</v>
      </c>
      <c r="C422" s="53" t="s">
        <v>319</v>
      </c>
      <c r="D422" s="20" t="s">
        <v>198</v>
      </c>
      <c r="E422" s="44">
        <v>37019</v>
      </c>
      <c r="F422" s="20">
        <v>16667</v>
      </c>
      <c r="G422" s="20">
        <v>30000</v>
      </c>
      <c r="H422" s="20">
        <v>500000000</v>
      </c>
      <c r="I422" s="22" t="s">
        <v>963</v>
      </c>
      <c r="J422" s="23">
        <v>37025</v>
      </c>
      <c r="K422" s="20"/>
      <c r="L422" s="20"/>
      <c r="M422" s="20">
        <v>5150684</v>
      </c>
      <c r="N422" s="20">
        <v>0</v>
      </c>
      <c r="O422" s="20">
        <f>+M422-N422</f>
        <v>5150684</v>
      </c>
      <c r="P422" s="20"/>
      <c r="Q422" s="20"/>
      <c r="R422" s="401" t="s">
        <v>976</v>
      </c>
      <c r="S422" s="401"/>
      <c r="T422" s="401" t="s">
        <v>180</v>
      </c>
      <c r="U422" s="401" t="s">
        <v>200</v>
      </c>
      <c r="V422" s="26"/>
      <c r="W422" s="26"/>
      <c r="X422" s="26"/>
      <c r="Y422" s="26"/>
    </row>
    <row r="423" spans="1:28" hidden="1">
      <c r="A423" s="402" t="s">
        <v>521</v>
      </c>
      <c r="B423" s="53" t="s">
        <v>272</v>
      </c>
      <c r="C423" s="53" t="s">
        <v>278</v>
      </c>
      <c r="D423" s="14" t="s">
        <v>1052</v>
      </c>
      <c r="E423" s="45"/>
      <c r="F423" s="14"/>
      <c r="G423" s="14"/>
      <c r="H423" s="14"/>
      <c r="I423" s="28"/>
      <c r="J423" s="40">
        <v>37621</v>
      </c>
      <c r="K423" s="14"/>
      <c r="L423" s="14"/>
      <c r="M423" s="14">
        <v>0</v>
      </c>
      <c r="N423" s="14">
        <v>500000000</v>
      </c>
      <c r="O423" s="14">
        <f>+M423-N423</f>
        <v>-500000000</v>
      </c>
      <c r="P423" s="14"/>
      <c r="Q423" s="14"/>
      <c r="R423" s="402" t="s">
        <v>975</v>
      </c>
      <c r="S423" s="402"/>
      <c r="T423" s="407" t="s">
        <v>9</v>
      </c>
      <c r="U423" s="402"/>
      <c r="V423" s="26"/>
      <c r="W423" s="26"/>
      <c r="X423" s="26"/>
      <c r="Y423" s="26"/>
    </row>
    <row r="424" spans="1:28" hidden="1">
      <c r="A424" s="402" t="s">
        <v>521</v>
      </c>
      <c r="B424" s="53" t="s">
        <v>272</v>
      </c>
      <c r="C424" s="53" t="s">
        <v>319</v>
      </c>
      <c r="D424" s="14" t="s">
        <v>198</v>
      </c>
      <c r="E424" s="45"/>
      <c r="F424" s="14"/>
      <c r="G424" s="14"/>
      <c r="H424" s="14"/>
      <c r="I424" s="28"/>
      <c r="J424" s="40">
        <v>38974</v>
      </c>
      <c r="K424" s="14"/>
      <c r="L424" s="14"/>
      <c r="M424" s="14">
        <v>10000000</v>
      </c>
      <c r="N424" s="14">
        <v>0</v>
      </c>
      <c r="O424" s="14">
        <f t="shared" ref="O424:O503" si="35">+M424-N424</f>
        <v>10000000</v>
      </c>
      <c r="P424" s="14"/>
      <c r="Q424" s="14"/>
      <c r="R424" s="402" t="s">
        <v>972</v>
      </c>
      <c r="S424" s="402" t="s">
        <v>1046</v>
      </c>
      <c r="T424" s="402" t="s">
        <v>9</v>
      </c>
      <c r="U424" s="402" t="s">
        <v>96</v>
      </c>
      <c r="V424" s="26"/>
      <c r="W424" s="26"/>
      <c r="X424" s="26"/>
      <c r="Y424" s="26"/>
    </row>
    <row r="425" spans="1:28" hidden="1">
      <c r="A425" s="402" t="s">
        <v>521</v>
      </c>
      <c r="B425" s="53" t="s">
        <v>272</v>
      </c>
      <c r="C425" s="53" t="s">
        <v>319</v>
      </c>
      <c r="D425" s="14" t="s">
        <v>198</v>
      </c>
      <c r="E425" s="45"/>
      <c r="F425" s="14"/>
      <c r="G425" s="14"/>
      <c r="H425" s="14"/>
      <c r="I425" s="28"/>
      <c r="J425" s="40">
        <v>38975</v>
      </c>
      <c r="K425" s="14"/>
      <c r="L425" s="14"/>
      <c r="M425" s="14">
        <v>30000000</v>
      </c>
      <c r="N425" s="14">
        <v>0</v>
      </c>
      <c r="O425" s="14">
        <f t="shared" si="35"/>
        <v>30000000</v>
      </c>
      <c r="P425" s="14"/>
      <c r="Q425" s="14"/>
      <c r="R425" s="402" t="s">
        <v>972</v>
      </c>
      <c r="S425" s="402" t="s">
        <v>1047</v>
      </c>
      <c r="T425" s="402" t="s">
        <v>9</v>
      </c>
      <c r="U425" s="402" t="s">
        <v>96</v>
      </c>
      <c r="V425" s="26"/>
      <c r="W425" s="26"/>
      <c r="X425" s="26"/>
      <c r="Y425" s="26"/>
    </row>
    <row r="426" spans="1:28" hidden="1">
      <c r="A426" s="402" t="s">
        <v>521</v>
      </c>
      <c r="B426" s="53" t="s">
        <v>272</v>
      </c>
      <c r="C426" s="53" t="s">
        <v>319</v>
      </c>
      <c r="D426" s="14" t="s">
        <v>198</v>
      </c>
      <c r="E426" s="45"/>
      <c r="F426" s="14"/>
      <c r="G426" s="14"/>
      <c r="H426" s="14"/>
      <c r="I426" s="28"/>
      <c r="J426" s="40">
        <v>38978</v>
      </c>
      <c r="K426" s="14"/>
      <c r="L426" s="14"/>
      <c r="M426" s="14">
        <v>10000000</v>
      </c>
      <c r="N426" s="14">
        <v>0</v>
      </c>
      <c r="O426" s="14">
        <f t="shared" si="35"/>
        <v>10000000</v>
      </c>
      <c r="P426" s="14"/>
      <c r="Q426" s="14"/>
      <c r="R426" s="402" t="s">
        <v>972</v>
      </c>
      <c r="S426" s="402" t="s">
        <v>1048</v>
      </c>
      <c r="T426" s="402" t="s">
        <v>9</v>
      </c>
      <c r="U426" s="402" t="s">
        <v>96</v>
      </c>
      <c r="V426" s="26"/>
      <c r="W426" s="26"/>
      <c r="X426" s="26"/>
      <c r="Y426" s="26"/>
    </row>
    <row r="427" spans="1:28" hidden="1">
      <c r="A427" s="402" t="s">
        <v>521</v>
      </c>
      <c r="B427" s="53" t="s">
        <v>272</v>
      </c>
      <c r="C427" s="53" t="s">
        <v>319</v>
      </c>
      <c r="D427" s="14" t="s">
        <v>198</v>
      </c>
      <c r="E427" s="45"/>
      <c r="F427" s="14"/>
      <c r="G427" s="14"/>
      <c r="H427" s="14"/>
      <c r="I427" s="28"/>
      <c r="J427" s="40">
        <v>39066</v>
      </c>
      <c r="K427" s="14"/>
      <c r="L427" s="14"/>
      <c r="M427" s="14">
        <v>20000000</v>
      </c>
      <c r="N427" s="14">
        <v>0</v>
      </c>
      <c r="O427" s="14">
        <f t="shared" si="35"/>
        <v>20000000</v>
      </c>
      <c r="P427" s="14"/>
      <c r="Q427" s="14"/>
      <c r="R427" s="402" t="s">
        <v>972</v>
      </c>
      <c r="S427" s="402" t="s">
        <v>1051</v>
      </c>
      <c r="T427" s="402" t="s">
        <v>9</v>
      </c>
      <c r="U427" s="402" t="s">
        <v>96</v>
      </c>
      <c r="V427" s="26"/>
      <c r="W427" s="26"/>
      <c r="X427" s="26"/>
      <c r="Y427" s="26"/>
    </row>
    <row r="428" spans="1:28" hidden="1">
      <c r="A428" s="402" t="s">
        <v>521</v>
      </c>
      <c r="B428" s="53" t="s">
        <v>272</v>
      </c>
      <c r="C428" s="53" t="s">
        <v>319</v>
      </c>
      <c r="D428" s="11" t="s">
        <v>198</v>
      </c>
      <c r="E428" s="46"/>
      <c r="F428" s="11"/>
      <c r="G428" s="11"/>
      <c r="H428" s="11"/>
      <c r="I428" s="33"/>
      <c r="J428" s="41">
        <v>39079</v>
      </c>
      <c r="K428" s="11">
        <v>16667</v>
      </c>
      <c r="L428" s="11">
        <v>0</v>
      </c>
      <c r="M428" s="11">
        <v>1000</v>
      </c>
      <c r="N428" s="11">
        <v>0</v>
      </c>
      <c r="O428" s="11">
        <f t="shared" si="35"/>
        <v>1000</v>
      </c>
      <c r="P428" s="11">
        <f>+SUM(H422:H428)-SUM(N422:N428)</f>
        <v>0</v>
      </c>
      <c r="Q428" s="11"/>
      <c r="R428" s="403" t="s">
        <v>891</v>
      </c>
      <c r="S428" s="403"/>
      <c r="T428" s="403" t="s">
        <v>9</v>
      </c>
      <c r="U428" s="403" t="s">
        <v>96</v>
      </c>
      <c r="V428" s="26"/>
      <c r="W428" s="26"/>
      <c r="X428" s="26"/>
      <c r="Y428" s="26"/>
    </row>
    <row r="429" spans="1:28" hidden="1">
      <c r="A429" s="402" t="s">
        <v>521</v>
      </c>
      <c r="B429" s="53" t="s">
        <v>272</v>
      </c>
      <c r="C429" s="53" t="s">
        <v>323</v>
      </c>
      <c r="D429" s="20" t="s">
        <v>201</v>
      </c>
      <c r="E429" s="44">
        <v>36958</v>
      </c>
      <c r="F429" s="20">
        <v>33333</v>
      </c>
      <c r="G429" s="20">
        <v>15000</v>
      </c>
      <c r="H429" s="20">
        <v>499995000</v>
      </c>
      <c r="I429" s="22" t="s">
        <v>969</v>
      </c>
      <c r="J429" s="38">
        <v>37621</v>
      </c>
      <c r="K429" s="20"/>
      <c r="L429" s="20"/>
      <c r="M429" s="20">
        <v>0</v>
      </c>
      <c r="N429" s="20">
        <v>467275685</v>
      </c>
      <c r="O429" s="20">
        <f t="shared" si="35"/>
        <v>-467275685</v>
      </c>
      <c r="P429" s="20"/>
      <c r="Q429" s="20"/>
      <c r="R429" s="401" t="s">
        <v>199</v>
      </c>
      <c r="S429" s="401"/>
      <c r="T429" s="401" t="s">
        <v>180</v>
      </c>
      <c r="U429" s="401" t="s">
        <v>202</v>
      </c>
      <c r="V429" s="26"/>
      <c r="W429" s="26"/>
      <c r="X429" s="26"/>
      <c r="Y429" s="26"/>
    </row>
    <row r="430" spans="1:28" hidden="1">
      <c r="A430" s="402" t="s">
        <v>521</v>
      </c>
      <c r="B430" s="53" t="s">
        <v>272</v>
      </c>
      <c r="C430" s="53" t="s">
        <v>323</v>
      </c>
      <c r="D430" s="14" t="s">
        <v>201</v>
      </c>
      <c r="E430" s="45"/>
      <c r="F430" s="14"/>
      <c r="G430" s="14"/>
      <c r="H430" s="14"/>
      <c r="I430" s="28"/>
      <c r="J430" s="40">
        <v>37986</v>
      </c>
      <c r="K430" s="14"/>
      <c r="L430" s="14"/>
      <c r="M430" s="14">
        <v>0</v>
      </c>
      <c r="N430" s="14">
        <v>32719315</v>
      </c>
      <c r="O430" s="14">
        <f t="shared" si="35"/>
        <v>-32719315</v>
      </c>
      <c r="P430" s="14"/>
      <c r="Q430" s="14"/>
      <c r="R430" s="402" t="s">
        <v>199</v>
      </c>
      <c r="S430" s="402"/>
      <c r="T430" s="402" t="s">
        <v>180</v>
      </c>
      <c r="U430" s="402" t="s">
        <v>202</v>
      </c>
      <c r="V430" s="26"/>
      <c r="W430" s="26"/>
      <c r="X430" s="26"/>
      <c r="Y430" s="26"/>
    </row>
    <row r="431" spans="1:28" hidden="1">
      <c r="A431" s="402" t="s">
        <v>521</v>
      </c>
      <c r="B431" s="53" t="s">
        <v>272</v>
      </c>
      <c r="C431" s="53" t="s">
        <v>323</v>
      </c>
      <c r="D431" s="11" t="s">
        <v>49</v>
      </c>
      <c r="E431" s="46"/>
      <c r="F431" s="11"/>
      <c r="G431" s="11"/>
      <c r="H431" s="11"/>
      <c r="I431" s="33"/>
      <c r="J431" s="41">
        <v>39079</v>
      </c>
      <c r="K431" s="11">
        <v>33333</v>
      </c>
      <c r="L431" s="11"/>
      <c r="M431" s="11">
        <v>1000</v>
      </c>
      <c r="N431" s="11">
        <v>0</v>
      </c>
      <c r="O431" s="11">
        <f t="shared" si="35"/>
        <v>1000</v>
      </c>
      <c r="P431" s="11">
        <f>+SUM(H429:H431)-SUM(N429:N431)</f>
        <v>0</v>
      </c>
      <c r="Q431" s="11"/>
      <c r="R431" s="403" t="s">
        <v>891</v>
      </c>
      <c r="S431" s="403"/>
      <c r="T431" s="403" t="s">
        <v>9</v>
      </c>
      <c r="U431" s="403" t="s">
        <v>50</v>
      </c>
      <c r="V431" s="26"/>
      <c r="W431" s="26"/>
      <c r="X431" s="26"/>
      <c r="Y431" s="26"/>
    </row>
    <row r="432" spans="1:28" s="26" customFormat="1" hidden="1">
      <c r="A432" s="402" t="s">
        <v>521</v>
      </c>
      <c r="B432" s="53" t="s">
        <v>272</v>
      </c>
      <c r="C432" s="53" t="s">
        <v>323</v>
      </c>
      <c r="D432" s="20" t="s">
        <v>203</v>
      </c>
      <c r="E432" s="44">
        <v>36966</v>
      </c>
      <c r="F432" s="20">
        <v>20000</v>
      </c>
      <c r="G432" s="20">
        <v>50000</v>
      </c>
      <c r="H432" s="20">
        <f>+F432*G432</f>
        <v>1000000000</v>
      </c>
      <c r="I432" s="22" t="s">
        <v>969</v>
      </c>
      <c r="J432" s="38">
        <v>38352</v>
      </c>
      <c r="K432" s="20"/>
      <c r="L432" s="20"/>
      <c r="M432" s="20">
        <v>0</v>
      </c>
      <c r="N432" s="20">
        <v>1000000000</v>
      </c>
      <c r="O432" s="20">
        <f t="shared" si="35"/>
        <v>-1000000000</v>
      </c>
      <c r="P432" s="20"/>
      <c r="Q432" s="20"/>
      <c r="R432" s="401" t="s">
        <v>199</v>
      </c>
      <c r="S432" s="401"/>
      <c r="T432" s="401" t="s">
        <v>180</v>
      </c>
      <c r="U432" s="401" t="s">
        <v>200</v>
      </c>
      <c r="V432" s="4"/>
      <c r="W432" s="4"/>
      <c r="X432" s="4"/>
      <c r="Y432" s="4"/>
      <c r="AB432" s="252"/>
    </row>
    <row r="433" spans="1:28" s="26" customFormat="1" hidden="1">
      <c r="A433" s="402" t="s">
        <v>521</v>
      </c>
      <c r="B433" s="53" t="s">
        <v>272</v>
      </c>
      <c r="C433" s="53" t="s">
        <v>323</v>
      </c>
      <c r="D433" s="11" t="s">
        <v>203</v>
      </c>
      <c r="E433" s="46"/>
      <c r="F433" s="11"/>
      <c r="G433" s="11"/>
      <c r="H433" s="11"/>
      <c r="I433" s="33"/>
      <c r="J433" s="41">
        <v>39079</v>
      </c>
      <c r="K433" s="11">
        <v>13067</v>
      </c>
      <c r="L433" s="11">
        <f>+M433/K433</f>
        <v>76528.6599831637</v>
      </c>
      <c r="M433" s="11">
        <v>1000000000</v>
      </c>
      <c r="N433" s="11">
        <v>0</v>
      </c>
      <c r="O433" s="11">
        <f t="shared" si="35"/>
        <v>1000000000</v>
      </c>
      <c r="P433" s="11">
        <f>+SUM(H432:H433)-SUM(N432:N433)</f>
        <v>0</v>
      </c>
      <c r="Q433" s="11"/>
      <c r="R433" s="403" t="s">
        <v>891</v>
      </c>
      <c r="S433" s="403"/>
      <c r="T433" s="403" t="s">
        <v>9</v>
      </c>
      <c r="U433" s="403" t="s">
        <v>96</v>
      </c>
      <c r="V433" s="4"/>
      <c r="W433" s="4"/>
      <c r="X433" s="4"/>
      <c r="Y433" s="4"/>
      <c r="AB433" s="252"/>
    </row>
    <row r="434" spans="1:28" s="26" customFormat="1" hidden="1">
      <c r="A434" s="402" t="s">
        <v>521</v>
      </c>
      <c r="B434" s="53" t="s">
        <v>272</v>
      </c>
      <c r="C434" s="53" t="s">
        <v>323</v>
      </c>
      <c r="D434" s="20" t="s">
        <v>204</v>
      </c>
      <c r="E434" s="44">
        <v>36966</v>
      </c>
      <c r="F434" s="20">
        <v>10000</v>
      </c>
      <c r="G434" s="20">
        <v>50000</v>
      </c>
      <c r="H434" s="20">
        <f>+F434*G434</f>
        <v>500000000</v>
      </c>
      <c r="I434" s="22" t="s">
        <v>969</v>
      </c>
      <c r="J434" s="38">
        <v>38583</v>
      </c>
      <c r="K434" s="20">
        <v>20000</v>
      </c>
      <c r="L434" s="20">
        <v>15000</v>
      </c>
      <c r="M434" s="20">
        <f>+K434*L434</f>
        <v>300000000</v>
      </c>
      <c r="N434" s="20">
        <v>83340000</v>
      </c>
      <c r="O434" s="20">
        <f t="shared" si="35"/>
        <v>216660000</v>
      </c>
      <c r="P434" s="20"/>
      <c r="Q434" s="20"/>
      <c r="R434" s="401" t="s">
        <v>949</v>
      </c>
      <c r="S434" s="401" t="s">
        <v>1036</v>
      </c>
      <c r="T434" s="401" t="s">
        <v>205</v>
      </c>
      <c r="U434" s="401" t="s">
        <v>206</v>
      </c>
      <c r="AB434" s="252"/>
    </row>
    <row r="435" spans="1:28" s="26" customFormat="1" hidden="1">
      <c r="A435" s="402" t="s">
        <v>521</v>
      </c>
      <c r="B435" s="53" t="s">
        <v>272</v>
      </c>
      <c r="C435" s="53" t="s">
        <v>323</v>
      </c>
      <c r="D435" s="14" t="s">
        <v>204</v>
      </c>
      <c r="E435" s="45"/>
      <c r="F435" s="14"/>
      <c r="G435" s="14"/>
      <c r="H435" s="14"/>
      <c r="I435" s="28"/>
      <c r="J435" s="40">
        <v>38587</v>
      </c>
      <c r="K435" s="14">
        <v>10000</v>
      </c>
      <c r="L435" s="14">
        <v>16000</v>
      </c>
      <c r="M435" s="14">
        <v>160000000</v>
      </c>
      <c r="N435" s="14">
        <v>41670000</v>
      </c>
      <c r="O435" s="14">
        <f t="shared" si="35"/>
        <v>118330000</v>
      </c>
      <c r="P435" s="14"/>
      <c r="Q435" s="14"/>
      <c r="R435" s="402" t="s">
        <v>949</v>
      </c>
      <c r="S435" s="402" t="s">
        <v>1037</v>
      </c>
      <c r="T435" s="402" t="s">
        <v>205</v>
      </c>
      <c r="U435" s="402" t="s">
        <v>206</v>
      </c>
      <c r="AB435" s="252"/>
    </row>
    <row r="436" spans="1:28" s="26" customFormat="1" hidden="1">
      <c r="A436" s="402" t="s">
        <v>521</v>
      </c>
      <c r="B436" s="53" t="s">
        <v>272</v>
      </c>
      <c r="C436" s="53" t="s">
        <v>323</v>
      </c>
      <c r="D436" s="14" t="s">
        <v>204</v>
      </c>
      <c r="E436" s="45"/>
      <c r="F436" s="14"/>
      <c r="G436" s="14"/>
      <c r="H436" s="14"/>
      <c r="I436" s="28"/>
      <c r="J436" s="40">
        <v>38589</v>
      </c>
      <c r="K436" s="14">
        <v>10000</v>
      </c>
      <c r="L436" s="14">
        <v>16000</v>
      </c>
      <c r="M436" s="14">
        <v>160000000</v>
      </c>
      <c r="N436" s="14">
        <v>41670000</v>
      </c>
      <c r="O436" s="14">
        <f t="shared" si="35"/>
        <v>118330000</v>
      </c>
      <c r="P436" s="14"/>
      <c r="Q436" s="14"/>
      <c r="R436" s="402" t="s">
        <v>949</v>
      </c>
      <c r="S436" s="402" t="s">
        <v>1038</v>
      </c>
      <c r="T436" s="402" t="s">
        <v>205</v>
      </c>
      <c r="U436" s="402" t="s">
        <v>206</v>
      </c>
      <c r="AB436" s="252"/>
    </row>
    <row r="437" spans="1:28" s="26" customFormat="1" hidden="1">
      <c r="A437" s="402" t="s">
        <v>521</v>
      </c>
      <c r="B437" s="53" t="s">
        <v>272</v>
      </c>
      <c r="C437" s="53" t="s">
        <v>323</v>
      </c>
      <c r="D437" s="14" t="s">
        <v>204</v>
      </c>
      <c r="E437" s="45"/>
      <c r="F437" s="14"/>
      <c r="G437" s="14"/>
      <c r="H437" s="14"/>
      <c r="I437" s="28"/>
      <c r="J437" s="40">
        <v>38673</v>
      </c>
      <c r="K437" s="14">
        <v>20000</v>
      </c>
      <c r="L437" s="14">
        <v>16500</v>
      </c>
      <c r="M437" s="14">
        <v>330000000</v>
      </c>
      <c r="N437" s="14">
        <v>83340000</v>
      </c>
      <c r="O437" s="14">
        <f t="shared" si="35"/>
        <v>246660000</v>
      </c>
      <c r="P437" s="14"/>
      <c r="Q437" s="14"/>
      <c r="R437" s="402" t="s">
        <v>949</v>
      </c>
      <c r="S437" s="402" t="s">
        <v>1038</v>
      </c>
      <c r="T437" s="402" t="s">
        <v>205</v>
      </c>
      <c r="U437" s="402" t="s">
        <v>206</v>
      </c>
      <c r="AB437" s="252"/>
    </row>
    <row r="438" spans="1:28" s="26" customFormat="1" hidden="1">
      <c r="A438" s="402" t="s">
        <v>521</v>
      </c>
      <c r="B438" s="53" t="s">
        <v>272</v>
      </c>
      <c r="C438" s="53" t="s">
        <v>323</v>
      </c>
      <c r="D438" s="14" t="s">
        <v>204</v>
      </c>
      <c r="E438" s="45"/>
      <c r="F438" s="14"/>
      <c r="G438" s="14"/>
      <c r="H438" s="14"/>
      <c r="I438" s="28"/>
      <c r="J438" s="40">
        <v>38677</v>
      </c>
      <c r="K438" s="14">
        <v>20000</v>
      </c>
      <c r="L438" s="14">
        <v>17000</v>
      </c>
      <c r="M438" s="14">
        <v>340000000</v>
      </c>
      <c r="N438" s="14">
        <v>83340000</v>
      </c>
      <c r="O438" s="14">
        <f t="shared" si="35"/>
        <v>256660000</v>
      </c>
      <c r="P438" s="14"/>
      <c r="Q438" s="14"/>
      <c r="R438" s="402" t="s">
        <v>1040</v>
      </c>
      <c r="S438" s="402" t="s">
        <v>982</v>
      </c>
      <c r="T438" s="402" t="s">
        <v>205</v>
      </c>
      <c r="U438" s="402" t="s">
        <v>206</v>
      </c>
      <c r="AB438" s="252"/>
    </row>
    <row r="439" spans="1:28" s="26" customFormat="1" hidden="1">
      <c r="A439" s="402" t="s">
        <v>521</v>
      </c>
      <c r="B439" s="53" t="s">
        <v>272</v>
      </c>
      <c r="C439" s="53" t="s">
        <v>323</v>
      </c>
      <c r="D439" s="14" t="s">
        <v>204</v>
      </c>
      <c r="E439" s="45"/>
      <c r="F439" s="14"/>
      <c r="G439" s="14"/>
      <c r="H439" s="14"/>
      <c r="I439" s="28"/>
      <c r="J439" s="40">
        <v>39071</v>
      </c>
      <c r="K439" s="14"/>
      <c r="L439" s="14"/>
      <c r="M439" s="14">
        <v>0</v>
      </c>
      <c r="N439" s="14">
        <v>140040000</v>
      </c>
      <c r="O439" s="14">
        <f t="shared" si="35"/>
        <v>-140040000</v>
      </c>
      <c r="P439" s="14"/>
      <c r="Q439" s="14"/>
      <c r="R439" s="402" t="s">
        <v>335</v>
      </c>
      <c r="S439" s="402"/>
      <c r="T439" s="402" t="s">
        <v>115</v>
      </c>
      <c r="U439" s="402" t="s">
        <v>27</v>
      </c>
      <c r="AB439" s="252"/>
    </row>
    <row r="440" spans="1:28" s="26" customFormat="1" hidden="1">
      <c r="A440" s="402" t="s">
        <v>521</v>
      </c>
      <c r="B440" s="53" t="s">
        <v>272</v>
      </c>
      <c r="C440" s="53" t="s">
        <v>323</v>
      </c>
      <c r="D440" s="11" t="s">
        <v>204</v>
      </c>
      <c r="E440" s="46"/>
      <c r="F440" s="11"/>
      <c r="G440" s="11"/>
      <c r="H440" s="11"/>
      <c r="I440" s="33"/>
      <c r="J440" s="41">
        <v>39079</v>
      </c>
      <c r="K440" s="11">
        <v>40000</v>
      </c>
      <c r="L440" s="11">
        <f>+M440/K440</f>
        <v>1127.4662499999999</v>
      </c>
      <c r="M440" s="11">
        <v>45098650</v>
      </c>
      <c r="N440" s="11">
        <v>26600000</v>
      </c>
      <c r="O440" s="11">
        <f t="shared" si="35"/>
        <v>18498650</v>
      </c>
      <c r="P440" s="11">
        <f>+SUM(H434:H440)-SUM(N434:N440)</f>
        <v>0</v>
      </c>
      <c r="Q440" s="11"/>
      <c r="R440" s="403" t="s">
        <v>891</v>
      </c>
      <c r="S440" s="403"/>
      <c r="T440" s="403" t="s">
        <v>115</v>
      </c>
      <c r="U440" s="403" t="s">
        <v>27</v>
      </c>
      <c r="AB440" s="252"/>
    </row>
    <row r="441" spans="1:28" s="26" customFormat="1" hidden="1">
      <c r="A441" s="402" t="s">
        <v>521</v>
      </c>
      <c r="B441" s="53" t="s">
        <v>272</v>
      </c>
      <c r="C441" s="53" t="s">
        <v>319</v>
      </c>
      <c r="D441" s="20" t="s">
        <v>207</v>
      </c>
      <c r="E441" s="44">
        <v>36969</v>
      </c>
      <c r="F441" s="20">
        <v>4250</v>
      </c>
      <c r="G441" s="20">
        <v>45000</v>
      </c>
      <c r="H441" s="20">
        <f>+F441*G441</f>
        <v>191250000</v>
      </c>
      <c r="I441" s="22" t="s">
        <v>963</v>
      </c>
      <c r="J441" s="38">
        <v>37081</v>
      </c>
      <c r="K441" s="20">
        <v>14205</v>
      </c>
      <c r="L441" s="20">
        <v>48000</v>
      </c>
      <c r="M441" s="20">
        <f>+K441*L441</f>
        <v>681840000</v>
      </c>
      <c r="N441" s="20">
        <v>639225000</v>
      </c>
      <c r="O441" s="20">
        <f t="shared" si="35"/>
        <v>42615000</v>
      </c>
      <c r="P441" s="20"/>
      <c r="Q441" s="20"/>
      <c r="R441" s="401" t="s">
        <v>949</v>
      </c>
      <c r="S441" s="401" t="s">
        <v>1031</v>
      </c>
      <c r="T441" s="401" t="s">
        <v>181</v>
      </c>
      <c r="U441" s="401" t="s">
        <v>208</v>
      </c>
      <c r="AB441" s="252"/>
    </row>
    <row r="442" spans="1:28" hidden="1">
      <c r="A442" s="402" t="s">
        <v>521</v>
      </c>
      <c r="B442" s="53" t="s">
        <v>272</v>
      </c>
      <c r="C442" s="53" t="s">
        <v>319</v>
      </c>
      <c r="D442" s="14" t="s">
        <v>207</v>
      </c>
      <c r="E442" s="45">
        <v>36969</v>
      </c>
      <c r="F442" s="14">
        <v>1950</v>
      </c>
      <c r="G442" s="14">
        <f t="shared" ref="G442:G447" si="36">+H442/F442</f>
        <v>45000</v>
      </c>
      <c r="H442" s="14">
        <v>87750000</v>
      </c>
      <c r="I442" s="28" t="s">
        <v>963</v>
      </c>
      <c r="J442" s="40">
        <v>37292</v>
      </c>
      <c r="K442" s="14">
        <v>45000</v>
      </c>
      <c r="L442" s="14">
        <v>11595</v>
      </c>
      <c r="M442" s="14">
        <f>521775000+80585250</f>
        <v>602360250</v>
      </c>
      <c r="N442" s="14">
        <v>521775000</v>
      </c>
      <c r="O442" s="14">
        <f t="shared" si="35"/>
        <v>80585250</v>
      </c>
      <c r="P442" s="14"/>
      <c r="Q442" s="14"/>
      <c r="R442" s="402" t="s">
        <v>949</v>
      </c>
      <c r="S442" s="402" t="s">
        <v>1031</v>
      </c>
      <c r="T442" s="402" t="s">
        <v>181</v>
      </c>
      <c r="U442" s="402" t="s">
        <v>208</v>
      </c>
      <c r="V442" s="26"/>
      <c r="W442" s="26"/>
      <c r="X442" s="26"/>
      <c r="Y442" s="26"/>
    </row>
    <row r="443" spans="1:28" hidden="1">
      <c r="A443" s="402" t="s">
        <v>521</v>
      </c>
      <c r="B443" s="53" t="s">
        <v>272</v>
      </c>
      <c r="C443" s="53" t="s">
        <v>319</v>
      </c>
      <c r="D443" s="14" t="s">
        <v>207</v>
      </c>
      <c r="E443" s="45">
        <v>36969</v>
      </c>
      <c r="F443" s="14">
        <v>5000</v>
      </c>
      <c r="G443" s="14">
        <f t="shared" si="36"/>
        <v>45000</v>
      </c>
      <c r="H443" s="14">
        <v>225000000</v>
      </c>
      <c r="I443" s="28" t="s">
        <v>963</v>
      </c>
      <c r="J443" s="40"/>
      <c r="K443" s="14"/>
      <c r="L443" s="14"/>
      <c r="M443" s="14"/>
      <c r="N443" s="14"/>
      <c r="O443" s="14">
        <f t="shared" si="35"/>
        <v>0</v>
      </c>
      <c r="P443" s="14"/>
      <c r="Q443" s="14"/>
      <c r="R443" s="402"/>
      <c r="S443" s="402"/>
      <c r="T443" s="402" t="s">
        <v>181</v>
      </c>
      <c r="U443" s="402" t="s">
        <v>208</v>
      </c>
      <c r="V443" s="26"/>
      <c r="W443" s="26"/>
      <c r="X443" s="26"/>
      <c r="Y443" s="26"/>
    </row>
    <row r="444" spans="1:28" hidden="1">
      <c r="A444" s="402" t="s">
        <v>521</v>
      </c>
      <c r="B444" s="53" t="s">
        <v>272</v>
      </c>
      <c r="C444" s="53" t="s">
        <v>319</v>
      </c>
      <c r="D444" s="14" t="s">
        <v>207</v>
      </c>
      <c r="E444" s="45">
        <v>36969</v>
      </c>
      <c r="F444" s="14">
        <v>5000</v>
      </c>
      <c r="G444" s="14">
        <f t="shared" si="36"/>
        <v>45000</v>
      </c>
      <c r="H444" s="14">
        <v>225000000</v>
      </c>
      <c r="I444" s="28" t="s">
        <v>963</v>
      </c>
      <c r="J444" s="40"/>
      <c r="K444" s="14"/>
      <c r="L444" s="14"/>
      <c r="M444" s="14"/>
      <c r="N444" s="14"/>
      <c r="O444" s="14">
        <f t="shared" si="35"/>
        <v>0</v>
      </c>
      <c r="P444" s="14"/>
      <c r="Q444" s="14"/>
      <c r="R444" s="402"/>
      <c r="S444" s="402"/>
      <c r="T444" s="402" t="s">
        <v>181</v>
      </c>
      <c r="U444" s="402" t="s">
        <v>208</v>
      </c>
      <c r="V444" s="26"/>
      <c r="W444" s="26"/>
      <c r="X444" s="26"/>
      <c r="Y444" s="26"/>
    </row>
    <row r="445" spans="1:28" hidden="1">
      <c r="A445" s="402" t="s">
        <v>521</v>
      </c>
      <c r="B445" s="53" t="s">
        <v>272</v>
      </c>
      <c r="C445" s="53" t="s">
        <v>319</v>
      </c>
      <c r="D445" s="14" t="s">
        <v>207</v>
      </c>
      <c r="E445" s="45">
        <v>36969</v>
      </c>
      <c r="F445" s="14">
        <v>1250</v>
      </c>
      <c r="G445" s="14">
        <f t="shared" si="36"/>
        <v>45000</v>
      </c>
      <c r="H445" s="14">
        <v>56250000</v>
      </c>
      <c r="I445" s="28" t="s">
        <v>963</v>
      </c>
      <c r="J445" s="40"/>
      <c r="K445" s="14"/>
      <c r="L445" s="14"/>
      <c r="M445" s="14"/>
      <c r="N445" s="14"/>
      <c r="O445" s="14">
        <f t="shared" si="35"/>
        <v>0</v>
      </c>
      <c r="P445" s="14"/>
      <c r="Q445" s="14"/>
      <c r="R445" s="402"/>
      <c r="S445" s="402"/>
      <c r="T445" s="402" t="s">
        <v>181</v>
      </c>
      <c r="U445" s="402" t="s">
        <v>208</v>
      </c>
      <c r="V445" s="26"/>
      <c r="W445" s="26"/>
      <c r="X445" s="26"/>
      <c r="Y445" s="26"/>
    </row>
    <row r="446" spans="1:28" s="26" customFormat="1" hidden="1">
      <c r="A446" s="402" t="s">
        <v>521</v>
      </c>
      <c r="B446" s="53" t="s">
        <v>272</v>
      </c>
      <c r="C446" s="53" t="s">
        <v>319</v>
      </c>
      <c r="D446" s="14" t="s">
        <v>207</v>
      </c>
      <c r="E446" s="45">
        <v>36969</v>
      </c>
      <c r="F446" s="14">
        <v>3350</v>
      </c>
      <c r="G446" s="14">
        <f t="shared" si="36"/>
        <v>45000</v>
      </c>
      <c r="H446" s="14">
        <v>150750000</v>
      </c>
      <c r="I446" s="28" t="s">
        <v>963</v>
      </c>
      <c r="J446" s="40"/>
      <c r="K446" s="14"/>
      <c r="L446" s="14"/>
      <c r="M446" s="14"/>
      <c r="N446" s="14"/>
      <c r="O446" s="14">
        <f t="shared" si="35"/>
        <v>0</v>
      </c>
      <c r="P446" s="14"/>
      <c r="Q446" s="14"/>
      <c r="R446" s="402"/>
      <c r="S446" s="402"/>
      <c r="T446" s="402" t="s">
        <v>181</v>
      </c>
      <c r="U446" s="402" t="s">
        <v>208</v>
      </c>
      <c r="AB446" s="252"/>
    </row>
    <row r="447" spans="1:28" s="26" customFormat="1" hidden="1">
      <c r="A447" s="402" t="s">
        <v>521</v>
      </c>
      <c r="B447" s="53" t="s">
        <v>272</v>
      </c>
      <c r="C447" s="53" t="s">
        <v>319</v>
      </c>
      <c r="D447" s="11" t="s">
        <v>207</v>
      </c>
      <c r="E447" s="46">
        <v>36969</v>
      </c>
      <c r="F447" s="11">
        <v>5000</v>
      </c>
      <c r="G447" s="11">
        <f t="shared" si="36"/>
        <v>45000</v>
      </c>
      <c r="H447" s="11">
        <v>225000000</v>
      </c>
      <c r="I447" s="33" t="s">
        <v>963</v>
      </c>
      <c r="J447" s="41"/>
      <c r="K447" s="11"/>
      <c r="L447" s="11"/>
      <c r="M447" s="11"/>
      <c r="N447" s="11"/>
      <c r="O447" s="11">
        <f t="shared" si="35"/>
        <v>0</v>
      </c>
      <c r="P447" s="11">
        <f>+SUM(H441:H447)-SUM(N441:N447)</f>
        <v>0</v>
      </c>
      <c r="Q447" s="11"/>
      <c r="R447" s="403"/>
      <c r="S447" s="403"/>
      <c r="T447" s="403" t="s">
        <v>181</v>
      </c>
      <c r="U447" s="403" t="s">
        <v>208</v>
      </c>
      <c r="AB447" s="252"/>
    </row>
    <row r="448" spans="1:28" s="26" customFormat="1" hidden="1">
      <c r="A448" s="402" t="s">
        <v>521</v>
      </c>
      <c r="B448" s="53" t="s">
        <v>272</v>
      </c>
      <c r="C448" s="53" t="s">
        <v>280</v>
      </c>
      <c r="D448" s="20" t="s">
        <v>209</v>
      </c>
      <c r="E448" s="44">
        <v>37075</v>
      </c>
      <c r="F448" s="20">
        <v>21755</v>
      </c>
      <c r="G448" s="20">
        <v>59770</v>
      </c>
      <c r="H448" s="20">
        <v>1300314953</v>
      </c>
      <c r="I448" s="22" t="s">
        <v>997</v>
      </c>
      <c r="J448" s="38">
        <v>38352</v>
      </c>
      <c r="K448" s="20"/>
      <c r="L448" s="20"/>
      <c r="M448" s="20">
        <v>0</v>
      </c>
      <c r="N448" s="20">
        <v>650157477</v>
      </c>
      <c r="O448" s="20">
        <f t="shared" si="35"/>
        <v>-650157477</v>
      </c>
      <c r="P448" s="20"/>
      <c r="Q448" s="20"/>
      <c r="R448" s="401" t="s">
        <v>199</v>
      </c>
      <c r="S448" s="401"/>
      <c r="T448" s="401" t="s">
        <v>189</v>
      </c>
      <c r="U448" s="401" t="s">
        <v>200</v>
      </c>
      <c r="AB448" s="252"/>
    </row>
    <row r="449" spans="1:28" hidden="1">
      <c r="A449" s="402" t="s">
        <v>521</v>
      </c>
      <c r="B449" s="53" t="s">
        <v>272</v>
      </c>
      <c r="C449" s="53" t="s">
        <v>280</v>
      </c>
      <c r="D449" s="14" t="s">
        <v>209</v>
      </c>
      <c r="E449" s="45"/>
      <c r="F449" s="14"/>
      <c r="G449" s="14"/>
      <c r="H449" s="14"/>
      <c r="I449" s="28"/>
      <c r="J449" s="40">
        <v>38715</v>
      </c>
      <c r="K449" s="14"/>
      <c r="L449" s="14"/>
      <c r="M449" s="14">
        <v>0</v>
      </c>
      <c r="N449" s="14">
        <v>502640146</v>
      </c>
      <c r="O449" s="14">
        <f t="shared" si="35"/>
        <v>-502640146</v>
      </c>
      <c r="P449" s="14"/>
      <c r="Q449" s="14"/>
      <c r="R449" s="402" t="s">
        <v>199</v>
      </c>
      <c r="S449" s="402"/>
      <c r="T449" s="402" t="s">
        <v>189</v>
      </c>
      <c r="U449" s="402" t="s">
        <v>200</v>
      </c>
    </row>
    <row r="450" spans="1:28" hidden="1">
      <c r="A450" s="402" t="s">
        <v>521</v>
      </c>
      <c r="B450" s="53" t="s">
        <v>272</v>
      </c>
      <c r="C450" s="53" t="s">
        <v>280</v>
      </c>
      <c r="D450" s="14" t="s">
        <v>209</v>
      </c>
      <c r="E450" s="45"/>
      <c r="F450" s="14"/>
      <c r="G450" s="14"/>
      <c r="H450" s="14"/>
      <c r="I450" s="28"/>
      <c r="J450" s="40">
        <v>39071</v>
      </c>
      <c r="K450" s="14"/>
      <c r="L450" s="14"/>
      <c r="M450" s="14">
        <v>0</v>
      </c>
      <c r="N450" s="14">
        <v>147517330</v>
      </c>
      <c r="O450" s="14">
        <f t="shared" si="35"/>
        <v>-147517330</v>
      </c>
      <c r="P450" s="14"/>
      <c r="Q450" s="14"/>
      <c r="R450" s="402" t="s">
        <v>335</v>
      </c>
      <c r="S450" s="402"/>
      <c r="T450" s="402" t="s">
        <v>16</v>
      </c>
      <c r="U450" s="402" t="s">
        <v>96</v>
      </c>
    </row>
    <row r="451" spans="1:28" hidden="1">
      <c r="A451" s="402" t="s">
        <v>521</v>
      </c>
      <c r="B451" s="53" t="s">
        <v>272</v>
      </c>
      <c r="C451" s="53" t="s">
        <v>280</v>
      </c>
      <c r="D451" s="14" t="s">
        <v>209</v>
      </c>
      <c r="E451" s="45"/>
      <c r="F451" s="14"/>
      <c r="G451" s="14"/>
      <c r="H451" s="14"/>
      <c r="I451" s="28"/>
      <c r="J451" s="40">
        <v>39079</v>
      </c>
      <c r="K451" s="14">
        <v>21755</v>
      </c>
      <c r="L451" s="14">
        <f>+M451/K451</f>
        <v>2649.1027809698921</v>
      </c>
      <c r="M451" s="14">
        <v>57631231</v>
      </c>
      <c r="N451" s="14">
        <v>0</v>
      </c>
      <c r="O451" s="14">
        <f t="shared" si="35"/>
        <v>57631231</v>
      </c>
      <c r="P451" s="11">
        <f>+SUM(H448:H451)-SUM(N448:N451)</f>
        <v>0</v>
      </c>
      <c r="Q451" s="14"/>
      <c r="R451" s="402" t="s">
        <v>891</v>
      </c>
      <c r="S451" s="402"/>
      <c r="T451" s="402" t="s">
        <v>16</v>
      </c>
      <c r="U451" s="402" t="s">
        <v>96</v>
      </c>
    </row>
    <row r="452" spans="1:28" s="26" customFormat="1" hidden="1">
      <c r="A452" s="402" t="s">
        <v>521</v>
      </c>
      <c r="B452" s="53" t="s">
        <v>272</v>
      </c>
      <c r="C452" s="53" t="s">
        <v>319</v>
      </c>
      <c r="D452" s="20" t="s">
        <v>210</v>
      </c>
      <c r="E452" s="44">
        <v>37090</v>
      </c>
      <c r="F452" s="20">
        <v>28000</v>
      </c>
      <c r="G452" s="20">
        <v>25000</v>
      </c>
      <c r="H452" s="20">
        <f>+F452*G452</f>
        <v>700000000</v>
      </c>
      <c r="I452" s="22" t="s">
        <v>963</v>
      </c>
      <c r="J452" s="38">
        <v>37252</v>
      </c>
      <c r="K452" s="20">
        <v>23500</v>
      </c>
      <c r="L452" s="20">
        <v>26213</v>
      </c>
      <c r="M452" s="20">
        <f>+K452*L452</f>
        <v>616005500</v>
      </c>
      <c r="N452" s="20">
        <f>+K452*G452</f>
        <v>587500000</v>
      </c>
      <c r="O452" s="20">
        <f t="shared" si="35"/>
        <v>28505500</v>
      </c>
      <c r="P452" s="20"/>
      <c r="Q452" s="20"/>
      <c r="R452" s="401" t="s">
        <v>972</v>
      </c>
      <c r="S452" s="401" t="s">
        <v>1032</v>
      </c>
      <c r="T452" s="401" t="s">
        <v>189</v>
      </c>
      <c r="U452" s="401" t="s">
        <v>208</v>
      </c>
      <c r="AB452" s="252"/>
    </row>
    <row r="453" spans="1:28" s="26" customFormat="1" hidden="1">
      <c r="A453" s="402" t="s">
        <v>521</v>
      </c>
      <c r="B453" s="53" t="s">
        <v>272</v>
      </c>
      <c r="C453" s="53" t="s">
        <v>319</v>
      </c>
      <c r="D453" s="14" t="str">
        <f>+D452</f>
        <v>이노비스</v>
      </c>
      <c r="E453" s="45"/>
      <c r="F453" s="14"/>
      <c r="G453" s="14"/>
      <c r="H453" s="14"/>
      <c r="I453" s="28" t="str">
        <f>+I452</f>
        <v>구주_보통주</v>
      </c>
      <c r="J453" s="40">
        <v>38352</v>
      </c>
      <c r="K453" s="14"/>
      <c r="L453" s="14"/>
      <c r="M453" s="14">
        <v>0</v>
      </c>
      <c r="N453" s="14">
        <v>112500000</v>
      </c>
      <c r="O453" s="14">
        <f t="shared" si="35"/>
        <v>-112500000</v>
      </c>
      <c r="P453" s="14"/>
      <c r="Q453" s="14"/>
      <c r="R453" s="402" t="s">
        <v>199</v>
      </c>
      <c r="S453" s="402"/>
      <c r="T453" s="402" t="s">
        <v>189</v>
      </c>
      <c r="U453" s="402" t="s">
        <v>208</v>
      </c>
      <c r="AB453" s="252"/>
    </row>
    <row r="454" spans="1:28" s="26" customFormat="1" hidden="1">
      <c r="A454" s="402" t="s">
        <v>521</v>
      </c>
      <c r="B454" s="53" t="s">
        <v>272</v>
      </c>
      <c r="C454" s="53" t="s">
        <v>319</v>
      </c>
      <c r="D454" s="11" t="str">
        <f>+D453</f>
        <v>이노비스</v>
      </c>
      <c r="E454" s="46"/>
      <c r="F454" s="11"/>
      <c r="G454" s="11"/>
      <c r="H454" s="11"/>
      <c r="I454" s="33"/>
      <c r="J454" s="41">
        <v>39079</v>
      </c>
      <c r="K454" s="11">
        <v>90000</v>
      </c>
      <c r="L454" s="11"/>
      <c r="M454" s="11">
        <v>1000</v>
      </c>
      <c r="N454" s="11"/>
      <c r="O454" s="11">
        <f t="shared" si="35"/>
        <v>1000</v>
      </c>
      <c r="P454" s="11">
        <f>+SUM(H452:H454)-SUM(N452:N454)</f>
        <v>0</v>
      </c>
      <c r="Q454" s="11"/>
      <c r="R454" s="403" t="s">
        <v>891</v>
      </c>
      <c r="S454" s="403"/>
      <c r="T454" s="403" t="s">
        <v>16</v>
      </c>
      <c r="U454" s="403" t="s">
        <v>13</v>
      </c>
      <c r="AB454" s="252"/>
    </row>
    <row r="455" spans="1:28" hidden="1">
      <c r="A455" s="402" t="s">
        <v>521</v>
      </c>
      <c r="B455" s="53" t="s">
        <v>272</v>
      </c>
      <c r="C455" s="53" t="s">
        <v>318</v>
      </c>
      <c r="D455" s="20" t="s">
        <v>211</v>
      </c>
      <c r="E455" s="44">
        <v>37117</v>
      </c>
      <c r="F455" s="20">
        <v>21951</v>
      </c>
      <c r="G455" s="20">
        <v>41000</v>
      </c>
      <c r="H455" s="20">
        <v>900000000</v>
      </c>
      <c r="I455" s="22" t="s">
        <v>184</v>
      </c>
      <c r="J455" s="23">
        <v>37259</v>
      </c>
      <c r="K455" s="20"/>
      <c r="L455" s="20"/>
      <c r="M455" s="20">
        <v>3448885</v>
      </c>
      <c r="N455" s="20">
        <v>0</v>
      </c>
      <c r="O455" s="20">
        <f t="shared" si="35"/>
        <v>3448885</v>
      </c>
      <c r="P455" s="20"/>
      <c r="Q455" s="20"/>
      <c r="R455" s="401" t="s">
        <v>976</v>
      </c>
      <c r="S455" s="401"/>
      <c r="T455" s="401" t="s">
        <v>180</v>
      </c>
      <c r="U455" s="401" t="s">
        <v>200</v>
      </c>
    </row>
    <row r="456" spans="1:28" hidden="1">
      <c r="A456" s="402" t="s">
        <v>521</v>
      </c>
      <c r="B456" s="53" t="s">
        <v>272</v>
      </c>
      <c r="C456" s="53" t="s">
        <v>318</v>
      </c>
      <c r="D456" s="14" t="s">
        <v>211</v>
      </c>
      <c r="E456" s="45"/>
      <c r="F456" s="14"/>
      <c r="G456" s="14"/>
      <c r="H456" s="14"/>
      <c r="I456" s="28"/>
      <c r="J456" s="29">
        <v>37315</v>
      </c>
      <c r="K456" s="14"/>
      <c r="L456" s="14"/>
      <c r="M456" s="14">
        <f>3402740</f>
        <v>3402740</v>
      </c>
      <c r="N456" s="14">
        <v>0</v>
      </c>
      <c r="O456" s="14">
        <f>+M456-N456</f>
        <v>3402740</v>
      </c>
      <c r="P456" s="14"/>
      <c r="Q456" s="14"/>
      <c r="R456" s="402" t="s">
        <v>976</v>
      </c>
      <c r="S456" s="402"/>
      <c r="T456" s="407" t="s">
        <v>9</v>
      </c>
      <c r="U456" s="402"/>
    </row>
    <row r="457" spans="1:28" hidden="1">
      <c r="A457" s="402" t="s">
        <v>521</v>
      </c>
      <c r="B457" s="53" t="s">
        <v>272</v>
      </c>
      <c r="C457" s="53" t="s">
        <v>318</v>
      </c>
      <c r="D457" s="14" t="s">
        <v>211</v>
      </c>
      <c r="E457" s="45"/>
      <c r="F457" s="14"/>
      <c r="G457" s="14"/>
      <c r="H457" s="14"/>
      <c r="I457" s="28"/>
      <c r="J457" s="29">
        <v>37408</v>
      </c>
      <c r="K457" s="14"/>
      <c r="L457" s="14"/>
      <c r="M457" s="14">
        <v>3291781</v>
      </c>
      <c r="N457" s="14">
        <v>0</v>
      </c>
      <c r="O457" s="14">
        <f t="shared" si="35"/>
        <v>3291781</v>
      </c>
      <c r="P457" s="14"/>
      <c r="Q457" s="14"/>
      <c r="R457" s="402" t="s">
        <v>976</v>
      </c>
      <c r="S457" s="402"/>
      <c r="T457" s="407" t="s">
        <v>9</v>
      </c>
      <c r="U457" s="402"/>
    </row>
    <row r="458" spans="1:28" hidden="1">
      <c r="A458" s="402" t="s">
        <v>521</v>
      </c>
      <c r="B458" s="53" t="s">
        <v>272</v>
      </c>
      <c r="C458" s="53" t="s">
        <v>318</v>
      </c>
      <c r="D458" s="14" t="s">
        <v>211</v>
      </c>
      <c r="E458" s="45"/>
      <c r="F458" s="14"/>
      <c r="G458" s="14"/>
      <c r="H458" s="14"/>
      <c r="I458" s="28"/>
      <c r="J458" s="29">
        <v>37499</v>
      </c>
      <c r="K458" s="14"/>
      <c r="L458" s="14"/>
      <c r="M458" s="14">
        <v>3402740</v>
      </c>
      <c r="N458" s="14">
        <v>0</v>
      </c>
      <c r="O458" s="14">
        <f t="shared" si="35"/>
        <v>3402740</v>
      </c>
      <c r="P458" s="14"/>
      <c r="Q458" s="14"/>
      <c r="R458" s="402" t="s">
        <v>976</v>
      </c>
      <c r="S458" s="402"/>
      <c r="T458" s="407" t="s">
        <v>9</v>
      </c>
      <c r="U458" s="402"/>
    </row>
    <row r="459" spans="1:28" hidden="1">
      <c r="A459" s="402" t="s">
        <v>521</v>
      </c>
      <c r="B459" s="53" t="s">
        <v>272</v>
      </c>
      <c r="C459" s="53" t="s">
        <v>318</v>
      </c>
      <c r="D459" s="14" t="s">
        <v>211</v>
      </c>
      <c r="E459" s="45"/>
      <c r="F459" s="14"/>
      <c r="G459" s="14"/>
      <c r="H459" s="14"/>
      <c r="I459" s="28"/>
      <c r="J459" s="29">
        <v>37592</v>
      </c>
      <c r="K459" s="14"/>
      <c r="L459" s="14"/>
      <c r="M459" s="14">
        <v>3402740</v>
      </c>
      <c r="N459" s="14">
        <v>0</v>
      </c>
      <c r="O459" s="14">
        <f t="shared" si="35"/>
        <v>3402740</v>
      </c>
      <c r="P459" s="14"/>
      <c r="Q459" s="14"/>
      <c r="R459" s="402" t="s">
        <v>976</v>
      </c>
      <c r="S459" s="402"/>
      <c r="T459" s="407" t="s">
        <v>9</v>
      </c>
      <c r="U459" s="402"/>
    </row>
    <row r="460" spans="1:28" hidden="1">
      <c r="A460" s="402" t="s">
        <v>521</v>
      </c>
      <c r="B460" s="53" t="s">
        <v>272</v>
      </c>
      <c r="C460" s="53" t="s">
        <v>318</v>
      </c>
      <c r="D460" s="14" t="s">
        <v>211</v>
      </c>
      <c r="E460" s="45"/>
      <c r="F460" s="14"/>
      <c r="G460" s="14"/>
      <c r="H460" s="14"/>
      <c r="I460" s="28"/>
      <c r="J460" s="29">
        <v>37812</v>
      </c>
      <c r="K460" s="14"/>
      <c r="L460" s="14"/>
      <c r="M460" s="14">
        <v>5000000</v>
      </c>
      <c r="N460" s="14"/>
      <c r="O460" s="14"/>
      <c r="P460" s="14"/>
      <c r="Q460" s="14"/>
      <c r="R460" s="402" t="s">
        <v>976</v>
      </c>
      <c r="S460" s="402"/>
      <c r="T460" s="407" t="s">
        <v>9</v>
      </c>
      <c r="U460" s="402"/>
    </row>
    <row r="461" spans="1:28" hidden="1">
      <c r="A461" s="402" t="s">
        <v>521</v>
      </c>
      <c r="B461" s="53" t="s">
        <v>272</v>
      </c>
      <c r="C461" s="53" t="s">
        <v>318</v>
      </c>
      <c r="D461" s="14" t="s">
        <v>211</v>
      </c>
      <c r="E461" s="45"/>
      <c r="F461" s="14"/>
      <c r="G461" s="14"/>
      <c r="H461" s="14"/>
      <c r="I461" s="28"/>
      <c r="J461" s="29">
        <v>37838</v>
      </c>
      <c r="K461" s="14"/>
      <c r="L461" s="14"/>
      <c r="M461" s="14">
        <v>1000000</v>
      </c>
      <c r="N461" s="14"/>
      <c r="O461" s="14"/>
      <c r="P461" s="14"/>
      <c r="Q461" s="14"/>
      <c r="R461" s="402" t="s">
        <v>976</v>
      </c>
      <c r="S461" s="402"/>
      <c r="T461" s="407" t="s">
        <v>9</v>
      </c>
      <c r="U461" s="402"/>
    </row>
    <row r="462" spans="1:28" hidden="1">
      <c r="A462" s="402" t="s">
        <v>521</v>
      </c>
      <c r="B462" s="53" t="s">
        <v>272</v>
      </c>
      <c r="C462" s="53" t="s">
        <v>318</v>
      </c>
      <c r="D462" s="14" t="s">
        <v>211</v>
      </c>
      <c r="E462" s="45"/>
      <c r="F462" s="14"/>
      <c r="G462" s="14"/>
      <c r="H462" s="14"/>
      <c r="I462" s="28"/>
      <c r="J462" s="29">
        <v>37938</v>
      </c>
      <c r="K462" s="14"/>
      <c r="L462" s="14"/>
      <c r="M462" s="14">
        <v>8460652</v>
      </c>
      <c r="N462" s="14"/>
      <c r="O462" s="14"/>
      <c r="P462" s="14"/>
      <c r="Q462" s="14"/>
      <c r="R462" s="402" t="s">
        <v>976</v>
      </c>
      <c r="S462" s="402"/>
      <c r="T462" s="407" t="s">
        <v>9</v>
      </c>
      <c r="U462" s="402"/>
    </row>
    <row r="463" spans="1:28" hidden="1">
      <c r="A463" s="402" t="s">
        <v>521</v>
      </c>
      <c r="B463" s="53" t="s">
        <v>272</v>
      </c>
      <c r="C463" s="53" t="s">
        <v>318</v>
      </c>
      <c r="D463" s="14" t="s">
        <v>211</v>
      </c>
      <c r="E463" s="45"/>
      <c r="F463" s="14"/>
      <c r="G463" s="14"/>
      <c r="H463" s="14"/>
      <c r="I463" s="28"/>
      <c r="J463" s="29">
        <v>37621</v>
      </c>
      <c r="K463" s="14"/>
      <c r="L463" s="14"/>
      <c r="M463" s="14">
        <v>0</v>
      </c>
      <c r="N463" s="14">
        <v>900000000</v>
      </c>
      <c r="O463" s="14">
        <f>+M463-N463</f>
        <v>-900000000</v>
      </c>
      <c r="P463" s="14"/>
      <c r="Q463" s="14"/>
      <c r="R463" s="402" t="s">
        <v>199</v>
      </c>
      <c r="S463" s="402"/>
      <c r="T463" s="407" t="s">
        <v>9</v>
      </c>
      <c r="U463" s="402"/>
    </row>
    <row r="464" spans="1:28" hidden="1">
      <c r="A464" s="402" t="s">
        <v>521</v>
      </c>
      <c r="B464" s="53" t="s">
        <v>272</v>
      </c>
      <c r="C464" s="53" t="s">
        <v>318</v>
      </c>
      <c r="D464" s="11" t="s">
        <v>211</v>
      </c>
      <c r="E464" s="46"/>
      <c r="F464" s="11"/>
      <c r="G464" s="11"/>
      <c r="H464" s="11"/>
      <c r="I464" s="33"/>
      <c r="J464" s="34">
        <v>39079</v>
      </c>
      <c r="K464" s="11"/>
      <c r="L464" s="11"/>
      <c r="M464" s="11">
        <v>1000</v>
      </c>
      <c r="N464" s="11">
        <v>0</v>
      </c>
      <c r="O464" s="11">
        <f t="shared" si="35"/>
        <v>1000</v>
      </c>
      <c r="P464" s="11">
        <f>+SUM(H455:H464)-SUM(N455:N464)</f>
        <v>0</v>
      </c>
      <c r="Q464" s="11"/>
      <c r="R464" s="403" t="s">
        <v>891</v>
      </c>
      <c r="S464" s="403"/>
      <c r="T464" s="403" t="s">
        <v>9</v>
      </c>
      <c r="U464" s="403" t="s">
        <v>96</v>
      </c>
    </row>
    <row r="465" spans="1:28" s="26" customFormat="1" hidden="1">
      <c r="A465" s="402" t="s">
        <v>521</v>
      </c>
      <c r="B465" s="53" t="s">
        <v>272</v>
      </c>
      <c r="C465" s="53" t="s">
        <v>317</v>
      </c>
      <c r="D465" s="20" t="s">
        <v>212</v>
      </c>
      <c r="E465" s="44">
        <v>37113</v>
      </c>
      <c r="F465" s="20">
        <v>50000</v>
      </c>
      <c r="G465" s="20">
        <v>4000</v>
      </c>
      <c r="H465" s="20">
        <f>+F465*G465</f>
        <v>200000000</v>
      </c>
      <c r="I465" s="22" t="s">
        <v>969</v>
      </c>
      <c r="J465" s="38">
        <v>37621</v>
      </c>
      <c r="K465" s="20"/>
      <c r="L465" s="20"/>
      <c r="M465" s="20">
        <v>0</v>
      </c>
      <c r="N465" s="20">
        <v>161169143</v>
      </c>
      <c r="O465" s="20">
        <f t="shared" si="35"/>
        <v>-161169143</v>
      </c>
      <c r="P465" s="20"/>
      <c r="Q465" s="20"/>
      <c r="R465" s="401" t="s">
        <v>199</v>
      </c>
      <c r="S465" s="401"/>
      <c r="T465" s="401" t="s">
        <v>180</v>
      </c>
      <c r="U465" s="401" t="s">
        <v>213</v>
      </c>
      <c r="AB465" s="252"/>
    </row>
    <row r="466" spans="1:28" hidden="1">
      <c r="A466" s="402" t="s">
        <v>521</v>
      </c>
      <c r="B466" s="53" t="s">
        <v>272</v>
      </c>
      <c r="C466" s="53" t="s">
        <v>336</v>
      </c>
      <c r="D466" s="14" t="s">
        <v>212</v>
      </c>
      <c r="E466" s="45">
        <v>37113</v>
      </c>
      <c r="F466" s="14">
        <v>105005</v>
      </c>
      <c r="G466" s="14">
        <v>2857</v>
      </c>
      <c r="H466" s="14">
        <v>300000000</v>
      </c>
      <c r="I466" s="28" t="s">
        <v>184</v>
      </c>
      <c r="J466" s="40">
        <v>37621</v>
      </c>
      <c r="K466" s="14"/>
      <c r="L466" s="14"/>
      <c r="M466" s="14">
        <v>0</v>
      </c>
      <c r="N466" s="14">
        <v>300000000</v>
      </c>
      <c r="O466" s="14">
        <f t="shared" si="35"/>
        <v>-300000000</v>
      </c>
      <c r="P466" s="14"/>
      <c r="Q466" s="14"/>
      <c r="R466" s="402" t="s">
        <v>23</v>
      </c>
      <c r="S466" s="402"/>
      <c r="T466" s="402" t="s">
        <v>180</v>
      </c>
      <c r="U466" s="402" t="s">
        <v>24</v>
      </c>
      <c r="V466" s="26"/>
      <c r="W466" s="26"/>
      <c r="X466" s="26"/>
      <c r="Y466" s="26"/>
    </row>
    <row r="467" spans="1:28" hidden="1">
      <c r="A467" s="402" t="s">
        <v>521</v>
      </c>
      <c r="B467" s="53" t="s">
        <v>272</v>
      </c>
      <c r="C467" s="53" t="s">
        <v>336</v>
      </c>
      <c r="D467" s="14" t="s">
        <v>214</v>
      </c>
      <c r="E467" s="45"/>
      <c r="F467" s="14"/>
      <c r="G467" s="14"/>
      <c r="H467" s="14"/>
      <c r="I467" s="28" t="s">
        <v>82</v>
      </c>
      <c r="J467" s="40">
        <v>38352</v>
      </c>
      <c r="K467" s="14"/>
      <c r="L467" s="14"/>
      <c r="M467" s="14">
        <v>0</v>
      </c>
      <c r="N467" s="14">
        <v>38830857</v>
      </c>
      <c r="O467" s="14">
        <f t="shared" si="35"/>
        <v>-38830857</v>
      </c>
      <c r="P467" s="14"/>
      <c r="Q467" s="14"/>
      <c r="R467" s="402" t="s">
        <v>23</v>
      </c>
      <c r="S467" s="402"/>
      <c r="T467" s="402" t="str">
        <f>+T466</f>
        <v>정보통신</v>
      </c>
      <c r="U467" s="402" t="s">
        <v>24</v>
      </c>
      <c r="V467" s="26"/>
      <c r="W467" s="26"/>
      <c r="X467" s="26"/>
      <c r="Y467" s="26"/>
    </row>
    <row r="468" spans="1:28" hidden="1">
      <c r="A468" s="402" t="s">
        <v>521</v>
      </c>
      <c r="B468" s="53" t="s">
        <v>272</v>
      </c>
      <c r="C468" s="53" t="s">
        <v>336</v>
      </c>
      <c r="D468" s="14" t="s">
        <v>212</v>
      </c>
      <c r="E468" s="45"/>
      <c r="F468" s="14"/>
      <c r="G468" s="14"/>
      <c r="H468" s="14"/>
      <c r="I468" s="28"/>
      <c r="J468" s="40">
        <v>38925</v>
      </c>
      <c r="K468" s="14"/>
      <c r="L468" s="14"/>
      <c r="M468" s="14">
        <v>12575201</v>
      </c>
      <c r="N468" s="14">
        <v>0</v>
      </c>
      <c r="O468" s="14">
        <f t="shared" si="35"/>
        <v>12575201</v>
      </c>
      <c r="P468" s="14"/>
      <c r="Q468" s="14"/>
      <c r="R468" s="402" t="s">
        <v>972</v>
      </c>
      <c r="S468" s="402" t="s">
        <v>1049</v>
      </c>
      <c r="T468" s="402" t="str">
        <f>+T467</f>
        <v>정보통신</v>
      </c>
      <c r="U468" s="402" t="s">
        <v>24</v>
      </c>
      <c r="V468" s="26"/>
      <c r="W468" s="26"/>
      <c r="X468" s="26"/>
      <c r="Y468" s="26"/>
    </row>
    <row r="469" spans="1:28" hidden="1">
      <c r="A469" s="402" t="s">
        <v>521</v>
      </c>
      <c r="B469" s="53" t="s">
        <v>272</v>
      </c>
      <c r="C469" s="53" t="s">
        <v>336</v>
      </c>
      <c r="D469" s="14" t="s">
        <v>212</v>
      </c>
      <c r="E469" s="45"/>
      <c r="F469" s="14"/>
      <c r="G469" s="14"/>
      <c r="H469" s="14"/>
      <c r="I469" s="28"/>
      <c r="J469" s="40">
        <v>39013</v>
      </c>
      <c r="K469" s="14"/>
      <c r="L469" s="14"/>
      <c r="M469" s="14">
        <v>1868000</v>
      </c>
      <c r="N469" s="14"/>
      <c r="O469" s="14">
        <f t="shared" si="35"/>
        <v>1868000</v>
      </c>
      <c r="P469" s="14"/>
      <c r="Q469" s="14"/>
      <c r="R469" s="402" t="s">
        <v>972</v>
      </c>
      <c r="S469" s="402" t="s">
        <v>1049</v>
      </c>
      <c r="T469" s="402" t="str">
        <f>+T468</f>
        <v>정보통신</v>
      </c>
      <c r="U469" s="402" t="s">
        <v>24</v>
      </c>
      <c r="V469" s="26"/>
      <c r="W469" s="26"/>
      <c r="X469" s="26"/>
      <c r="Y469" s="26"/>
    </row>
    <row r="470" spans="1:28" hidden="1">
      <c r="A470" s="402" t="s">
        <v>521</v>
      </c>
      <c r="B470" s="53" t="s">
        <v>272</v>
      </c>
      <c r="C470" s="53" t="s">
        <v>336</v>
      </c>
      <c r="D470" s="14" t="s">
        <v>212</v>
      </c>
      <c r="E470" s="45"/>
      <c r="F470" s="14"/>
      <c r="G470" s="14"/>
      <c r="H470" s="14"/>
      <c r="I470" s="28"/>
      <c r="J470" s="40">
        <v>39055</v>
      </c>
      <c r="K470" s="14"/>
      <c r="L470" s="14"/>
      <c r="M470" s="14">
        <f>2708849+6417080</f>
        <v>9125929</v>
      </c>
      <c r="N470" s="14"/>
      <c r="O470" s="14">
        <f t="shared" si="35"/>
        <v>9125929</v>
      </c>
      <c r="P470" s="14"/>
      <c r="Q470" s="14"/>
      <c r="R470" s="402" t="s">
        <v>972</v>
      </c>
      <c r="S470" s="402" t="s">
        <v>1049</v>
      </c>
      <c r="T470" s="402" t="str">
        <f>+T469</f>
        <v>정보통신</v>
      </c>
      <c r="U470" s="402" t="s">
        <v>24</v>
      </c>
      <c r="V470" s="26"/>
      <c r="W470" s="26"/>
      <c r="X470" s="26"/>
      <c r="Y470" s="26"/>
    </row>
    <row r="471" spans="1:28" hidden="1">
      <c r="A471" s="402" t="s">
        <v>521</v>
      </c>
      <c r="B471" s="53" t="s">
        <v>272</v>
      </c>
      <c r="C471" s="53" t="s">
        <v>336</v>
      </c>
      <c r="D471" s="11" t="s">
        <v>212</v>
      </c>
      <c r="E471" s="46"/>
      <c r="F471" s="11"/>
      <c r="G471" s="11"/>
      <c r="H471" s="11"/>
      <c r="I471" s="33"/>
      <c r="J471" s="41">
        <v>39079</v>
      </c>
      <c r="K471" s="11">
        <v>105000</v>
      </c>
      <c r="L471" s="11"/>
      <c r="M471" s="11">
        <v>2000</v>
      </c>
      <c r="N471" s="11"/>
      <c r="O471" s="11">
        <f t="shared" si="35"/>
        <v>2000</v>
      </c>
      <c r="P471" s="11">
        <f>+SUM(H465:H471)-SUM(N465:N471)</f>
        <v>0</v>
      </c>
      <c r="Q471" s="11"/>
      <c r="R471" s="403" t="s">
        <v>891</v>
      </c>
      <c r="S471" s="403"/>
      <c r="T471" s="403" t="str">
        <f>+T470</f>
        <v>정보통신</v>
      </c>
      <c r="U471" s="403" t="s">
        <v>24</v>
      </c>
      <c r="V471" s="26"/>
      <c r="W471" s="26"/>
      <c r="X471" s="26"/>
      <c r="Y471" s="26"/>
    </row>
    <row r="472" spans="1:28" hidden="1">
      <c r="A472" s="402" t="s">
        <v>521</v>
      </c>
      <c r="B472" s="53" t="s">
        <v>272</v>
      </c>
      <c r="C472" s="53" t="s">
        <v>317</v>
      </c>
      <c r="D472" s="20" t="s">
        <v>215</v>
      </c>
      <c r="E472" s="44">
        <v>37180</v>
      </c>
      <c r="F472" s="20">
        <v>100000</v>
      </c>
      <c r="G472" s="20">
        <v>5000</v>
      </c>
      <c r="H472" s="20">
        <f>+F472*G472</f>
        <v>500000000</v>
      </c>
      <c r="I472" s="22" t="s">
        <v>969</v>
      </c>
      <c r="J472" s="38">
        <v>37285</v>
      </c>
      <c r="K472" s="20">
        <v>100000</v>
      </c>
      <c r="L472" s="20">
        <v>5397</v>
      </c>
      <c r="M472" s="20">
        <v>539758904</v>
      </c>
      <c r="N472" s="20">
        <v>500000000</v>
      </c>
      <c r="O472" s="20">
        <f t="shared" si="35"/>
        <v>39758904</v>
      </c>
      <c r="P472" s="20">
        <f>+H472-N472</f>
        <v>0</v>
      </c>
      <c r="Q472" s="20"/>
      <c r="R472" s="401" t="s">
        <v>972</v>
      </c>
      <c r="S472" s="401" t="s">
        <v>1033</v>
      </c>
      <c r="T472" s="401" t="s">
        <v>61</v>
      </c>
      <c r="U472" s="401" t="s">
        <v>216</v>
      </c>
      <c r="V472" s="26"/>
      <c r="W472" s="26"/>
      <c r="X472" s="26"/>
      <c r="Y472" s="26"/>
    </row>
    <row r="473" spans="1:28" s="26" customFormat="1" hidden="1">
      <c r="A473" s="402" t="s">
        <v>521</v>
      </c>
      <c r="B473" s="53" t="s">
        <v>272</v>
      </c>
      <c r="C473" s="53" t="s">
        <v>322</v>
      </c>
      <c r="D473" s="20" t="s">
        <v>217</v>
      </c>
      <c r="E473" s="44">
        <v>36950</v>
      </c>
      <c r="F473" s="20"/>
      <c r="G473" s="20"/>
      <c r="H473" s="20">
        <v>203016000</v>
      </c>
      <c r="I473" s="22" t="s">
        <v>85</v>
      </c>
      <c r="J473" s="38">
        <v>38016</v>
      </c>
      <c r="K473" s="21"/>
      <c r="L473" s="20"/>
      <c r="M473" s="20">
        <v>15114000</v>
      </c>
      <c r="N473" s="20">
        <v>15114000</v>
      </c>
      <c r="O473" s="20">
        <f t="shared" si="35"/>
        <v>0</v>
      </c>
      <c r="P473" s="20"/>
      <c r="Q473" s="20"/>
      <c r="R473" s="401" t="s">
        <v>978</v>
      </c>
      <c r="S473" s="401"/>
      <c r="T473" s="401" t="s">
        <v>66</v>
      </c>
      <c r="U473" s="401" t="s">
        <v>69</v>
      </c>
      <c r="AB473" s="252"/>
    </row>
    <row r="474" spans="1:28" s="26" customFormat="1" hidden="1">
      <c r="A474" s="402" t="s">
        <v>521</v>
      </c>
      <c r="B474" s="53" t="s">
        <v>272</v>
      </c>
      <c r="C474" s="53" t="s">
        <v>322</v>
      </c>
      <c r="D474" s="14" t="s">
        <v>217</v>
      </c>
      <c r="E474" s="45"/>
      <c r="F474" s="14"/>
      <c r="G474" s="14"/>
      <c r="H474" s="14"/>
      <c r="I474" s="28" t="s">
        <v>32</v>
      </c>
      <c r="J474" s="40">
        <v>38352</v>
      </c>
      <c r="K474" s="27"/>
      <c r="L474" s="14"/>
      <c r="M474" s="14">
        <v>0</v>
      </c>
      <c r="N474" s="14">
        <v>187902000</v>
      </c>
      <c r="O474" s="14">
        <f>+M474-N474</f>
        <v>-187902000</v>
      </c>
      <c r="P474" s="14"/>
      <c r="Q474" s="14"/>
      <c r="R474" s="402" t="s">
        <v>335</v>
      </c>
      <c r="S474" s="402"/>
      <c r="T474" s="402" t="s">
        <v>6</v>
      </c>
      <c r="U474" s="402" t="s">
        <v>33</v>
      </c>
      <c r="AB474" s="252"/>
    </row>
    <row r="475" spans="1:28" hidden="1">
      <c r="A475" s="402" t="s">
        <v>521</v>
      </c>
      <c r="B475" s="53" t="s">
        <v>272</v>
      </c>
      <c r="C475" s="53" t="s">
        <v>322</v>
      </c>
      <c r="D475" s="14" t="s">
        <v>217</v>
      </c>
      <c r="E475" s="45"/>
      <c r="F475" s="14"/>
      <c r="G475" s="14"/>
      <c r="H475" s="14"/>
      <c r="I475" s="28" t="str">
        <f>+I473</f>
        <v>프로젝트</v>
      </c>
      <c r="J475" s="40">
        <v>38595</v>
      </c>
      <c r="K475" s="27"/>
      <c r="L475" s="14"/>
      <c r="M475" s="14">
        <v>50000000</v>
      </c>
      <c r="N475" s="14">
        <v>0</v>
      </c>
      <c r="O475" s="14">
        <f t="shared" si="35"/>
        <v>50000000</v>
      </c>
      <c r="P475" s="14"/>
      <c r="Q475" s="14"/>
      <c r="R475" s="402" t="s">
        <v>64</v>
      </c>
      <c r="S475" s="402"/>
      <c r="T475" s="402" t="str">
        <f>+T473</f>
        <v>엔터테인먼트</v>
      </c>
      <c r="U475" s="402" t="s">
        <v>69</v>
      </c>
      <c r="V475" s="26"/>
      <c r="W475" s="26"/>
      <c r="X475" s="26"/>
      <c r="Y475" s="26"/>
    </row>
    <row r="476" spans="1:28" hidden="1">
      <c r="A476" s="402" t="s">
        <v>521</v>
      </c>
      <c r="B476" s="53" t="s">
        <v>272</v>
      </c>
      <c r="C476" s="53" t="s">
        <v>322</v>
      </c>
      <c r="D476" s="14" t="s">
        <v>217</v>
      </c>
      <c r="E476" s="45"/>
      <c r="F476" s="14"/>
      <c r="G476" s="14"/>
      <c r="H476" s="14"/>
      <c r="I476" s="28" t="str">
        <f>+I475</f>
        <v>프로젝트</v>
      </c>
      <c r="J476" s="40">
        <v>38887</v>
      </c>
      <c r="K476" s="27"/>
      <c r="L476" s="14"/>
      <c r="M476" s="14">
        <v>50000000</v>
      </c>
      <c r="N476" s="14">
        <v>0</v>
      </c>
      <c r="O476" s="14">
        <f t="shared" si="35"/>
        <v>50000000</v>
      </c>
      <c r="P476" s="14"/>
      <c r="Q476" s="14"/>
      <c r="R476" s="402" t="s">
        <v>18</v>
      </c>
      <c r="S476" s="402"/>
      <c r="T476" s="402" t="str">
        <f>+T475</f>
        <v>엔터테인먼트</v>
      </c>
      <c r="U476" s="402" t="s">
        <v>69</v>
      </c>
      <c r="V476" s="26"/>
      <c r="W476" s="26"/>
      <c r="X476" s="26"/>
      <c r="Y476" s="26"/>
    </row>
    <row r="477" spans="1:28" hidden="1">
      <c r="A477" s="402" t="s">
        <v>521</v>
      </c>
      <c r="B477" s="53" t="s">
        <v>272</v>
      </c>
      <c r="C477" s="53" t="s">
        <v>322</v>
      </c>
      <c r="D477" s="11" t="s">
        <v>217</v>
      </c>
      <c r="E477" s="46"/>
      <c r="F477" s="11"/>
      <c r="G477" s="11"/>
      <c r="H477" s="11"/>
      <c r="I477" s="33" t="s">
        <v>32</v>
      </c>
      <c r="J477" s="41">
        <v>39079</v>
      </c>
      <c r="K477" s="32"/>
      <c r="L477" s="11"/>
      <c r="M477" s="11">
        <v>197788769</v>
      </c>
      <c r="N477" s="11">
        <v>0</v>
      </c>
      <c r="O477" s="11">
        <f t="shared" si="35"/>
        <v>197788769</v>
      </c>
      <c r="P477" s="11">
        <f>+SUM(H473:H477)-SUM(N473:N477)</f>
        <v>0</v>
      </c>
      <c r="Q477" s="11"/>
      <c r="R477" s="403" t="s">
        <v>18</v>
      </c>
      <c r="S477" s="403"/>
      <c r="T477" s="403" t="str">
        <f>+T476</f>
        <v>엔터테인먼트</v>
      </c>
      <c r="U477" s="403" t="s">
        <v>33</v>
      </c>
      <c r="V477" s="26"/>
      <c r="W477" s="26"/>
      <c r="X477" s="26"/>
      <c r="Y477" s="26"/>
    </row>
    <row r="478" spans="1:28" s="26" customFormat="1" hidden="1">
      <c r="A478" s="402" t="s">
        <v>521</v>
      </c>
      <c r="B478" s="53" t="s">
        <v>272</v>
      </c>
      <c r="C478" s="53" t="s">
        <v>317</v>
      </c>
      <c r="D478" s="14" t="s">
        <v>218</v>
      </c>
      <c r="E478" s="45">
        <v>37272</v>
      </c>
      <c r="F478" s="14"/>
      <c r="G478" s="14"/>
      <c r="H478" s="14">
        <v>659750052</v>
      </c>
      <c r="I478" s="28" t="s">
        <v>1054</v>
      </c>
      <c r="J478" s="40">
        <v>38352</v>
      </c>
      <c r="K478" s="14"/>
      <c r="L478" s="14"/>
      <c r="M478" s="14">
        <v>0</v>
      </c>
      <c r="N478" s="14">
        <v>659750052</v>
      </c>
      <c r="O478" s="14">
        <f t="shared" si="35"/>
        <v>-659750052</v>
      </c>
      <c r="P478" s="14"/>
      <c r="Q478" s="14"/>
      <c r="R478" s="402" t="s">
        <v>975</v>
      </c>
      <c r="S478" s="402"/>
      <c r="T478" s="402" t="s">
        <v>86</v>
      </c>
      <c r="U478" s="402" t="s">
        <v>96</v>
      </c>
      <c r="AB478" s="252"/>
    </row>
    <row r="479" spans="1:28" hidden="1">
      <c r="A479" s="402" t="s">
        <v>521</v>
      </c>
      <c r="B479" s="53" t="s">
        <v>272</v>
      </c>
      <c r="C479" s="53" t="s">
        <v>317</v>
      </c>
      <c r="D479" s="14" t="str">
        <f>+D478</f>
        <v>프랭크린와이어리스(악세시오)</v>
      </c>
      <c r="E479" s="45"/>
      <c r="F479" s="14"/>
      <c r="G479" s="14"/>
      <c r="H479" s="14"/>
      <c r="I479" s="28"/>
      <c r="J479" s="40">
        <v>38617</v>
      </c>
      <c r="K479" s="14">
        <v>33984445</v>
      </c>
      <c r="L479" s="14">
        <v>5</v>
      </c>
      <c r="M479" s="14">
        <v>175087628</v>
      </c>
      <c r="N479" s="14">
        <v>0</v>
      </c>
      <c r="O479" s="14">
        <f t="shared" si="35"/>
        <v>175087628</v>
      </c>
      <c r="P479" s="14"/>
      <c r="Q479" s="14"/>
      <c r="R479" s="402" t="s">
        <v>18</v>
      </c>
      <c r="S479" s="402"/>
      <c r="T479" s="402" t="s">
        <v>86</v>
      </c>
      <c r="U479" s="402" t="s">
        <v>96</v>
      </c>
      <c r="V479" s="26"/>
      <c r="W479" s="26"/>
      <c r="X479" s="26"/>
      <c r="Y479" s="26"/>
    </row>
    <row r="480" spans="1:28" s="26" customFormat="1" hidden="1">
      <c r="A480" s="402" t="s">
        <v>521</v>
      </c>
      <c r="B480" s="53" t="s">
        <v>272</v>
      </c>
      <c r="C480" s="53" t="s">
        <v>317</v>
      </c>
      <c r="D480" s="14" t="s">
        <v>218</v>
      </c>
      <c r="E480" s="45"/>
      <c r="F480" s="14"/>
      <c r="G480" s="14"/>
      <c r="H480" s="14"/>
      <c r="I480" s="28"/>
      <c r="J480" s="40">
        <v>38792</v>
      </c>
      <c r="K480" s="14">
        <v>33984445</v>
      </c>
      <c r="L480" s="14">
        <f>+M480/K480</f>
        <v>4.8764998516232945</v>
      </c>
      <c r="M480" s="14">
        <v>165725141</v>
      </c>
      <c r="N480" s="14">
        <v>0</v>
      </c>
      <c r="O480" s="14">
        <f t="shared" si="35"/>
        <v>165725141</v>
      </c>
      <c r="P480" s="11">
        <f>+SUM(H478:H480)-SUM(N478:N480)</f>
        <v>0</v>
      </c>
      <c r="Q480" s="14"/>
      <c r="R480" s="402" t="s">
        <v>949</v>
      </c>
      <c r="S480" s="402" t="s">
        <v>1045</v>
      </c>
      <c r="T480" s="402" t="s">
        <v>86</v>
      </c>
      <c r="U480" s="402" t="s">
        <v>96</v>
      </c>
      <c r="AB480" s="252"/>
    </row>
    <row r="481" spans="1:28" s="26" customFormat="1" hidden="1">
      <c r="A481" s="402" t="s">
        <v>521</v>
      </c>
      <c r="B481" s="53" t="s">
        <v>272</v>
      </c>
      <c r="C481" s="53" t="s">
        <v>278</v>
      </c>
      <c r="D481" s="20" t="s">
        <v>158</v>
      </c>
      <c r="E481" s="44">
        <v>37698</v>
      </c>
      <c r="F481" s="20">
        <v>48491</v>
      </c>
      <c r="G481" s="20">
        <v>33532</v>
      </c>
      <c r="H481" s="20">
        <v>1626000900</v>
      </c>
      <c r="I481" s="22" t="s">
        <v>963</v>
      </c>
      <c r="J481" s="38">
        <v>38000</v>
      </c>
      <c r="K481" s="20">
        <v>91716</v>
      </c>
      <c r="L481" s="20">
        <v>23372</v>
      </c>
      <c r="M481" s="20">
        <f>+N481+263689836</f>
        <v>2143586352</v>
      </c>
      <c r="N481" s="20">
        <v>1879896516</v>
      </c>
      <c r="O481" s="20">
        <f t="shared" si="35"/>
        <v>263689836</v>
      </c>
      <c r="P481" s="20"/>
      <c r="Q481" s="20"/>
      <c r="R481" s="401" t="s">
        <v>949</v>
      </c>
      <c r="S481" s="401" t="s">
        <v>1011</v>
      </c>
      <c r="T481" s="401" t="s">
        <v>61</v>
      </c>
      <c r="U481" s="401" t="s">
        <v>83</v>
      </c>
      <c r="AB481" s="252"/>
    </row>
    <row r="482" spans="1:28" hidden="1">
      <c r="A482" s="402" t="s">
        <v>521</v>
      </c>
      <c r="B482" s="53" t="s">
        <v>272</v>
      </c>
      <c r="C482" s="53" t="s">
        <v>278</v>
      </c>
      <c r="D482" s="14" t="s">
        <v>158</v>
      </c>
      <c r="E482" s="45">
        <v>37721</v>
      </c>
      <c r="F482" s="14">
        <v>776</v>
      </c>
      <c r="G482" s="14">
        <v>29772</v>
      </c>
      <c r="H482" s="14">
        <v>23103072</v>
      </c>
      <c r="I482" s="28" t="s">
        <v>963</v>
      </c>
      <c r="J482" s="40"/>
      <c r="K482" s="14"/>
      <c r="L482" s="14"/>
      <c r="M482" s="14"/>
      <c r="N482" s="14"/>
      <c r="O482" s="14">
        <f t="shared" si="35"/>
        <v>0</v>
      </c>
      <c r="P482" s="14"/>
      <c r="Q482" s="14"/>
      <c r="R482" s="402"/>
      <c r="S482" s="402"/>
      <c r="T482" s="402" t="s">
        <v>61</v>
      </c>
      <c r="U482" s="402" t="s">
        <v>17</v>
      </c>
      <c r="V482" s="26"/>
      <c r="W482" s="26"/>
      <c r="X482" s="26"/>
      <c r="Y482" s="26"/>
    </row>
    <row r="483" spans="1:28" s="26" customFormat="1" hidden="1">
      <c r="A483" s="402" t="s">
        <v>521</v>
      </c>
      <c r="B483" s="53" t="s">
        <v>272</v>
      </c>
      <c r="C483" s="53" t="s">
        <v>278</v>
      </c>
      <c r="D483" s="14" t="s">
        <v>219</v>
      </c>
      <c r="E483" s="45">
        <v>37721</v>
      </c>
      <c r="F483" s="14">
        <v>120</v>
      </c>
      <c r="G483" s="14">
        <v>29772</v>
      </c>
      <c r="H483" s="14">
        <v>3572640</v>
      </c>
      <c r="I483" s="28" t="s">
        <v>963</v>
      </c>
      <c r="J483" s="40"/>
      <c r="K483" s="14"/>
      <c r="L483" s="14"/>
      <c r="M483" s="14"/>
      <c r="N483" s="14"/>
      <c r="O483" s="14">
        <f t="shared" si="35"/>
        <v>0</v>
      </c>
      <c r="P483" s="14"/>
      <c r="Q483" s="14"/>
      <c r="R483" s="402"/>
      <c r="S483" s="402"/>
      <c r="T483" s="402" t="s">
        <v>46</v>
      </c>
      <c r="U483" s="402" t="s">
        <v>17</v>
      </c>
      <c r="AB483" s="252"/>
    </row>
    <row r="484" spans="1:28" s="26" customFormat="1" hidden="1">
      <c r="A484" s="402" t="s">
        <v>521</v>
      </c>
      <c r="B484" s="53" t="s">
        <v>272</v>
      </c>
      <c r="C484" s="53" t="s">
        <v>278</v>
      </c>
      <c r="D484" s="14" t="s">
        <v>219</v>
      </c>
      <c r="E484" s="45">
        <v>37721</v>
      </c>
      <c r="F484" s="14">
        <v>120</v>
      </c>
      <c r="G484" s="14">
        <v>29772</v>
      </c>
      <c r="H484" s="14">
        <v>3572640</v>
      </c>
      <c r="I484" s="28" t="s">
        <v>963</v>
      </c>
      <c r="J484" s="40"/>
      <c r="K484" s="14"/>
      <c r="L484" s="14"/>
      <c r="M484" s="14"/>
      <c r="N484" s="14"/>
      <c r="O484" s="14">
        <f t="shared" si="35"/>
        <v>0</v>
      </c>
      <c r="P484" s="14"/>
      <c r="Q484" s="14"/>
      <c r="R484" s="402"/>
      <c r="S484" s="402"/>
      <c r="T484" s="402" t="s">
        <v>46</v>
      </c>
      <c r="U484" s="402" t="s">
        <v>17</v>
      </c>
      <c r="AB484" s="252"/>
    </row>
    <row r="485" spans="1:28" s="26" customFormat="1" hidden="1">
      <c r="A485" s="402" t="s">
        <v>521</v>
      </c>
      <c r="B485" s="53" t="s">
        <v>272</v>
      </c>
      <c r="C485" s="53" t="s">
        <v>278</v>
      </c>
      <c r="D485" s="14" t="s">
        <v>219</v>
      </c>
      <c r="E485" s="45">
        <v>37721</v>
      </c>
      <c r="F485" s="14">
        <v>538</v>
      </c>
      <c r="G485" s="14">
        <v>29772</v>
      </c>
      <c r="H485" s="14">
        <v>16017336</v>
      </c>
      <c r="I485" s="28" t="s">
        <v>963</v>
      </c>
      <c r="J485" s="40"/>
      <c r="K485" s="14"/>
      <c r="L485" s="14"/>
      <c r="M485" s="14"/>
      <c r="N485" s="14"/>
      <c r="O485" s="14">
        <f t="shared" si="35"/>
        <v>0</v>
      </c>
      <c r="P485" s="14"/>
      <c r="Q485" s="14"/>
      <c r="R485" s="402"/>
      <c r="S485" s="402"/>
      <c r="T485" s="402" t="s">
        <v>46</v>
      </c>
      <c r="U485" s="402" t="s">
        <v>17</v>
      </c>
      <c r="AB485" s="252"/>
    </row>
    <row r="486" spans="1:28" s="26" customFormat="1" hidden="1">
      <c r="A486" s="402" t="s">
        <v>521</v>
      </c>
      <c r="B486" s="53" t="s">
        <v>272</v>
      </c>
      <c r="C486" s="53" t="s">
        <v>278</v>
      </c>
      <c r="D486" s="14" t="s">
        <v>219</v>
      </c>
      <c r="E486" s="45">
        <v>37721</v>
      </c>
      <c r="F486" s="14">
        <v>238</v>
      </c>
      <c r="G486" s="14">
        <v>29772</v>
      </c>
      <c r="H486" s="14">
        <v>7085736</v>
      </c>
      <c r="I486" s="28" t="s">
        <v>963</v>
      </c>
      <c r="J486" s="40"/>
      <c r="K486" s="14"/>
      <c r="L486" s="14"/>
      <c r="M486" s="14"/>
      <c r="N486" s="14"/>
      <c r="O486" s="14">
        <f t="shared" si="35"/>
        <v>0</v>
      </c>
      <c r="P486" s="14"/>
      <c r="Q486" s="14"/>
      <c r="R486" s="402"/>
      <c r="S486" s="402"/>
      <c r="T486" s="402" t="s">
        <v>46</v>
      </c>
      <c r="U486" s="402" t="s">
        <v>17</v>
      </c>
      <c r="AB486" s="252"/>
    </row>
    <row r="487" spans="1:28" s="26" customFormat="1" hidden="1">
      <c r="A487" s="402" t="s">
        <v>521</v>
      </c>
      <c r="B487" s="53" t="s">
        <v>272</v>
      </c>
      <c r="C487" s="53" t="s">
        <v>278</v>
      </c>
      <c r="D487" s="14" t="s">
        <v>219</v>
      </c>
      <c r="E487" s="45">
        <v>37721</v>
      </c>
      <c r="F487" s="14">
        <v>1368</v>
      </c>
      <c r="G487" s="14">
        <v>29772</v>
      </c>
      <c r="H487" s="14">
        <v>40728096</v>
      </c>
      <c r="I487" s="28" t="s">
        <v>963</v>
      </c>
      <c r="J487" s="40"/>
      <c r="K487" s="14"/>
      <c r="L487" s="14"/>
      <c r="M487" s="14"/>
      <c r="N487" s="14"/>
      <c r="O487" s="14">
        <f t="shared" si="35"/>
        <v>0</v>
      </c>
      <c r="P487" s="14"/>
      <c r="Q487" s="14"/>
      <c r="R487" s="402"/>
      <c r="S487" s="402"/>
      <c r="T487" s="402" t="s">
        <v>46</v>
      </c>
      <c r="U487" s="402" t="s">
        <v>17</v>
      </c>
      <c r="AB487" s="252"/>
    </row>
    <row r="488" spans="1:28" s="26" customFormat="1" hidden="1">
      <c r="A488" s="402" t="s">
        <v>521</v>
      </c>
      <c r="B488" s="53" t="s">
        <v>272</v>
      </c>
      <c r="C488" s="53" t="s">
        <v>278</v>
      </c>
      <c r="D488" s="14" t="s">
        <v>219</v>
      </c>
      <c r="E488" s="45">
        <v>37721</v>
      </c>
      <c r="F488" s="14">
        <v>209</v>
      </c>
      <c r="G488" s="14">
        <v>29772</v>
      </c>
      <c r="H488" s="14">
        <v>6222348</v>
      </c>
      <c r="I488" s="28" t="s">
        <v>963</v>
      </c>
      <c r="J488" s="40"/>
      <c r="K488" s="14"/>
      <c r="L488" s="14"/>
      <c r="M488" s="14"/>
      <c r="N488" s="14"/>
      <c r="O488" s="14">
        <f t="shared" si="35"/>
        <v>0</v>
      </c>
      <c r="P488" s="14"/>
      <c r="Q488" s="14"/>
      <c r="R488" s="402"/>
      <c r="S488" s="402"/>
      <c r="T488" s="402" t="s">
        <v>46</v>
      </c>
      <c r="U488" s="402" t="s">
        <v>17</v>
      </c>
      <c r="AB488" s="252"/>
    </row>
    <row r="489" spans="1:28" s="26" customFormat="1" hidden="1">
      <c r="A489" s="402" t="s">
        <v>521</v>
      </c>
      <c r="B489" s="53" t="s">
        <v>272</v>
      </c>
      <c r="C489" s="53" t="s">
        <v>278</v>
      </c>
      <c r="D489" s="14" t="s">
        <v>219</v>
      </c>
      <c r="E489" s="45">
        <v>37721</v>
      </c>
      <c r="F489" s="14">
        <v>418</v>
      </c>
      <c r="G489" s="14">
        <v>29772</v>
      </c>
      <c r="H489" s="14">
        <v>12444696</v>
      </c>
      <c r="I489" s="28" t="s">
        <v>963</v>
      </c>
      <c r="J489" s="40"/>
      <c r="K489" s="14"/>
      <c r="L489" s="14"/>
      <c r="M489" s="14"/>
      <c r="N489" s="14"/>
      <c r="O489" s="14">
        <f t="shared" si="35"/>
        <v>0</v>
      </c>
      <c r="P489" s="14"/>
      <c r="Q489" s="14"/>
      <c r="R489" s="402"/>
      <c r="S489" s="402"/>
      <c r="T489" s="402" t="s">
        <v>46</v>
      </c>
      <c r="U489" s="402" t="s">
        <v>17</v>
      </c>
      <c r="AB489" s="252"/>
    </row>
    <row r="490" spans="1:28" hidden="1">
      <c r="A490" s="402" t="s">
        <v>521</v>
      </c>
      <c r="B490" s="53" t="s">
        <v>272</v>
      </c>
      <c r="C490" s="53" t="s">
        <v>278</v>
      </c>
      <c r="D490" s="11" t="s">
        <v>219</v>
      </c>
      <c r="E490" s="46">
        <v>37727</v>
      </c>
      <c r="F490" s="11">
        <v>4741</v>
      </c>
      <c r="G490" s="11">
        <v>29772</v>
      </c>
      <c r="H490" s="11">
        <v>141149052</v>
      </c>
      <c r="I490" s="33" t="s">
        <v>963</v>
      </c>
      <c r="J490" s="41"/>
      <c r="K490" s="11"/>
      <c r="L490" s="11"/>
      <c r="M490" s="11"/>
      <c r="N490" s="11"/>
      <c r="O490" s="11">
        <f t="shared" si="35"/>
        <v>0</v>
      </c>
      <c r="P490" s="11">
        <f>+SUM(H481:H490)-SUM(N481:N490)</f>
        <v>0</v>
      </c>
      <c r="Q490" s="11"/>
      <c r="R490" s="403"/>
      <c r="S490" s="403"/>
      <c r="T490" s="403" t="s">
        <v>46</v>
      </c>
      <c r="U490" s="403" t="s">
        <v>17</v>
      </c>
      <c r="V490" s="26"/>
      <c r="W490" s="26"/>
      <c r="X490" s="26"/>
      <c r="Y490" s="26"/>
    </row>
    <row r="491" spans="1:28" s="26" customFormat="1" hidden="1">
      <c r="A491" s="402" t="s">
        <v>521</v>
      </c>
      <c r="B491" s="53" t="s">
        <v>272</v>
      </c>
      <c r="C491" s="53" t="s">
        <v>279</v>
      </c>
      <c r="D491" s="20" t="s">
        <v>220</v>
      </c>
      <c r="E491" s="44">
        <v>37350</v>
      </c>
      <c r="F491" s="20">
        <v>600000</v>
      </c>
      <c r="G491" s="20">
        <v>500</v>
      </c>
      <c r="H491" s="20">
        <v>300000000</v>
      </c>
      <c r="I491" s="22" t="s">
        <v>221</v>
      </c>
      <c r="J491" s="38">
        <v>37594</v>
      </c>
      <c r="K491" s="20"/>
      <c r="L491" s="20"/>
      <c r="M491" s="20">
        <v>18000000</v>
      </c>
      <c r="N491" s="20">
        <v>0</v>
      </c>
      <c r="O491" s="20">
        <f>+M491-N491</f>
        <v>18000000</v>
      </c>
      <c r="P491" s="20"/>
      <c r="Q491" s="20"/>
      <c r="R491" s="401" t="s">
        <v>977</v>
      </c>
      <c r="S491" s="401"/>
      <c r="T491" s="401" t="s">
        <v>222</v>
      </c>
      <c r="U491" s="401" t="s">
        <v>223</v>
      </c>
      <c r="AB491" s="252"/>
    </row>
    <row r="492" spans="1:28" s="26" customFormat="1" hidden="1">
      <c r="A492" s="402" t="s">
        <v>521</v>
      </c>
      <c r="B492" s="53" t="s">
        <v>272</v>
      </c>
      <c r="C492" s="53" t="s">
        <v>279</v>
      </c>
      <c r="D492" s="14" t="s">
        <v>220</v>
      </c>
      <c r="E492" s="45"/>
      <c r="F492" s="14"/>
      <c r="G492" s="14"/>
      <c r="H492" s="14"/>
      <c r="I492" s="28"/>
      <c r="J492" s="29">
        <v>37624</v>
      </c>
      <c r="K492" s="14"/>
      <c r="L492" s="14"/>
      <c r="M492" s="14">
        <v>3000000</v>
      </c>
      <c r="N492" s="14">
        <v>0</v>
      </c>
      <c r="O492" s="14">
        <f>+M492-N492</f>
        <v>3000000</v>
      </c>
      <c r="P492" s="14"/>
      <c r="Q492" s="14"/>
      <c r="R492" s="402" t="s">
        <v>976</v>
      </c>
      <c r="S492" s="402"/>
      <c r="T492" s="407" t="s">
        <v>12</v>
      </c>
      <c r="U492" s="407" t="s">
        <v>96</v>
      </c>
      <c r="AB492" s="252"/>
    </row>
    <row r="493" spans="1:28" s="26" customFormat="1" hidden="1">
      <c r="A493" s="402" t="s">
        <v>521</v>
      </c>
      <c r="B493" s="53" t="s">
        <v>272</v>
      </c>
      <c r="C493" s="53" t="s">
        <v>279</v>
      </c>
      <c r="D493" s="14" t="s">
        <v>220</v>
      </c>
      <c r="E493" s="45"/>
      <c r="F493" s="14"/>
      <c r="G493" s="14"/>
      <c r="H493" s="14"/>
      <c r="I493" s="28"/>
      <c r="J493" s="29">
        <v>37658</v>
      </c>
      <c r="K493" s="14"/>
      <c r="L493" s="14"/>
      <c r="M493" s="14">
        <v>233000000</v>
      </c>
      <c r="N493" s="14">
        <v>230000000</v>
      </c>
      <c r="O493" s="14">
        <f>+M493-N493</f>
        <v>3000000</v>
      </c>
      <c r="P493" s="14"/>
      <c r="Q493" s="14"/>
      <c r="R493" s="402" t="s">
        <v>978</v>
      </c>
      <c r="S493" s="402"/>
      <c r="T493" s="407" t="s">
        <v>12</v>
      </c>
      <c r="U493" s="407" t="s">
        <v>96</v>
      </c>
      <c r="AB493" s="252"/>
    </row>
    <row r="494" spans="1:28" s="26" customFormat="1" hidden="1">
      <c r="A494" s="402" t="s">
        <v>521</v>
      </c>
      <c r="B494" s="53" t="s">
        <v>272</v>
      </c>
      <c r="C494" s="53" t="s">
        <v>279</v>
      </c>
      <c r="D494" s="14" t="s">
        <v>220</v>
      </c>
      <c r="E494" s="45"/>
      <c r="F494" s="14"/>
      <c r="G494" s="14"/>
      <c r="H494" s="14"/>
      <c r="I494" s="28"/>
      <c r="J494" s="40">
        <v>37963</v>
      </c>
      <c r="K494" s="14"/>
      <c r="L494" s="14"/>
      <c r="M494" s="14">
        <v>7000000</v>
      </c>
      <c r="N494" s="14">
        <v>0</v>
      </c>
      <c r="O494" s="14">
        <f>+M494-N494</f>
        <v>7000000</v>
      </c>
      <c r="P494" s="14"/>
      <c r="Q494" s="14"/>
      <c r="R494" s="402" t="s">
        <v>976</v>
      </c>
      <c r="S494" s="402"/>
      <c r="T494" s="407" t="s">
        <v>12</v>
      </c>
      <c r="U494" s="407" t="s">
        <v>96</v>
      </c>
      <c r="AB494" s="252"/>
    </row>
    <row r="495" spans="1:28" s="26" customFormat="1" hidden="1">
      <c r="A495" s="402" t="s">
        <v>521</v>
      </c>
      <c r="B495" s="53" t="s">
        <v>272</v>
      </c>
      <c r="C495" s="53" t="s">
        <v>279</v>
      </c>
      <c r="D495" s="14" t="s">
        <v>220</v>
      </c>
      <c r="E495" s="45"/>
      <c r="F495" s="14"/>
      <c r="G495" s="14"/>
      <c r="H495" s="14"/>
      <c r="I495" s="28"/>
      <c r="J495" s="40">
        <v>38236</v>
      </c>
      <c r="K495" s="14"/>
      <c r="L495" s="14"/>
      <c r="M495" s="14">
        <v>6300000</v>
      </c>
      <c r="N495" s="14"/>
      <c r="O495" s="14">
        <f>+M495-N495</f>
        <v>6300000</v>
      </c>
      <c r="P495" s="14"/>
      <c r="Q495" s="14"/>
      <c r="R495" s="402" t="s">
        <v>976</v>
      </c>
      <c r="S495" s="402"/>
      <c r="T495" s="407" t="s">
        <v>12</v>
      </c>
      <c r="U495" s="407" t="s">
        <v>96</v>
      </c>
      <c r="AB495" s="252"/>
    </row>
    <row r="496" spans="1:28" s="26" customFormat="1" hidden="1">
      <c r="A496" s="402" t="s">
        <v>521</v>
      </c>
      <c r="B496" s="53" t="s">
        <v>272</v>
      </c>
      <c r="C496" s="53" t="s">
        <v>279</v>
      </c>
      <c r="D496" s="14" t="s">
        <v>220</v>
      </c>
      <c r="E496" s="45"/>
      <c r="F496" s="14"/>
      <c r="G496" s="14"/>
      <c r="H496" s="14"/>
      <c r="I496" s="28"/>
      <c r="J496" s="40">
        <v>38520</v>
      </c>
      <c r="K496" s="14"/>
      <c r="L496" s="14"/>
      <c r="M496" s="14">
        <v>15000000</v>
      </c>
      <c r="N496" s="14">
        <v>0</v>
      </c>
      <c r="O496" s="14">
        <f t="shared" si="35"/>
        <v>15000000</v>
      </c>
      <c r="P496" s="14"/>
      <c r="Q496" s="14"/>
      <c r="R496" s="402" t="s">
        <v>978</v>
      </c>
      <c r="S496" s="402"/>
      <c r="T496" s="407" t="s">
        <v>12</v>
      </c>
      <c r="U496" s="407" t="s">
        <v>96</v>
      </c>
      <c r="AB496" s="252"/>
    </row>
    <row r="497" spans="1:28" s="26" customFormat="1" hidden="1">
      <c r="A497" s="402" t="s">
        <v>521</v>
      </c>
      <c r="B497" s="53" t="s">
        <v>272</v>
      </c>
      <c r="C497" s="53" t="s">
        <v>279</v>
      </c>
      <c r="D497" s="14" t="s">
        <v>220</v>
      </c>
      <c r="E497" s="45"/>
      <c r="F497" s="14"/>
      <c r="G497" s="14"/>
      <c r="H497" s="14"/>
      <c r="I497" s="28"/>
      <c r="J497" s="40">
        <v>38589</v>
      </c>
      <c r="K497" s="14"/>
      <c r="L497" s="14"/>
      <c r="M497" s="14">
        <v>4000000</v>
      </c>
      <c r="N497" s="14">
        <v>0</v>
      </c>
      <c r="O497" s="14">
        <f t="shared" si="35"/>
        <v>4000000</v>
      </c>
      <c r="P497" s="14"/>
      <c r="Q497" s="14"/>
      <c r="R497" s="402" t="s">
        <v>972</v>
      </c>
      <c r="S497" s="402" t="s">
        <v>1041</v>
      </c>
      <c r="T497" s="402" t="s">
        <v>222</v>
      </c>
      <c r="U497" s="402" t="s">
        <v>223</v>
      </c>
      <c r="AB497" s="252"/>
    </row>
    <row r="498" spans="1:28" s="26" customFormat="1" hidden="1">
      <c r="A498" s="402" t="s">
        <v>521</v>
      </c>
      <c r="B498" s="53" t="s">
        <v>272</v>
      </c>
      <c r="C498" s="53" t="s">
        <v>279</v>
      </c>
      <c r="D498" s="11" t="s">
        <v>220</v>
      </c>
      <c r="E498" s="46"/>
      <c r="F498" s="11"/>
      <c r="G498" s="11"/>
      <c r="H498" s="11"/>
      <c r="I498" s="33"/>
      <c r="J498" s="41">
        <v>38877</v>
      </c>
      <c r="K498" s="11"/>
      <c r="L498" s="11"/>
      <c r="M498" s="11">
        <v>20000000</v>
      </c>
      <c r="N498" s="11">
        <v>70000000</v>
      </c>
      <c r="O498" s="11">
        <f t="shared" si="35"/>
        <v>-50000000</v>
      </c>
      <c r="P498" s="11">
        <f>+SUM(H491:H498)-SUM(N491:N498)</f>
        <v>0</v>
      </c>
      <c r="Q498" s="11"/>
      <c r="R498" s="403" t="s">
        <v>972</v>
      </c>
      <c r="S498" s="403" t="s">
        <v>1043</v>
      </c>
      <c r="T498" s="403" t="s">
        <v>12</v>
      </c>
      <c r="U498" s="403" t="s">
        <v>96</v>
      </c>
      <c r="AB498" s="252"/>
    </row>
    <row r="499" spans="1:28" s="26" customFormat="1" hidden="1">
      <c r="A499" s="402" t="s">
        <v>521</v>
      </c>
      <c r="B499" s="53" t="s">
        <v>272</v>
      </c>
      <c r="C499" s="53" t="s">
        <v>278</v>
      </c>
      <c r="D499" s="15" t="s">
        <v>224</v>
      </c>
      <c r="E499" s="42">
        <v>37295</v>
      </c>
      <c r="F499" s="15">
        <v>20000</v>
      </c>
      <c r="G499" s="15">
        <v>15000</v>
      </c>
      <c r="H499" s="15">
        <v>300000000</v>
      </c>
      <c r="I499" s="17" t="s">
        <v>963</v>
      </c>
      <c r="J499" s="43">
        <v>37734</v>
      </c>
      <c r="K499" s="15">
        <v>20000</v>
      </c>
      <c r="L499" s="15">
        <f>+M499/K499</f>
        <v>16443.287649999998</v>
      </c>
      <c r="M499" s="15">
        <f>300000000+28865753</f>
        <v>328865753</v>
      </c>
      <c r="N499" s="15">
        <v>300000000</v>
      </c>
      <c r="O499" s="15">
        <f t="shared" si="35"/>
        <v>28865753</v>
      </c>
      <c r="P499" s="15">
        <f>+H499-N499</f>
        <v>0</v>
      </c>
      <c r="Q499" s="15"/>
      <c r="R499" s="405" t="s">
        <v>972</v>
      </c>
      <c r="S499" s="405"/>
      <c r="T499" s="405" t="s">
        <v>222</v>
      </c>
      <c r="U499" s="405" t="s">
        <v>96</v>
      </c>
      <c r="V499" s="4"/>
      <c r="W499" s="4"/>
      <c r="X499" s="4"/>
      <c r="Y499" s="4"/>
      <c r="AB499" s="252"/>
    </row>
    <row r="500" spans="1:28" s="26" customFormat="1" hidden="1">
      <c r="A500" s="402" t="s">
        <v>893</v>
      </c>
      <c r="B500" s="53" t="s">
        <v>272</v>
      </c>
      <c r="C500" s="53" t="s">
        <v>894</v>
      </c>
      <c r="D500" s="20" t="s">
        <v>895</v>
      </c>
      <c r="E500" s="44">
        <v>37761</v>
      </c>
      <c r="F500" s="20"/>
      <c r="G500" s="20"/>
      <c r="H500" s="20">
        <v>900000000</v>
      </c>
      <c r="I500" s="22" t="s">
        <v>896</v>
      </c>
      <c r="J500" s="38">
        <v>38230</v>
      </c>
      <c r="K500" s="20"/>
      <c r="L500" s="20"/>
      <c r="M500" s="20">
        <v>450000000</v>
      </c>
      <c r="N500" s="20">
        <f>+M500</f>
        <v>450000000</v>
      </c>
      <c r="O500" s="20">
        <f>+M500-N500</f>
        <v>0</v>
      </c>
      <c r="P500" s="20"/>
      <c r="Q500" s="20"/>
      <c r="R500" s="401" t="s">
        <v>990</v>
      </c>
      <c r="S500" s="401"/>
      <c r="T500" s="401" t="s">
        <v>849</v>
      </c>
      <c r="U500" s="401" t="s">
        <v>854</v>
      </c>
      <c r="AB500" s="252"/>
    </row>
    <row r="501" spans="1:28" s="26" customFormat="1" hidden="1">
      <c r="A501" s="402" t="s">
        <v>893</v>
      </c>
      <c r="B501" s="53" t="s">
        <v>272</v>
      </c>
      <c r="C501" s="53" t="s">
        <v>894</v>
      </c>
      <c r="D501" s="14" t="s">
        <v>895</v>
      </c>
      <c r="E501" s="45"/>
      <c r="F501" s="14"/>
      <c r="G501" s="14"/>
      <c r="H501" s="14"/>
      <c r="I501" s="28"/>
      <c r="J501" s="40">
        <v>38231</v>
      </c>
      <c r="K501" s="14"/>
      <c r="L501" s="14"/>
      <c r="M501" s="14">
        <v>450000000</v>
      </c>
      <c r="N501" s="14">
        <v>450000000</v>
      </c>
      <c r="O501" s="14">
        <f>+M501-N501</f>
        <v>0</v>
      </c>
      <c r="P501" s="14"/>
      <c r="Q501" s="14"/>
      <c r="R501" s="402" t="s">
        <v>991</v>
      </c>
      <c r="S501" s="402"/>
      <c r="T501" s="407" t="s">
        <v>12</v>
      </c>
      <c r="U501" s="407" t="s">
        <v>30</v>
      </c>
      <c r="AB501" s="252"/>
    </row>
    <row r="502" spans="1:28" s="26" customFormat="1" hidden="1">
      <c r="A502" s="402" t="s">
        <v>893</v>
      </c>
      <c r="B502" s="53" t="s">
        <v>272</v>
      </c>
      <c r="C502" s="53" t="s">
        <v>850</v>
      </c>
      <c r="D502" s="11" t="s">
        <v>895</v>
      </c>
      <c r="E502" s="46">
        <v>37984</v>
      </c>
      <c r="F502" s="11">
        <v>914</v>
      </c>
      <c r="G502" s="11">
        <v>5000</v>
      </c>
      <c r="H502" s="11">
        <v>4570000</v>
      </c>
      <c r="I502" s="33" t="s">
        <v>844</v>
      </c>
      <c r="J502" s="41">
        <v>38202</v>
      </c>
      <c r="K502" s="11">
        <v>914</v>
      </c>
      <c r="L502" s="11">
        <v>61538</v>
      </c>
      <c r="M502" s="11">
        <f>+N502+51675732</f>
        <v>56245732</v>
      </c>
      <c r="N502" s="11">
        <v>4570000</v>
      </c>
      <c r="O502" s="11">
        <f t="shared" si="35"/>
        <v>51675732</v>
      </c>
      <c r="P502" s="11">
        <f>+SUM(H500:H502)-SUM(N500:N502)</f>
        <v>0</v>
      </c>
      <c r="Q502" s="11"/>
      <c r="R502" s="403" t="s">
        <v>987</v>
      </c>
      <c r="S502" s="403" t="s">
        <v>988</v>
      </c>
      <c r="T502" s="403" t="s">
        <v>849</v>
      </c>
      <c r="U502" s="403" t="s">
        <v>854</v>
      </c>
      <c r="AB502" s="252"/>
    </row>
    <row r="503" spans="1:28" hidden="1">
      <c r="A503" s="402" t="s">
        <v>521</v>
      </c>
      <c r="B503" s="53" t="s">
        <v>272</v>
      </c>
      <c r="C503" s="53" t="s">
        <v>320</v>
      </c>
      <c r="D503" s="20" t="s">
        <v>227</v>
      </c>
      <c r="E503" s="44">
        <v>37517</v>
      </c>
      <c r="F503" s="20">
        <v>15384</v>
      </c>
      <c r="G503" s="20">
        <v>32500</v>
      </c>
      <c r="H503" s="20">
        <v>499980000</v>
      </c>
      <c r="I503" s="22" t="s">
        <v>997</v>
      </c>
      <c r="J503" s="38">
        <v>38352</v>
      </c>
      <c r="K503" s="20"/>
      <c r="L503" s="20"/>
      <c r="M503" s="20">
        <v>0</v>
      </c>
      <c r="N503" s="20">
        <v>499980000</v>
      </c>
      <c r="O503" s="20">
        <f t="shared" si="35"/>
        <v>-499980000</v>
      </c>
      <c r="P503" s="20"/>
      <c r="Q503" s="20"/>
      <c r="R503" s="401" t="s">
        <v>45</v>
      </c>
      <c r="S503" s="401"/>
      <c r="T503" s="401" t="s">
        <v>46</v>
      </c>
      <c r="U503" s="401" t="s">
        <v>223</v>
      </c>
    </row>
    <row r="504" spans="1:28" hidden="1">
      <c r="A504" s="402" t="s">
        <v>521</v>
      </c>
      <c r="B504" s="53" t="s">
        <v>272</v>
      </c>
      <c r="C504" s="53" t="s">
        <v>317</v>
      </c>
      <c r="D504" s="11" t="s">
        <v>36</v>
      </c>
      <c r="E504" s="46"/>
      <c r="F504" s="11"/>
      <c r="G504" s="11"/>
      <c r="H504" s="11"/>
      <c r="I504" s="33"/>
      <c r="J504" s="41">
        <v>39064</v>
      </c>
      <c r="K504" s="11">
        <v>32500</v>
      </c>
      <c r="L504" s="11">
        <f>+M504/K504</f>
        <v>461.53846153846155</v>
      </c>
      <c r="M504" s="11">
        <v>15000000</v>
      </c>
      <c r="N504" s="11">
        <v>0</v>
      </c>
      <c r="O504" s="11">
        <f t="shared" ref="O504:O535" si="37">+M504-N504</f>
        <v>15000000</v>
      </c>
      <c r="P504" s="11">
        <f>+SUM(H503:H504)-SUM(N503:N504)</f>
        <v>0</v>
      </c>
      <c r="Q504" s="11"/>
      <c r="R504" s="403" t="s">
        <v>972</v>
      </c>
      <c r="S504" s="403" t="s">
        <v>1050</v>
      </c>
      <c r="T504" s="403" t="s">
        <v>9</v>
      </c>
      <c r="U504" s="403" t="s">
        <v>96</v>
      </c>
    </row>
    <row r="505" spans="1:28" s="26" customFormat="1" hidden="1">
      <c r="A505" s="402" t="s">
        <v>521</v>
      </c>
      <c r="B505" s="53" t="s">
        <v>272</v>
      </c>
      <c r="C505" s="53" t="s">
        <v>278</v>
      </c>
      <c r="D505" s="20" t="s">
        <v>228</v>
      </c>
      <c r="E505" s="44">
        <v>37914</v>
      </c>
      <c r="F505" s="20">
        <v>20000</v>
      </c>
      <c r="G505" s="20">
        <v>56000</v>
      </c>
      <c r="H505" s="20">
        <f>+F505*G505</f>
        <v>1120000000</v>
      </c>
      <c r="I505" s="22" t="s">
        <v>1055</v>
      </c>
      <c r="J505" s="41">
        <v>38734</v>
      </c>
      <c r="K505" s="11">
        <v>200000</v>
      </c>
      <c r="L505" s="11">
        <v>3456.3738499999999</v>
      </c>
      <c r="M505" s="11">
        <v>688647927</v>
      </c>
      <c r="N505" s="11">
        <v>1120000000</v>
      </c>
      <c r="O505" s="11">
        <f t="shared" si="37"/>
        <v>-431352073</v>
      </c>
      <c r="P505" s="11">
        <f>+H505-N505</f>
        <v>0</v>
      </c>
      <c r="Q505" s="11"/>
      <c r="R505" s="403" t="s">
        <v>996</v>
      </c>
      <c r="S505" s="403"/>
      <c r="T505" s="405" t="s">
        <v>46</v>
      </c>
      <c r="U505" s="405" t="s">
        <v>229</v>
      </c>
      <c r="V505" s="4"/>
      <c r="W505" s="4"/>
      <c r="X505" s="4"/>
      <c r="Y505" s="4"/>
      <c r="AB505" s="252"/>
    </row>
    <row r="506" spans="1:28" s="26" customFormat="1" hidden="1">
      <c r="A506" s="402" t="s">
        <v>521</v>
      </c>
      <c r="B506" s="53" t="s">
        <v>272</v>
      </c>
      <c r="C506" s="53" t="s">
        <v>317</v>
      </c>
      <c r="D506" s="20" t="s">
        <v>230</v>
      </c>
      <c r="E506" s="44">
        <v>37861</v>
      </c>
      <c r="F506" s="20">
        <v>500000</v>
      </c>
      <c r="G506" s="20">
        <v>2000</v>
      </c>
      <c r="H506" s="20">
        <f>+F506*G506</f>
        <v>1000000000</v>
      </c>
      <c r="I506" s="22" t="s">
        <v>969</v>
      </c>
      <c r="J506" s="38">
        <v>37894</v>
      </c>
      <c r="K506" s="20">
        <v>250000</v>
      </c>
      <c r="L506" s="20">
        <v>2000</v>
      </c>
      <c r="M506" s="20">
        <f>+K506*L506</f>
        <v>500000000</v>
      </c>
      <c r="N506" s="20">
        <f>+M506</f>
        <v>500000000</v>
      </c>
      <c r="O506" s="20">
        <f t="shared" si="37"/>
        <v>0</v>
      </c>
      <c r="P506" s="20"/>
      <c r="Q506" s="20"/>
      <c r="R506" s="401" t="s">
        <v>972</v>
      </c>
      <c r="S506" s="401" t="s">
        <v>1034</v>
      </c>
      <c r="T506" s="401" t="s">
        <v>46</v>
      </c>
      <c r="U506" s="401" t="s">
        <v>231</v>
      </c>
      <c r="AB506" s="252"/>
    </row>
    <row r="507" spans="1:28" hidden="1">
      <c r="A507" s="402" t="s">
        <v>521</v>
      </c>
      <c r="B507" s="53" t="s">
        <v>272</v>
      </c>
      <c r="C507" s="53" t="s">
        <v>317</v>
      </c>
      <c r="D507" s="11" t="s">
        <v>230</v>
      </c>
      <c r="E507" s="46"/>
      <c r="F507" s="11"/>
      <c r="G507" s="11"/>
      <c r="H507" s="11"/>
      <c r="I507" s="33"/>
      <c r="J507" s="41">
        <v>37901</v>
      </c>
      <c r="K507" s="11">
        <v>250000</v>
      </c>
      <c r="L507" s="11">
        <v>2000</v>
      </c>
      <c r="M507" s="11">
        <f>+K507*L507</f>
        <v>500000000</v>
      </c>
      <c r="N507" s="11">
        <f>+M507</f>
        <v>500000000</v>
      </c>
      <c r="O507" s="11">
        <f t="shared" si="37"/>
        <v>0</v>
      </c>
      <c r="P507" s="11">
        <f>+SUM(H506:H507)-SUM(N506:N507)</f>
        <v>0</v>
      </c>
      <c r="Q507" s="11"/>
      <c r="R507" s="403" t="s">
        <v>972</v>
      </c>
      <c r="S507" s="403" t="s">
        <v>1035</v>
      </c>
      <c r="T507" s="403" t="s">
        <v>46</v>
      </c>
      <c r="U507" s="403" t="s">
        <v>231</v>
      </c>
      <c r="V507" s="26"/>
      <c r="W507" s="26"/>
      <c r="X507" s="26"/>
      <c r="Y507" s="26"/>
    </row>
    <row r="508" spans="1:28" hidden="1">
      <c r="A508" s="402" t="s">
        <v>521</v>
      </c>
      <c r="B508" s="53" t="s">
        <v>272</v>
      </c>
      <c r="C508" s="53" t="s">
        <v>319</v>
      </c>
      <c r="D508" s="20" t="s">
        <v>232</v>
      </c>
      <c r="E508" s="44">
        <v>38078</v>
      </c>
      <c r="F508" s="20">
        <v>70091</v>
      </c>
      <c r="G508" s="20">
        <v>10200</v>
      </c>
      <c r="H508" s="20">
        <v>714928200</v>
      </c>
      <c r="I508" s="22" t="s">
        <v>963</v>
      </c>
      <c r="J508" s="38">
        <v>38726</v>
      </c>
      <c r="K508" s="20">
        <v>50000</v>
      </c>
      <c r="L508" s="20">
        <v>18000</v>
      </c>
      <c r="M508" s="20">
        <v>900000000</v>
      </c>
      <c r="N508" s="20">
        <f>+K508*5100</f>
        <v>255000000</v>
      </c>
      <c r="O508" s="20">
        <f>+M508-N508</f>
        <v>645000000</v>
      </c>
      <c r="P508" s="20"/>
      <c r="Q508" s="20"/>
      <c r="R508" s="401" t="s">
        <v>972</v>
      </c>
      <c r="S508" s="401" t="s">
        <v>1044</v>
      </c>
      <c r="T508" s="401" t="s">
        <v>46</v>
      </c>
      <c r="U508" s="401" t="s">
        <v>223</v>
      </c>
    </row>
    <row r="509" spans="1:28" hidden="1">
      <c r="A509" s="402" t="s">
        <v>521</v>
      </c>
      <c r="B509" s="53" t="s">
        <v>272</v>
      </c>
      <c r="C509" s="53" t="s">
        <v>319</v>
      </c>
      <c r="D509" s="14" t="s">
        <v>37</v>
      </c>
      <c r="E509" s="45"/>
      <c r="F509" s="14">
        <v>70091</v>
      </c>
      <c r="G509" s="14"/>
      <c r="H509" s="14"/>
      <c r="I509" s="28"/>
      <c r="J509" s="40">
        <v>38972</v>
      </c>
      <c r="K509" s="14">
        <v>20182</v>
      </c>
      <c r="L509" s="14">
        <v>17059</v>
      </c>
      <c r="M509" s="14">
        <v>342977921</v>
      </c>
      <c r="N509" s="14">
        <f t="shared" ref="N509:N517" si="38">+K509*5100</f>
        <v>102928200</v>
      </c>
      <c r="O509" s="14">
        <f t="shared" si="37"/>
        <v>240049721</v>
      </c>
      <c r="P509" s="14"/>
      <c r="Q509" s="14"/>
      <c r="R509" s="402" t="s">
        <v>1012</v>
      </c>
      <c r="S509" s="402"/>
      <c r="T509" s="402" t="s">
        <v>9</v>
      </c>
      <c r="U509" s="402" t="s">
        <v>96</v>
      </c>
    </row>
    <row r="510" spans="1:28" hidden="1">
      <c r="A510" s="402" t="s">
        <v>521</v>
      </c>
      <c r="B510" s="53" t="s">
        <v>272</v>
      </c>
      <c r="C510" s="53" t="s">
        <v>319</v>
      </c>
      <c r="D510" s="14" t="s">
        <v>37</v>
      </c>
      <c r="E510" s="45"/>
      <c r="F510" s="14"/>
      <c r="G510" s="14"/>
      <c r="H510" s="14"/>
      <c r="I510" s="28"/>
      <c r="J510" s="40">
        <v>38973</v>
      </c>
      <c r="K510" s="14">
        <v>2889</v>
      </c>
      <c r="L510" s="14">
        <v>17507</v>
      </c>
      <c r="M510" s="14">
        <v>50374799</v>
      </c>
      <c r="N510" s="14">
        <f t="shared" si="38"/>
        <v>14733900</v>
      </c>
      <c r="O510" s="14">
        <f t="shared" si="37"/>
        <v>35640899</v>
      </c>
      <c r="P510" s="14"/>
      <c r="Q510" s="14"/>
      <c r="R510" s="402" t="s">
        <v>996</v>
      </c>
      <c r="S510" s="402"/>
      <c r="T510" s="402" t="s">
        <v>9</v>
      </c>
      <c r="U510" s="402" t="s">
        <v>96</v>
      </c>
    </row>
    <row r="511" spans="1:28" hidden="1">
      <c r="A511" s="402" t="s">
        <v>521</v>
      </c>
      <c r="B511" s="53" t="s">
        <v>272</v>
      </c>
      <c r="C511" s="53" t="s">
        <v>319</v>
      </c>
      <c r="D511" s="14" t="s">
        <v>37</v>
      </c>
      <c r="E511" s="45"/>
      <c r="F511" s="14"/>
      <c r="G511" s="14"/>
      <c r="H511" s="14"/>
      <c r="I511" s="28"/>
      <c r="J511" s="40">
        <v>38974</v>
      </c>
      <c r="K511" s="14">
        <v>5611</v>
      </c>
      <c r="L511" s="14">
        <v>17538</v>
      </c>
      <c r="M511" s="14">
        <v>98014027</v>
      </c>
      <c r="N511" s="14">
        <f t="shared" si="38"/>
        <v>28616100</v>
      </c>
      <c r="O511" s="14">
        <f t="shared" si="37"/>
        <v>69397927</v>
      </c>
      <c r="P511" s="14"/>
      <c r="Q511" s="14"/>
      <c r="R511" s="402" t="s">
        <v>996</v>
      </c>
      <c r="S511" s="402"/>
      <c r="T511" s="402" t="s">
        <v>9</v>
      </c>
      <c r="U511" s="402" t="s">
        <v>96</v>
      </c>
    </row>
    <row r="512" spans="1:28" hidden="1">
      <c r="A512" s="402" t="s">
        <v>521</v>
      </c>
      <c r="B512" s="53" t="s">
        <v>272</v>
      </c>
      <c r="C512" s="53" t="s">
        <v>319</v>
      </c>
      <c r="D512" s="14" t="s">
        <v>37</v>
      </c>
      <c r="E512" s="45"/>
      <c r="F512" s="14"/>
      <c r="G512" s="14"/>
      <c r="H512" s="14"/>
      <c r="I512" s="28"/>
      <c r="J512" s="40">
        <v>38975</v>
      </c>
      <c r="K512" s="14">
        <v>6739</v>
      </c>
      <c r="L512" s="14">
        <v>17522</v>
      </c>
      <c r="M512" s="14">
        <v>117633792</v>
      </c>
      <c r="N512" s="14">
        <f t="shared" si="38"/>
        <v>34368900</v>
      </c>
      <c r="O512" s="14">
        <f t="shared" si="37"/>
        <v>83264892</v>
      </c>
      <c r="P512" s="14"/>
      <c r="Q512" s="14"/>
      <c r="R512" s="402" t="s">
        <v>996</v>
      </c>
      <c r="S512" s="402"/>
      <c r="T512" s="402" t="s">
        <v>9</v>
      </c>
      <c r="U512" s="402" t="s">
        <v>96</v>
      </c>
    </row>
    <row r="513" spans="1:28" hidden="1">
      <c r="A513" s="402" t="s">
        <v>521</v>
      </c>
      <c r="B513" s="53" t="s">
        <v>272</v>
      </c>
      <c r="C513" s="53" t="s">
        <v>319</v>
      </c>
      <c r="D513" s="14" t="s">
        <v>37</v>
      </c>
      <c r="E513" s="45"/>
      <c r="F513" s="14"/>
      <c r="G513" s="14"/>
      <c r="H513" s="14"/>
      <c r="I513" s="28"/>
      <c r="J513" s="40">
        <v>38978</v>
      </c>
      <c r="K513" s="14">
        <v>3739</v>
      </c>
      <c r="L513" s="14">
        <v>17533</v>
      </c>
      <c r="M513" s="14">
        <v>65293084</v>
      </c>
      <c r="N513" s="14">
        <f t="shared" si="38"/>
        <v>19068900</v>
      </c>
      <c r="O513" s="14">
        <f t="shared" si="37"/>
        <v>46224184</v>
      </c>
      <c r="P513" s="14"/>
      <c r="Q513" s="14"/>
      <c r="R513" s="402" t="s">
        <v>996</v>
      </c>
      <c r="S513" s="402"/>
      <c r="T513" s="402" t="s">
        <v>9</v>
      </c>
      <c r="U513" s="402" t="s">
        <v>96</v>
      </c>
    </row>
    <row r="514" spans="1:28" hidden="1">
      <c r="A514" s="402" t="s">
        <v>521</v>
      </c>
      <c r="B514" s="53" t="s">
        <v>272</v>
      </c>
      <c r="C514" s="53" t="s">
        <v>319</v>
      </c>
      <c r="D514" s="14" t="s">
        <v>37</v>
      </c>
      <c r="E514" s="45"/>
      <c r="F514" s="14"/>
      <c r="G514" s="14"/>
      <c r="H514" s="14"/>
      <c r="I514" s="28"/>
      <c r="J514" s="40">
        <v>38979</v>
      </c>
      <c r="K514" s="14">
        <v>522</v>
      </c>
      <c r="L514" s="14">
        <v>17500</v>
      </c>
      <c r="M514" s="14">
        <v>9093155</v>
      </c>
      <c r="N514" s="14">
        <f t="shared" si="38"/>
        <v>2662200</v>
      </c>
      <c r="O514" s="14">
        <f t="shared" si="37"/>
        <v>6430955</v>
      </c>
      <c r="P514" s="14"/>
      <c r="Q514" s="14"/>
      <c r="R514" s="402" t="s">
        <v>996</v>
      </c>
      <c r="S514" s="402"/>
      <c r="T514" s="402" t="s">
        <v>9</v>
      </c>
      <c r="U514" s="402" t="s">
        <v>96</v>
      </c>
    </row>
    <row r="515" spans="1:28" hidden="1">
      <c r="A515" s="402" t="s">
        <v>521</v>
      </c>
      <c r="B515" s="53" t="s">
        <v>272</v>
      </c>
      <c r="C515" s="53" t="s">
        <v>319</v>
      </c>
      <c r="D515" s="14" t="s">
        <v>37</v>
      </c>
      <c r="E515" s="45"/>
      <c r="F515" s="14"/>
      <c r="G515" s="14"/>
      <c r="H515" s="14"/>
      <c r="I515" s="28"/>
      <c r="J515" s="40">
        <v>38987</v>
      </c>
      <c r="K515" s="14">
        <v>20500</v>
      </c>
      <c r="L515" s="14">
        <v>17668.034146341462</v>
      </c>
      <c r="M515" s="14">
        <v>360818366</v>
      </c>
      <c r="N515" s="14">
        <f t="shared" si="38"/>
        <v>104550000</v>
      </c>
      <c r="O515" s="14">
        <f t="shared" si="37"/>
        <v>256268366</v>
      </c>
      <c r="P515" s="14"/>
      <c r="Q515" s="14"/>
      <c r="R515" s="402" t="s">
        <v>996</v>
      </c>
      <c r="S515" s="402"/>
      <c r="T515" s="402" t="s">
        <v>9</v>
      </c>
      <c r="U515" s="402" t="s">
        <v>96</v>
      </c>
    </row>
    <row r="516" spans="1:28" hidden="1">
      <c r="A516" s="402" t="s">
        <v>521</v>
      </c>
      <c r="B516" s="53" t="s">
        <v>272</v>
      </c>
      <c r="C516" s="53" t="s">
        <v>319</v>
      </c>
      <c r="D516" s="14" t="s">
        <v>37</v>
      </c>
      <c r="E516" s="45"/>
      <c r="F516" s="14"/>
      <c r="G516" s="14"/>
      <c r="H516" s="14"/>
      <c r="I516" s="28"/>
      <c r="J516" s="40">
        <v>38988</v>
      </c>
      <c r="K516" s="14">
        <v>15000</v>
      </c>
      <c r="L516" s="14">
        <v>18037.443333333333</v>
      </c>
      <c r="M516" s="14">
        <v>269533525</v>
      </c>
      <c r="N516" s="14">
        <f t="shared" si="38"/>
        <v>76500000</v>
      </c>
      <c r="O516" s="14">
        <f t="shared" si="37"/>
        <v>193033525</v>
      </c>
      <c r="P516" s="14"/>
      <c r="Q516" s="14"/>
      <c r="R516" s="402" t="s">
        <v>996</v>
      </c>
      <c r="S516" s="402"/>
      <c r="T516" s="402" t="s">
        <v>9</v>
      </c>
      <c r="U516" s="402" t="s">
        <v>96</v>
      </c>
    </row>
    <row r="517" spans="1:28" hidden="1">
      <c r="A517" s="402" t="s">
        <v>521</v>
      </c>
      <c r="B517" s="53" t="s">
        <v>272</v>
      </c>
      <c r="C517" s="53" t="s">
        <v>319</v>
      </c>
      <c r="D517" s="11" t="s">
        <v>37</v>
      </c>
      <c r="E517" s="46"/>
      <c r="F517" s="11"/>
      <c r="G517" s="11"/>
      <c r="H517" s="11"/>
      <c r="I517" s="33"/>
      <c r="J517" s="41">
        <v>38989</v>
      </c>
      <c r="K517" s="11">
        <v>15000</v>
      </c>
      <c r="L517" s="11">
        <v>17572.07</v>
      </c>
      <c r="M517" s="11">
        <v>262579447</v>
      </c>
      <c r="N517" s="11">
        <f t="shared" si="38"/>
        <v>76500000</v>
      </c>
      <c r="O517" s="11">
        <f t="shared" si="37"/>
        <v>186079447</v>
      </c>
      <c r="P517" s="11">
        <f>+SUM(H508:H517)-SUM(N508:N517)</f>
        <v>0</v>
      </c>
      <c r="Q517" s="11"/>
      <c r="R517" s="402" t="s">
        <v>996</v>
      </c>
      <c r="S517" s="403"/>
      <c r="T517" s="403" t="s">
        <v>9</v>
      </c>
      <c r="U517" s="403" t="s">
        <v>96</v>
      </c>
    </row>
    <row r="518" spans="1:28" hidden="1">
      <c r="A518" s="402" t="s">
        <v>521</v>
      </c>
      <c r="B518" s="53" t="s">
        <v>272</v>
      </c>
      <c r="C518" s="53" t="s">
        <v>319</v>
      </c>
      <c r="D518" s="20" t="s">
        <v>233</v>
      </c>
      <c r="E518" s="44">
        <v>38131</v>
      </c>
      <c r="F518" s="20">
        <v>187500</v>
      </c>
      <c r="G518" s="20">
        <v>5350</v>
      </c>
      <c r="H518" s="20">
        <v>1003125000</v>
      </c>
      <c r="I518" s="22" t="s">
        <v>963</v>
      </c>
      <c r="J518" s="38">
        <v>38688</v>
      </c>
      <c r="K518" s="20">
        <v>17500</v>
      </c>
      <c r="L518" s="20">
        <v>7845.4285714285716</v>
      </c>
      <c r="M518" s="20">
        <v>136745820</v>
      </c>
      <c r="N518" s="20">
        <v>93625000</v>
      </c>
      <c r="O518" s="20">
        <f t="shared" si="37"/>
        <v>43120820</v>
      </c>
      <c r="P518" s="20"/>
      <c r="Q518" s="20"/>
      <c r="R518" s="401" t="s">
        <v>996</v>
      </c>
      <c r="S518" s="401"/>
      <c r="T518" s="401" t="s">
        <v>40</v>
      </c>
      <c r="U518" s="401" t="s">
        <v>50</v>
      </c>
      <c r="V518" s="26"/>
      <c r="W518" s="26"/>
      <c r="X518" s="26"/>
      <c r="Y518" s="26"/>
    </row>
    <row r="519" spans="1:28" hidden="1">
      <c r="A519" s="402" t="s">
        <v>521</v>
      </c>
      <c r="B519" s="53" t="s">
        <v>272</v>
      </c>
      <c r="C519" s="53" t="s">
        <v>319</v>
      </c>
      <c r="D519" s="14" t="str">
        <f>+D518</f>
        <v>산양전기</v>
      </c>
      <c r="E519" s="45"/>
      <c r="F519" s="14"/>
      <c r="G519" s="14"/>
      <c r="H519" s="14"/>
      <c r="I519" s="28"/>
      <c r="J519" s="40">
        <v>38691</v>
      </c>
      <c r="K519" s="14">
        <v>120000</v>
      </c>
      <c r="L519" s="14">
        <v>8065.6305833333336</v>
      </c>
      <c r="M519" s="14">
        <v>964197743</v>
      </c>
      <c r="N519" s="14">
        <v>642000000</v>
      </c>
      <c r="O519" s="14">
        <f t="shared" si="37"/>
        <v>322197743</v>
      </c>
      <c r="P519" s="14"/>
      <c r="Q519" s="14"/>
      <c r="R519" s="402" t="s">
        <v>996</v>
      </c>
      <c r="S519" s="402"/>
      <c r="T519" s="402" t="s">
        <v>40</v>
      </c>
      <c r="U519" s="402" t="s">
        <v>50</v>
      </c>
    </row>
    <row r="520" spans="1:28" hidden="1">
      <c r="A520" s="402" t="s">
        <v>521</v>
      </c>
      <c r="B520" s="53" t="s">
        <v>272</v>
      </c>
      <c r="C520" s="53" t="s">
        <v>319</v>
      </c>
      <c r="D520" s="14" t="str">
        <f>+D519</f>
        <v>산양전기</v>
      </c>
      <c r="E520" s="45"/>
      <c r="F520" s="14"/>
      <c r="G520" s="14"/>
      <c r="H520" s="14"/>
      <c r="I520" s="28"/>
      <c r="J520" s="40">
        <v>38982</v>
      </c>
      <c r="K520" s="14">
        <v>23690</v>
      </c>
      <c r="L520" s="14">
        <v>3155</v>
      </c>
      <c r="M520" s="14">
        <v>74428034</v>
      </c>
      <c r="N520" s="14">
        <f>+K520*5350</f>
        <v>126741500</v>
      </c>
      <c r="O520" s="14">
        <f t="shared" si="37"/>
        <v>-52313466</v>
      </c>
      <c r="P520" s="14"/>
      <c r="Q520" s="14"/>
      <c r="R520" s="402" t="s">
        <v>996</v>
      </c>
      <c r="S520" s="402"/>
      <c r="T520" s="402" t="s">
        <v>16</v>
      </c>
      <c r="U520" s="402" t="s">
        <v>50</v>
      </c>
    </row>
    <row r="521" spans="1:28" hidden="1">
      <c r="A521" s="402" t="s">
        <v>521</v>
      </c>
      <c r="B521" s="53" t="s">
        <v>272</v>
      </c>
      <c r="C521" s="53" t="s">
        <v>319</v>
      </c>
      <c r="D521" s="11" t="str">
        <f>+D520</f>
        <v>산양전기</v>
      </c>
      <c r="E521" s="46"/>
      <c r="F521" s="11"/>
      <c r="G521" s="11"/>
      <c r="H521" s="11"/>
      <c r="I521" s="33"/>
      <c r="J521" s="41">
        <v>38985</v>
      </c>
      <c r="K521" s="11">
        <v>26310</v>
      </c>
      <c r="L521" s="11">
        <v>3158.0368681109844</v>
      </c>
      <c r="M521" s="11">
        <v>82738981</v>
      </c>
      <c r="N521" s="11">
        <f>+K521*5350</f>
        <v>140758500</v>
      </c>
      <c r="O521" s="11">
        <f t="shared" si="37"/>
        <v>-58019519</v>
      </c>
      <c r="P521" s="11">
        <f>+SUM(H518:H521)-SUM(N518:N521)</f>
        <v>0</v>
      </c>
      <c r="Q521" s="11"/>
      <c r="R521" s="403" t="s">
        <v>996</v>
      </c>
      <c r="S521" s="403"/>
      <c r="T521" s="403" t="s">
        <v>16</v>
      </c>
      <c r="U521" s="403" t="s">
        <v>50</v>
      </c>
    </row>
    <row r="522" spans="1:28" hidden="1">
      <c r="A522" s="402" t="s">
        <v>521</v>
      </c>
      <c r="B522" s="53" t="s">
        <v>272</v>
      </c>
      <c r="C522" s="53" t="s">
        <v>317</v>
      </c>
      <c r="D522" s="20" t="s">
        <v>234</v>
      </c>
      <c r="E522" s="44">
        <v>37343</v>
      </c>
      <c r="F522" s="20">
        <v>37037</v>
      </c>
      <c r="G522" s="20">
        <v>13500</v>
      </c>
      <c r="H522" s="20">
        <v>499999500</v>
      </c>
      <c r="I522" s="22" t="s">
        <v>1000</v>
      </c>
      <c r="J522" s="38">
        <v>38538</v>
      </c>
      <c r="K522" s="20">
        <v>64814</v>
      </c>
      <c r="L522" s="20">
        <v>1928</v>
      </c>
      <c r="M522" s="20">
        <v>124999632</v>
      </c>
      <c r="N522" s="20">
        <v>124999632</v>
      </c>
      <c r="O522" s="20">
        <f t="shared" si="37"/>
        <v>0</v>
      </c>
      <c r="P522" s="20"/>
      <c r="Q522" s="20"/>
      <c r="R522" s="401" t="s">
        <v>972</v>
      </c>
      <c r="S522" s="401" t="s">
        <v>1039</v>
      </c>
      <c r="T522" s="401" t="s">
        <v>46</v>
      </c>
      <c r="U522" s="401" t="s">
        <v>223</v>
      </c>
    </row>
    <row r="523" spans="1:28" s="26" customFormat="1" hidden="1">
      <c r="A523" s="402" t="s">
        <v>521</v>
      </c>
      <c r="B523" s="53" t="s">
        <v>272</v>
      </c>
      <c r="C523" s="53" t="s">
        <v>317</v>
      </c>
      <c r="D523" s="14" t="s">
        <v>234</v>
      </c>
      <c r="E523" s="45"/>
      <c r="F523" s="14"/>
      <c r="G523" s="14"/>
      <c r="H523" s="14"/>
      <c r="I523" s="28"/>
      <c r="J523" s="40">
        <v>38779</v>
      </c>
      <c r="K523" s="14">
        <v>194445</v>
      </c>
      <c r="L523" s="14">
        <v>1600</v>
      </c>
      <c r="M523" s="14">
        <f>374999868-63887868</f>
        <v>311112000</v>
      </c>
      <c r="N523" s="14">
        <v>374999868</v>
      </c>
      <c r="O523" s="14">
        <f t="shared" si="37"/>
        <v>-63887868</v>
      </c>
      <c r="P523" s="11">
        <f>+SUM(H522:H523)-SUM(N522:N523)</f>
        <v>0</v>
      </c>
      <c r="Q523" s="14"/>
      <c r="R523" s="402" t="s">
        <v>972</v>
      </c>
      <c r="S523" s="402" t="s">
        <v>1042</v>
      </c>
      <c r="T523" s="402" t="s">
        <v>46</v>
      </c>
      <c r="U523" s="402" t="s">
        <v>223</v>
      </c>
      <c r="AB523" s="252"/>
    </row>
    <row r="524" spans="1:28" hidden="1">
      <c r="A524" s="402" t="s">
        <v>521</v>
      </c>
      <c r="B524" s="53" t="s">
        <v>272</v>
      </c>
      <c r="C524" s="53" t="s">
        <v>319</v>
      </c>
      <c r="D524" s="20" t="s">
        <v>235</v>
      </c>
      <c r="E524" s="44">
        <v>38273</v>
      </c>
      <c r="F524" s="20">
        <v>65000</v>
      </c>
      <c r="G524" s="20">
        <v>8500</v>
      </c>
      <c r="H524" s="20">
        <v>552500000</v>
      </c>
      <c r="I524" s="22" t="s">
        <v>963</v>
      </c>
      <c r="J524" s="38">
        <v>38583</v>
      </c>
      <c r="K524" s="20">
        <v>29000</v>
      </c>
      <c r="L524" s="20">
        <v>11156</v>
      </c>
      <c r="M524" s="20">
        <v>322284996</v>
      </c>
      <c r="N524" s="20">
        <v>122256605</v>
      </c>
      <c r="O524" s="20">
        <f t="shared" si="37"/>
        <v>200028391</v>
      </c>
      <c r="P524" s="20"/>
      <c r="Q524" s="20"/>
      <c r="R524" s="402" t="s">
        <v>996</v>
      </c>
      <c r="S524" s="401"/>
      <c r="T524" s="401" t="s">
        <v>40</v>
      </c>
      <c r="U524" s="401" t="s">
        <v>229</v>
      </c>
    </row>
    <row r="525" spans="1:28" hidden="1">
      <c r="A525" s="402" t="s">
        <v>521</v>
      </c>
      <c r="B525" s="53" t="s">
        <v>272</v>
      </c>
      <c r="C525" s="53" t="s">
        <v>319</v>
      </c>
      <c r="D525" s="14" t="s">
        <v>235</v>
      </c>
      <c r="E525" s="45">
        <v>38336</v>
      </c>
      <c r="F525" s="14">
        <v>11404</v>
      </c>
      <c r="G525" s="14">
        <v>8041</v>
      </c>
      <c r="H525" s="14">
        <v>91699564</v>
      </c>
      <c r="I525" s="28" t="s">
        <v>963</v>
      </c>
      <c r="J525" s="40">
        <v>38586</v>
      </c>
      <c r="K525" s="14">
        <v>5000</v>
      </c>
      <c r="L525" s="14">
        <v>11465</v>
      </c>
      <c r="M525" s="14">
        <v>57084235</v>
      </c>
      <c r="N525" s="14">
        <v>21078725</v>
      </c>
      <c r="O525" s="14">
        <f t="shared" si="37"/>
        <v>36005510</v>
      </c>
      <c r="P525" s="14"/>
      <c r="Q525" s="14"/>
      <c r="R525" s="402" t="s">
        <v>996</v>
      </c>
      <c r="S525" s="402"/>
      <c r="T525" s="402" t="s">
        <v>40</v>
      </c>
      <c r="U525" s="402" t="s">
        <v>229</v>
      </c>
      <c r="V525" s="26"/>
      <c r="W525" s="26"/>
      <c r="X525" s="26"/>
      <c r="Y525" s="26"/>
    </row>
    <row r="526" spans="1:28" hidden="1">
      <c r="A526" s="402" t="s">
        <v>521</v>
      </c>
      <c r="B526" s="53" t="s">
        <v>272</v>
      </c>
      <c r="C526" s="53" t="s">
        <v>319</v>
      </c>
      <c r="D526" s="14" t="s">
        <v>235</v>
      </c>
      <c r="E526" s="45"/>
      <c r="F526" s="14"/>
      <c r="G526" s="14"/>
      <c r="H526" s="14"/>
      <c r="I526" s="28"/>
      <c r="J526" s="40">
        <v>38587</v>
      </c>
      <c r="K526" s="14">
        <v>28418</v>
      </c>
      <c r="L526" s="14">
        <v>12319</v>
      </c>
      <c r="M526" s="14">
        <v>348746110</v>
      </c>
      <c r="N526" s="14">
        <v>119803042</v>
      </c>
      <c r="O526" s="14">
        <f t="shared" si="37"/>
        <v>228943068</v>
      </c>
      <c r="P526" s="14"/>
      <c r="Q526" s="14"/>
      <c r="R526" s="402" t="s">
        <v>996</v>
      </c>
      <c r="S526" s="402"/>
      <c r="T526" s="402" t="s">
        <v>40</v>
      </c>
      <c r="U526" s="402" t="s">
        <v>229</v>
      </c>
      <c r="V526" s="26"/>
      <c r="W526" s="26"/>
      <c r="X526" s="26"/>
      <c r="Y526" s="26"/>
    </row>
    <row r="527" spans="1:28" hidden="1">
      <c r="A527" s="402" t="s">
        <v>521</v>
      </c>
      <c r="B527" s="53" t="s">
        <v>272</v>
      </c>
      <c r="C527" s="53" t="s">
        <v>319</v>
      </c>
      <c r="D527" s="14" t="s">
        <v>235</v>
      </c>
      <c r="E527" s="45"/>
      <c r="F527" s="14"/>
      <c r="G527" s="14"/>
      <c r="H527" s="14"/>
      <c r="I527" s="28"/>
      <c r="J527" s="40">
        <v>38597</v>
      </c>
      <c r="K527" s="14">
        <v>30390</v>
      </c>
      <c r="L527" s="14">
        <v>13497</v>
      </c>
      <c r="M527" s="14">
        <v>408614343</v>
      </c>
      <c r="N527" s="14">
        <v>128116491</v>
      </c>
      <c r="O527" s="14">
        <f t="shared" si="37"/>
        <v>280497852</v>
      </c>
      <c r="P527" s="14"/>
      <c r="Q527" s="14"/>
      <c r="R527" s="402" t="s">
        <v>996</v>
      </c>
      <c r="S527" s="402"/>
      <c r="T527" s="402" t="s">
        <v>40</v>
      </c>
      <c r="U527" s="402" t="s">
        <v>229</v>
      </c>
      <c r="V527" s="26"/>
      <c r="W527" s="26"/>
      <c r="X527" s="26"/>
      <c r="Y527" s="26"/>
    </row>
    <row r="528" spans="1:28" hidden="1">
      <c r="A528" s="402" t="s">
        <v>521</v>
      </c>
      <c r="B528" s="53" t="s">
        <v>272</v>
      </c>
      <c r="C528" s="53" t="s">
        <v>319</v>
      </c>
      <c r="D528" s="14" t="s">
        <v>235</v>
      </c>
      <c r="E528" s="45"/>
      <c r="F528" s="14"/>
      <c r="G528" s="14"/>
      <c r="H528" s="14"/>
      <c r="I528" s="28"/>
      <c r="J528" s="40">
        <v>38624</v>
      </c>
      <c r="K528" s="14">
        <v>20000</v>
      </c>
      <c r="L528" s="14">
        <v>16710</v>
      </c>
      <c r="M528" s="14">
        <v>332921075</v>
      </c>
      <c r="N528" s="14">
        <v>84314900</v>
      </c>
      <c r="O528" s="14">
        <f t="shared" si="37"/>
        <v>248606175</v>
      </c>
      <c r="P528" s="14"/>
      <c r="Q528" s="14"/>
      <c r="R528" s="402" t="s">
        <v>996</v>
      </c>
      <c r="S528" s="402"/>
      <c r="T528" s="402" t="s">
        <v>40</v>
      </c>
      <c r="U528" s="402" t="s">
        <v>229</v>
      </c>
      <c r="V528" s="26"/>
      <c r="W528" s="26"/>
      <c r="X528" s="26"/>
      <c r="Y528" s="26"/>
    </row>
    <row r="529" spans="1:28" hidden="1">
      <c r="A529" s="402" t="s">
        <v>521</v>
      </c>
      <c r="B529" s="53" t="s">
        <v>272</v>
      </c>
      <c r="C529" s="53" t="s">
        <v>319</v>
      </c>
      <c r="D529" s="14" t="s">
        <v>235</v>
      </c>
      <c r="E529" s="45"/>
      <c r="F529" s="14"/>
      <c r="G529" s="14"/>
      <c r="H529" s="14"/>
      <c r="I529" s="28"/>
      <c r="J529" s="40">
        <v>38630</v>
      </c>
      <c r="K529" s="14">
        <v>12001</v>
      </c>
      <c r="L529" s="14">
        <v>17517</v>
      </c>
      <c r="M529" s="14">
        <v>209376531</v>
      </c>
      <c r="N529" s="14">
        <v>50593156</v>
      </c>
      <c r="O529" s="14">
        <f t="shared" si="37"/>
        <v>158783375</v>
      </c>
      <c r="P529" s="14"/>
      <c r="Q529" s="14"/>
      <c r="R529" s="402" t="s">
        <v>996</v>
      </c>
      <c r="S529" s="402"/>
      <c r="T529" s="402" t="s">
        <v>40</v>
      </c>
      <c r="U529" s="402" t="s">
        <v>229</v>
      </c>
      <c r="V529" s="26"/>
      <c r="W529" s="26"/>
      <c r="X529" s="26"/>
      <c r="Y529" s="26"/>
    </row>
    <row r="530" spans="1:28" hidden="1">
      <c r="A530" s="402" t="s">
        <v>521</v>
      </c>
      <c r="B530" s="53" t="s">
        <v>272</v>
      </c>
      <c r="C530" s="53" t="s">
        <v>319</v>
      </c>
      <c r="D530" s="11" t="s">
        <v>235</v>
      </c>
      <c r="E530" s="46"/>
      <c r="F530" s="11"/>
      <c r="G530" s="11"/>
      <c r="H530" s="11"/>
      <c r="I530" s="33"/>
      <c r="J530" s="41">
        <v>38631</v>
      </c>
      <c r="K530" s="11">
        <v>27999</v>
      </c>
      <c r="L530" s="11">
        <v>16823</v>
      </c>
      <c r="M530" s="11">
        <v>469225243</v>
      </c>
      <c r="N530" s="11">
        <v>118036645</v>
      </c>
      <c r="O530" s="11">
        <f t="shared" si="37"/>
        <v>351188598</v>
      </c>
      <c r="P530" s="11">
        <f>+SUM(H524:H530)-SUM(N524:N530)</f>
        <v>0</v>
      </c>
      <c r="Q530" s="11"/>
      <c r="R530" s="403" t="s">
        <v>996</v>
      </c>
      <c r="S530" s="403"/>
      <c r="T530" s="403" t="str">
        <f>+T529</f>
        <v>일반제조</v>
      </c>
      <c r="U530" s="403" t="s">
        <v>229</v>
      </c>
      <c r="V530" s="26"/>
      <c r="W530" s="26"/>
      <c r="X530" s="26"/>
      <c r="Y530" s="26"/>
    </row>
    <row r="531" spans="1:28" hidden="1">
      <c r="A531" s="402" t="s">
        <v>521</v>
      </c>
      <c r="B531" s="53" t="s">
        <v>272</v>
      </c>
      <c r="C531" s="53" t="s">
        <v>319</v>
      </c>
      <c r="D531" s="20" t="s">
        <v>236</v>
      </c>
      <c r="E531" s="44">
        <v>38680</v>
      </c>
      <c r="F531" s="20">
        <v>137275</v>
      </c>
      <c r="G531" s="20">
        <f>+H531/F531</f>
        <v>2179.5454744126755</v>
      </c>
      <c r="H531" s="20">
        <v>299197105</v>
      </c>
      <c r="I531" s="22" t="s">
        <v>963</v>
      </c>
      <c r="J531" s="38">
        <v>38721</v>
      </c>
      <c r="K531" s="20">
        <v>19955</v>
      </c>
      <c r="L531" s="20">
        <v>3308.0829366073667</v>
      </c>
      <c r="M531" s="20">
        <v>65735542</v>
      </c>
      <c r="N531" s="20">
        <f>+K531*2180</f>
        <v>43501900</v>
      </c>
      <c r="O531" s="20">
        <f t="shared" si="37"/>
        <v>22233642</v>
      </c>
      <c r="P531" s="20"/>
      <c r="Q531" s="20"/>
      <c r="R531" s="402" t="s">
        <v>996</v>
      </c>
      <c r="S531" s="401"/>
      <c r="T531" s="401" t="s">
        <v>46</v>
      </c>
      <c r="U531" s="401" t="s">
        <v>229</v>
      </c>
    </row>
    <row r="532" spans="1:28" hidden="1">
      <c r="A532" s="402" t="s">
        <v>521</v>
      </c>
      <c r="B532" s="53" t="s">
        <v>272</v>
      </c>
      <c r="C532" s="53" t="s">
        <v>319</v>
      </c>
      <c r="D532" s="14" t="s">
        <v>28</v>
      </c>
      <c r="E532" s="45"/>
      <c r="F532" s="14"/>
      <c r="G532" s="14"/>
      <c r="H532" s="14"/>
      <c r="I532" s="28"/>
      <c r="J532" s="40">
        <v>39057</v>
      </c>
      <c r="K532" s="14">
        <v>53610</v>
      </c>
      <c r="L532" s="14">
        <v>2068.2100354411491</v>
      </c>
      <c r="M532" s="14">
        <v>110433234</v>
      </c>
      <c r="N532" s="14">
        <f>+K532*2180</f>
        <v>116869800</v>
      </c>
      <c r="O532" s="14">
        <f t="shared" si="37"/>
        <v>-6436566</v>
      </c>
      <c r="P532" s="14"/>
      <c r="Q532" s="14"/>
      <c r="R532" s="402" t="s">
        <v>996</v>
      </c>
      <c r="S532" s="402"/>
      <c r="T532" s="402" t="s">
        <v>9</v>
      </c>
      <c r="U532" s="402" t="s">
        <v>27</v>
      </c>
    </row>
    <row r="533" spans="1:28" hidden="1">
      <c r="A533" s="402" t="s">
        <v>521</v>
      </c>
      <c r="B533" s="53" t="s">
        <v>272</v>
      </c>
      <c r="C533" s="53" t="s">
        <v>319</v>
      </c>
      <c r="D533" s="14" t="s">
        <v>28</v>
      </c>
      <c r="E533" s="45"/>
      <c r="F533" s="14"/>
      <c r="G533" s="14"/>
      <c r="H533" s="14"/>
      <c r="I533" s="28"/>
      <c r="J533" s="40">
        <v>39058</v>
      </c>
      <c r="K533" s="14">
        <v>9000</v>
      </c>
      <c r="L533" s="14">
        <v>2021.7311111111112</v>
      </c>
      <c r="M533" s="14">
        <v>18114339</v>
      </c>
      <c r="N533" s="14">
        <f>+K533*2180</f>
        <v>19620000</v>
      </c>
      <c r="O533" s="14">
        <f t="shared" si="37"/>
        <v>-1505661</v>
      </c>
      <c r="P533" s="14"/>
      <c r="Q533" s="14"/>
      <c r="R533" s="402" t="s">
        <v>996</v>
      </c>
      <c r="S533" s="402"/>
      <c r="T533" s="402" t="s">
        <v>9</v>
      </c>
      <c r="U533" s="402" t="s">
        <v>27</v>
      </c>
    </row>
    <row r="534" spans="1:28" hidden="1">
      <c r="A534" s="402" t="s">
        <v>521</v>
      </c>
      <c r="B534" s="53" t="s">
        <v>272</v>
      </c>
      <c r="C534" s="53" t="s">
        <v>319</v>
      </c>
      <c r="D534" s="14" t="s">
        <v>28</v>
      </c>
      <c r="E534" s="45"/>
      <c r="F534" s="14"/>
      <c r="G534" s="14"/>
      <c r="H534" s="14"/>
      <c r="I534" s="28"/>
      <c r="J534" s="40">
        <v>39059</v>
      </c>
      <c r="K534" s="14">
        <v>500</v>
      </c>
      <c r="L534" s="14">
        <v>2030</v>
      </c>
      <c r="M534" s="14">
        <v>1008933</v>
      </c>
      <c r="N534" s="14">
        <f>+K534*2180</f>
        <v>1090000</v>
      </c>
      <c r="O534" s="14">
        <f t="shared" si="37"/>
        <v>-81067</v>
      </c>
      <c r="P534" s="14"/>
      <c r="Q534" s="14"/>
      <c r="R534" s="403" t="s">
        <v>996</v>
      </c>
      <c r="S534" s="402"/>
      <c r="T534" s="402" t="s">
        <v>9</v>
      </c>
      <c r="U534" s="402" t="s">
        <v>27</v>
      </c>
    </row>
    <row r="535" spans="1:28" hidden="1">
      <c r="A535" s="31" t="s">
        <v>521</v>
      </c>
      <c r="B535" s="53" t="s">
        <v>272</v>
      </c>
      <c r="C535" s="72" t="s">
        <v>319</v>
      </c>
      <c r="D535" s="11" t="s">
        <v>28</v>
      </c>
      <c r="E535" s="46"/>
      <c r="F535" s="11"/>
      <c r="G535" s="11"/>
      <c r="H535" s="11"/>
      <c r="I535" s="33"/>
      <c r="J535" s="41">
        <v>39092</v>
      </c>
      <c r="K535" s="11">
        <v>54210</v>
      </c>
      <c r="L535" s="11">
        <v>1835</v>
      </c>
      <c r="M535" s="11">
        <v>99475350</v>
      </c>
      <c r="N535" s="11">
        <f>+K535*2180-62395</f>
        <v>118115405</v>
      </c>
      <c r="O535" s="11">
        <f t="shared" si="37"/>
        <v>-18640055</v>
      </c>
      <c r="P535" s="11">
        <f>+SUM(H531:H535)-SUM(N531:N535)</f>
        <v>0</v>
      </c>
      <c r="Q535" s="11"/>
      <c r="R535" s="403" t="s">
        <v>891</v>
      </c>
      <c r="S535" s="403"/>
      <c r="T535" s="36" t="s">
        <v>9</v>
      </c>
      <c r="U535" s="36" t="s">
        <v>27</v>
      </c>
    </row>
    <row r="536" spans="1:28" hidden="1">
      <c r="A536" s="36" t="s">
        <v>521</v>
      </c>
      <c r="B536" s="72" t="s">
        <v>535</v>
      </c>
      <c r="C536" s="146" t="s">
        <v>523</v>
      </c>
      <c r="D536" s="137"/>
      <c r="E536" s="157"/>
      <c r="F536" s="137"/>
      <c r="G536" s="137"/>
      <c r="H536" s="137">
        <f>SUM(H420:H535)</f>
        <v>18589971890</v>
      </c>
      <c r="I536" s="141"/>
      <c r="J536" s="145"/>
      <c r="K536" s="137"/>
      <c r="L536" s="137"/>
      <c r="M536" s="137">
        <f>SUM(M420:M535)</f>
        <v>18875612056</v>
      </c>
      <c r="N536" s="137">
        <f>SUM(N420:N535)</f>
        <v>18589971890</v>
      </c>
      <c r="O536" s="137">
        <f>SUM(O420:O535)</f>
        <v>271179514</v>
      </c>
      <c r="P536" s="137">
        <f>SUM(P420:P535)</f>
        <v>0</v>
      </c>
      <c r="Q536" s="137"/>
      <c r="R536" s="139"/>
      <c r="S536" s="139"/>
      <c r="T536" s="139"/>
      <c r="U536" s="139"/>
    </row>
    <row r="537" spans="1:28" hidden="1">
      <c r="A537" s="25" t="s">
        <v>521</v>
      </c>
      <c r="B537" s="25" t="s">
        <v>237</v>
      </c>
      <c r="C537" s="25" t="s">
        <v>323</v>
      </c>
      <c r="D537" s="20" t="s">
        <v>238</v>
      </c>
      <c r="E537" s="44">
        <v>36997</v>
      </c>
      <c r="F537" s="20">
        <v>6500</v>
      </c>
      <c r="G537" s="20">
        <v>153850</v>
      </c>
      <c r="H537" s="20">
        <f>+G537*F537</f>
        <v>1000025000</v>
      </c>
      <c r="I537" s="22" t="s">
        <v>57</v>
      </c>
      <c r="J537" s="38">
        <v>37621</v>
      </c>
      <c r="K537" s="20"/>
      <c r="L537" s="20"/>
      <c r="M537" s="20">
        <v>0</v>
      </c>
      <c r="N537" s="20">
        <v>696253004</v>
      </c>
      <c r="O537" s="24">
        <f>+M537-N537</f>
        <v>-696253004</v>
      </c>
      <c r="P537" s="20"/>
      <c r="Q537" s="20"/>
      <c r="R537" s="25" t="s">
        <v>45</v>
      </c>
      <c r="S537" s="401"/>
      <c r="T537" s="25" t="s">
        <v>46</v>
      </c>
      <c r="U537" s="25" t="s">
        <v>226</v>
      </c>
    </row>
    <row r="538" spans="1:28" hidden="1">
      <c r="A538" s="31" t="s">
        <v>521</v>
      </c>
      <c r="B538" s="31" t="s">
        <v>273</v>
      </c>
      <c r="C538" s="31" t="s">
        <v>323</v>
      </c>
      <c r="D538" s="14" t="s">
        <v>238</v>
      </c>
      <c r="E538" s="45"/>
      <c r="F538" s="14"/>
      <c r="G538" s="14"/>
      <c r="H538" s="14"/>
      <c r="I538" s="28"/>
      <c r="J538" s="40">
        <v>38765</v>
      </c>
      <c r="K538" s="14">
        <v>4000</v>
      </c>
      <c r="L538" s="14">
        <v>5000</v>
      </c>
      <c r="M538" s="14">
        <v>20000000</v>
      </c>
      <c r="N538" s="14">
        <v>31156102</v>
      </c>
      <c r="O538" s="30">
        <f>+M538-N538</f>
        <v>-11156102</v>
      </c>
      <c r="P538" s="14"/>
      <c r="Q538" s="14"/>
      <c r="R538" s="31" t="s">
        <v>39</v>
      </c>
      <c r="S538" s="402"/>
      <c r="T538" s="31" t="s">
        <v>46</v>
      </c>
      <c r="U538" s="31" t="s">
        <v>226</v>
      </c>
    </row>
    <row r="539" spans="1:28" s="26" customFormat="1" hidden="1">
      <c r="A539" s="31" t="s">
        <v>521</v>
      </c>
      <c r="B539" s="31" t="s">
        <v>273</v>
      </c>
      <c r="C539" s="36" t="s">
        <v>323</v>
      </c>
      <c r="D539" s="11" t="s">
        <v>238</v>
      </c>
      <c r="E539" s="46"/>
      <c r="F539" s="11"/>
      <c r="G539" s="11"/>
      <c r="H539" s="11"/>
      <c r="I539" s="33"/>
      <c r="J539" s="41">
        <v>38776</v>
      </c>
      <c r="K539" s="11">
        <v>35000</v>
      </c>
      <c r="L539" s="11">
        <f>+M539/K539</f>
        <v>7789.0255428571427</v>
      </c>
      <c r="M539" s="11">
        <f>303771996-31156102</f>
        <v>272615894</v>
      </c>
      <c r="N539" s="11">
        <f>+M539</f>
        <v>272615894</v>
      </c>
      <c r="O539" s="35">
        <f>+M539-N539</f>
        <v>0</v>
      </c>
      <c r="P539" s="11">
        <f>+SUM(H537:H539)-SUM(N537:N539)</f>
        <v>0</v>
      </c>
      <c r="Q539" s="11"/>
      <c r="R539" s="36" t="s">
        <v>239</v>
      </c>
      <c r="S539" s="403"/>
      <c r="T539" s="36" t="s">
        <v>46</v>
      </c>
      <c r="U539" s="36" t="s">
        <v>226</v>
      </c>
      <c r="AB539" s="252"/>
    </row>
    <row r="540" spans="1:28" s="26" customFormat="1" hidden="1">
      <c r="A540" s="36" t="s">
        <v>521</v>
      </c>
      <c r="B540" s="36" t="s">
        <v>536</v>
      </c>
      <c r="C540" s="146" t="s">
        <v>523</v>
      </c>
      <c r="D540" s="137"/>
      <c r="E540" s="157"/>
      <c r="F540" s="137"/>
      <c r="G540" s="137"/>
      <c r="H540" s="137">
        <f>SUM(H537:H539)</f>
        <v>1000025000</v>
      </c>
      <c r="I540" s="141"/>
      <c r="J540" s="145"/>
      <c r="K540" s="137"/>
      <c r="L540" s="137"/>
      <c r="M540" s="137">
        <f>SUM(M537:M539)</f>
        <v>292615894</v>
      </c>
      <c r="N540" s="137">
        <f>SUM(N537:N539)</f>
        <v>1000025000</v>
      </c>
      <c r="O540" s="137">
        <f>SUM(O537:O539)</f>
        <v>-707409106</v>
      </c>
      <c r="P540" s="137">
        <f>SUM(P537:P539)</f>
        <v>0</v>
      </c>
      <c r="Q540" s="137"/>
      <c r="R540" s="139"/>
      <c r="S540" s="139"/>
      <c r="T540" s="139"/>
      <c r="U540" s="139"/>
      <c r="AB540" s="252"/>
    </row>
    <row r="541" spans="1:28" hidden="1">
      <c r="A541" s="266" t="s">
        <v>521</v>
      </c>
      <c r="B541" s="268" t="s">
        <v>240</v>
      </c>
      <c r="C541" s="268" t="s">
        <v>324</v>
      </c>
      <c r="D541" s="20" t="s">
        <v>241</v>
      </c>
      <c r="E541" s="44">
        <v>37585</v>
      </c>
      <c r="F541" s="20">
        <f>+H541/G541</f>
        <v>13333.333333333334</v>
      </c>
      <c r="G541" s="20">
        <v>45000</v>
      </c>
      <c r="H541" s="20">
        <v>600000000</v>
      </c>
      <c r="I541" s="22" t="s">
        <v>221</v>
      </c>
      <c r="J541" s="38">
        <v>38715</v>
      </c>
      <c r="K541" s="20"/>
      <c r="L541" s="20"/>
      <c r="M541" s="20">
        <v>774568034</v>
      </c>
      <c r="N541" s="20">
        <v>600000000</v>
      </c>
      <c r="O541" s="20">
        <f>+M541-N541</f>
        <v>174568034</v>
      </c>
      <c r="P541" s="20"/>
      <c r="Q541" s="20"/>
      <c r="R541" s="25" t="s">
        <v>39</v>
      </c>
      <c r="S541" s="401"/>
      <c r="T541" s="25" t="s">
        <v>42</v>
      </c>
      <c r="U541" s="25" t="s">
        <v>231</v>
      </c>
      <c r="V541" s="26"/>
      <c r="W541" s="26"/>
      <c r="X541" s="26"/>
      <c r="Y541" s="26"/>
    </row>
    <row r="542" spans="1:28" hidden="1">
      <c r="A542" s="267" t="s">
        <v>520</v>
      </c>
      <c r="B542" s="269" t="s">
        <v>240</v>
      </c>
      <c r="C542" s="269" t="s">
        <v>279</v>
      </c>
      <c r="D542" s="14" t="s">
        <v>241</v>
      </c>
      <c r="E542" s="45"/>
      <c r="F542" s="14"/>
      <c r="G542" s="14"/>
      <c r="H542" s="14"/>
      <c r="I542" s="28"/>
      <c r="J542" s="40">
        <v>39407</v>
      </c>
      <c r="K542" s="14"/>
      <c r="L542" s="14"/>
      <c r="M542" s="420">
        <v>1000</v>
      </c>
      <c r="N542" s="420">
        <v>0</v>
      </c>
      <c r="O542" s="420">
        <f>+M542-N542</f>
        <v>1000</v>
      </c>
      <c r="P542" s="420"/>
      <c r="Q542" s="420"/>
      <c r="R542" s="421" t="s">
        <v>891</v>
      </c>
      <c r="S542" s="421"/>
      <c r="T542" s="320" t="s">
        <v>799</v>
      </c>
      <c r="U542" s="407" t="s">
        <v>1070</v>
      </c>
      <c r="V542" s="26"/>
      <c r="W542" s="26"/>
      <c r="X542" s="26"/>
      <c r="Y542" s="26"/>
    </row>
    <row r="543" spans="1:28" hidden="1">
      <c r="A543" s="267" t="s">
        <v>521</v>
      </c>
      <c r="B543" s="269" t="s">
        <v>274</v>
      </c>
      <c r="C543" s="269" t="s">
        <v>342</v>
      </c>
      <c r="D543" s="11" t="s">
        <v>241</v>
      </c>
      <c r="E543" s="46">
        <v>38715</v>
      </c>
      <c r="F543" s="11"/>
      <c r="G543" s="11"/>
      <c r="H543" s="11">
        <v>700000000</v>
      </c>
      <c r="I543" s="33" t="s">
        <v>242</v>
      </c>
      <c r="J543" s="41">
        <v>39246</v>
      </c>
      <c r="K543" s="11"/>
      <c r="L543" s="11"/>
      <c r="M543" s="11">
        <v>542829123</v>
      </c>
      <c r="N543" s="11">
        <v>700000000</v>
      </c>
      <c r="O543" s="11">
        <f t="shared" ref="O543:O588" si="39">+M543-N543</f>
        <v>-157170877</v>
      </c>
      <c r="P543" s="11">
        <f>+SUM(H541:H543)-SUM(N541:N543)</f>
        <v>0</v>
      </c>
      <c r="Q543" s="11"/>
      <c r="R543" s="36" t="s">
        <v>316</v>
      </c>
      <c r="S543" s="403"/>
      <c r="T543" s="36" t="s">
        <v>6</v>
      </c>
      <c r="U543" s="36" t="s">
        <v>231</v>
      </c>
      <c r="V543" s="26"/>
      <c r="W543" s="26"/>
      <c r="X543" s="26"/>
      <c r="Y543" s="26"/>
    </row>
    <row r="544" spans="1:28" hidden="1">
      <c r="A544" s="31" t="s">
        <v>521</v>
      </c>
      <c r="B544" s="54" t="s">
        <v>274</v>
      </c>
      <c r="C544" s="54" t="s">
        <v>280</v>
      </c>
      <c r="D544" s="15" t="s">
        <v>243</v>
      </c>
      <c r="E544" s="42">
        <v>37825</v>
      </c>
      <c r="F544" s="15">
        <v>7777</v>
      </c>
      <c r="G544" s="15">
        <v>90000</v>
      </c>
      <c r="H544" s="15">
        <v>699930000</v>
      </c>
      <c r="I544" s="17" t="s">
        <v>969</v>
      </c>
      <c r="J544" s="43">
        <v>38034</v>
      </c>
      <c r="K544" s="15">
        <v>7777</v>
      </c>
      <c r="L544" s="15">
        <v>191000</v>
      </c>
      <c r="M544" s="15">
        <f>+N544+785477000</f>
        <v>1485407000</v>
      </c>
      <c r="N544" s="15">
        <v>699930000</v>
      </c>
      <c r="O544" s="20">
        <f t="shared" si="39"/>
        <v>785477000</v>
      </c>
      <c r="P544" s="15">
        <f>+H544-N544</f>
        <v>0</v>
      </c>
      <c r="Q544" s="15"/>
      <c r="R544" s="19" t="s">
        <v>39</v>
      </c>
      <c r="S544" s="405"/>
      <c r="T544" s="19" t="s">
        <v>42</v>
      </c>
      <c r="U544" s="19" t="s">
        <v>231</v>
      </c>
    </row>
    <row r="545" spans="1:28" hidden="1">
      <c r="A545" s="31" t="s">
        <v>521</v>
      </c>
      <c r="B545" s="54" t="s">
        <v>274</v>
      </c>
      <c r="C545" s="54" t="s">
        <v>279</v>
      </c>
      <c r="D545" s="20" t="s">
        <v>244</v>
      </c>
      <c r="E545" s="44">
        <v>37680</v>
      </c>
      <c r="F545" s="20"/>
      <c r="G545" s="20"/>
      <c r="H545" s="20">
        <v>300000000</v>
      </c>
      <c r="I545" s="22" t="s">
        <v>221</v>
      </c>
      <c r="J545" s="38">
        <v>38790</v>
      </c>
      <c r="K545" s="20"/>
      <c r="L545" s="20"/>
      <c r="M545" s="20" t="s">
        <v>783</v>
      </c>
      <c r="N545" s="20">
        <v>0</v>
      </c>
      <c r="O545" s="20" t="e">
        <f t="shared" si="39"/>
        <v>#VALUE!</v>
      </c>
      <c r="P545" s="20"/>
      <c r="Q545" s="20"/>
      <c r="R545" s="25" t="s">
        <v>338</v>
      </c>
      <c r="S545" s="401"/>
      <c r="T545" s="25" t="s">
        <v>42</v>
      </c>
      <c r="U545" s="25" t="s">
        <v>231</v>
      </c>
      <c r="V545" s="26"/>
      <c r="W545" s="26"/>
      <c r="X545" s="26"/>
      <c r="Y545" s="26"/>
    </row>
    <row r="546" spans="1:28" hidden="1">
      <c r="A546" s="31" t="s">
        <v>521</v>
      </c>
      <c r="B546" s="54" t="s">
        <v>274</v>
      </c>
      <c r="C546" s="54" t="s">
        <v>279</v>
      </c>
      <c r="D546" s="14" t="s">
        <v>244</v>
      </c>
      <c r="E546" s="45"/>
      <c r="F546" s="14"/>
      <c r="G546" s="14"/>
      <c r="H546" s="14"/>
      <c r="I546" s="28"/>
      <c r="J546" s="40">
        <v>38791</v>
      </c>
      <c r="K546" s="14"/>
      <c r="L546" s="14"/>
      <c r="M546" s="14">
        <v>300000000</v>
      </c>
      <c r="N546" s="14">
        <v>300000000</v>
      </c>
      <c r="O546" s="14">
        <f t="shared" si="39"/>
        <v>0</v>
      </c>
      <c r="P546" s="14"/>
      <c r="Q546" s="14"/>
      <c r="R546" s="31" t="s">
        <v>339</v>
      </c>
      <c r="S546" s="402"/>
      <c r="T546" s="31" t="s">
        <v>6</v>
      </c>
      <c r="U546" s="31" t="s">
        <v>31</v>
      </c>
      <c r="V546" s="26"/>
      <c r="W546" s="26"/>
      <c r="X546" s="26"/>
      <c r="Y546" s="26"/>
    </row>
    <row r="547" spans="1:28" hidden="1">
      <c r="A547" s="31" t="s">
        <v>521</v>
      </c>
      <c r="B547" s="54" t="s">
        <v>274</v>
      </c>
      <c r="C547" s="54" t="s">
        <v>314</v>
      </c>
      <c r="D547" s="14" t="s">
        <v>244</v>
      </c>
      <c r="E547" s="45">
        <v>37680</v>
      </c>
      <c r="F547" s="14"/>
      <c r="G547" s="14"/>
      <c r="H547" s="14">
        <v>300000000</v>
      </c>
      <c r="I547" s="28" t="s">
        <v>225</v>
      </c>
      <c r="J547" s="40">
        <v>39113</v>
      </c>
      <c r="K547" s="14"/>
      <c r="L547" s="14"/>
      <c r="M547" s="14">
        <v>396476889</v>
      </c>
      <c r="N547" s="14">
        <v>300000000</v>
      </c>
      <c r="O547" s="14">
        <f t="shared" si="39"/>
        <v>96476889</v>
      </c>
      <c r="P547" s="14"/>
      <c r="Q547" s="14"/>
      <c r="R547" s="31" t="s">
        <v>39</v>
      </c>
      <c r="S547" s="402"/>
      <c r="T547" s="31" t="s">
        <v>42</v>
      </c>
      <c r="U547" s="31" t="s">
        <v>231</v>
      </c>
      <c r="V547" s="26"/>
      <c r="W547" s="26"/>
      <c r="X547" s="26"/>
      <c r="Y547" s="26"/>
    </row>
    <row r="548" spans="1:28" s="26" customFormat="1" hidden="1">
      <c r="A548" s="31" t="s">
        <v>521</v>
      </c>
      <c r="B548" s="54" t="s">
        <v>274</v>
      </c>
      <c r="C548" s="281" t="s">
        <v>780</v>
      </c>
      <c r="D548" s="11" t="s">
        <v>781</v>
      </c>
      <c r="E548" s="46">
        <v>38791</v>
      </c>
      <c r="F548" s="11"/>
      <c r="G548" s="11"/>
      <c r="H548" s="11">
        <v>50000000</v>
      </c>
      <c r="I548" s="33" t="s">
        <v>782</v>
      </c>
      <c r="J548" s="41">
        <v>39113</v>
      </c>
      <c r="K548" s="11"/>
      <c r="L548" s="11"/>
      <c r="M548" s="11">
        <v>53523111</v>
      </c>
      <c r="N548" s="11">
        <v>50000000</v>
      </c>
      <c r="O548" s="14">
        <f t="shared" si="39"/>
        <v>3523111</v>
      </c>
      <c r="P548" s="11">
        <f>+SUM(H545:H548)-SUM(N545:N548)</f>
        <v>0</v>
      </c>
      <c r="Q548" s="14"/>
      <c r="R548" s="36" t="s">
        <v>316</v>
      </c>
      <c r="S548" s="403"/>
      <c r="T548" s="36" t="s">
        <v>42</v>
      </c>
      <c r="U548" s="36" t="s">
        <v>231</v>
      </c>
      <c r="AB548" s="252"/>
    </row>
    <row r="549" spans="1:28" hidden="1">
      <c r="A549" s="31" t="s">
        <v>521</v>
      </c>
      <c r="B549" s="54" t="s">
        <v>274</v>
      </c>
      <c r="C549" s="54" t="s">
        <v>314</v>
      </c>
      <c r="D549" s="20" t="s">
        <v>245</v>
      </c>
      <c r="E549" s="44">
        <v>37599</v>
      </c>
      <c r="F549" s="20"/>
      <c r="G549" s="20"/>
      <c r="H549" s="20">
        <v>400000000</v>
      </c>
      <c r="I549" s="22" t="s">
        <v>225</v>
      </c>
      <c r="J549" s="38">
        <v>38352</v>
      </c>
      <c r="K549" s="20"/>
      <c r="L549" s="20"/>
      <c r="M549" s="20">
        <v>0</v>
      </c>
      <c r="N549" s="20">
        <v>400000000</v>
      </c>
      <c r="O549" s="20">
        <f t="shared" si="39"/>
        <v>-400000000</v>
      </c>
      <c r="P549" s="20"/>
      <c r="Q549" s="20"/>
      <c r="R549" s="25" t="s">
        <v>45</v>
      </c>
      <c r="S549" s="401"/>
      <c r="T549" s="25" t="s">
        <v>42</v>
      </c>
      <c r="U549" s="25" t="s">
        <v>231</v>
      </c>
    </row>
    <row r="550" spans="1:28" hidden="1">
      <c r="A550" s="31" t="s">
        <v>521</v>
      </c>
      <c r="B550" s="54" t="s">
        <v>274</v>
      </c>
      <c r="C550" s="54" t="s">
        <v>314</v>
      </c>
      <c r="D550" s="14" t="s">
        <v>245</v>
      </c>
      <c r="E550" s="45"/>
      <c r="F550" s="14"/>
      <c r="G550" s="14"/>
      <c r="H550" s="14"/>
      <c r="I550" s="28"/>
      <c r="J550" s="40">
        <v>38898</v>
      </c>
      <c r="K550" s="14"/>
      <c r="L550" s="14"/>
      <c r="M550" s="14">
        <v>10000000</v>
      </c>
      <c r="N550" s="14"/>
      <c r="O550" s="14">
        <f t="shared" si="39"/>
        <v>10000000</v>
      </c>
      <c r="P550" s="14"/>
      <c r="Q550" s="14"/>
      <c r="R550" s="31" t="s">
        <v>316</v>
      </c>
      <c r="S550" s="402"/>
      <c r="T550" s="31" t="s">
        <v>6</v>
      </c>
      <c r="U550" s="31" t="s">
        <v>31</v>
      </c>
    </row>
    <row r="551" spans="1:28" hidden="1">
      <c r="A551" s="31" t="s">
        <v>521</v>
      </c>
      <c r="B551" s="54" t="s">
        <v>274</v>
      </c>
      <c r="C551" s="54" t="s">
        <v>314</v>
      </c>
      <c r="D551" s="14" t="s">
        <v>245</v>
      </c>
      <c r="E551" s="45"/>
      <c r="F551" s="14"/>
      <c r="G551" s="14"/>
      <c r="H551" s="14"/>
      <c r="I551" s="28"/>
      <c r="J551" s="40">
        <v>38912</v>
      </c>
      <c r="K551" s="14"/>
      <c r="L551" s="14"/>
      <c r="M551" s="14">
        <v>90000000</v>
      </c>
      <c r="N551" s="14"/>
      <c r="O551" s="14">
        <f t="shared" si="39"/>
        <v>90000000</v>
      </c>
      <c r="P551" s="14"/>
      <c r="Q551" s="14"/>
      <c r="R551" s="31" t="s">
        <v>316</v>
      </c>
      <c r="S551" s="402"/>
      <c r="T551" s="31" t="s">
        <v>6</v>
      </c>
      <c r="U551" s="31" t="s">
        <v>31</v>
      </c>
    </row>
    <row r="552" spans="1:28" hidden="1">
      <c r="A552" s="31" t="s">
        <v>521</v>
      </c>
      <c r="B552" s="54" t="s">
        <v>274</v>
      </c>
      <c r="C552" s="54" t="s">
        <v>314</v>
      </c>
      <c r="D552" s="14" t="s">
        <v>245</v>
      </c>
      <c r="E552" s="45"/>
      <c r="F552" s="14"/>
      <c r="G552" s="14"/>
      <c r="H552" s="14"/>
      <c r="I552" s="28"/>
      <c r="J552" s="40">
        <v>39059</v>
      </c>
      <c r="K552" s="14"/>
      <c r="L552" s="14"/>
      <c r="M552" s="14">
        <v>50000000</v>
      </c>
      <c r="N552" s="14"/>
      <c r="O552" s="14">
        <f t="shared" si="39"/>
        <v>50000000</v>
      </c>
      <c r="P552" s="14">
        <f>+SUM(H549:H552)-SUM(N549:N552)</f>
        <v>0</v>
      </c>
      <c r="Q552" s="14"/>
      <c r="R552" s="407" t="s">
        <v>316</v>
      </c>
      <c r="S552" s="407"/>
      <c r="T552" s="407" t="s">
        <v>6</v>
      </c>
      <c r="U552" s="407" t="s">
        <v>31</v>
      </c>
    </row>
    <row r="553" spans="1:28" hidden="1">
      <c r="A553" s="267" t="s">
        <v>520</v>
      </c>
      <c r="B553" s="269" t="s">
        <v>274</v>
      </c>
      <c r="C553" s="269" t="s">
        <v>314</v>
      </c>
      <c r="D553" s="11" t="s">
        <v>245</v>
      </c>
      <c r="E553" s="45"/>
      <c r="F553" s="14"/>
      <c r="G553" s="14"/>
      <c r="H553" s="14"/>
      <c r="I553" s="28"/>
      <c r="J553" s="40">
        <v>39407</v>
      </c>
      <c r="K553" s="14"/>
      <c r="L553" s="420"/>
      <c r="M553" s="420">
        <v>1000</v>
      </c>
      <c r="N553" s="420"/>
      <c r="O553" s="420">
        <f t="shared" si="39"/>
        <v>1000</v>
      </c>
      <c r="P553" s="420"/>
      <c r="Q553" s="418"/>
      <c r="R553" s="419" t="s">
        <v>891</v>
      </c>
      <c r="S553" s="419"/>
      <c r="T553" s="408" t="s">
        <v>6</v>
      </c>
      <c r="U553" s="408" t="s">
        <v>31</v>
      </c>
    </row>
    <row r="554" spans="1:28" hidden="1">
      <c r="A554" s="31" t="s">
        <v>521</v>
      </c>
      <c r="B554" s="54" t="s">
        <v>274</v>
      </c>
      <c r="C554" s="54" t="s">
        <v>324</v>
      </c>
      <c r="D554" s="20" t="s">
        <v>246</v>
      </c>
      <c r="E554" s="44">
        <v>38110</v>
      </c>
      <c r="F554" s="20"/>
      <c r="G554" s="20"/>
      <c r="H554" s="20">
        <v>350000000</v>
      </c>
      <c r="I554" s="22" t="s">
        <v>221</v>
      </c>
      <c r="J554" s="38">
        <v>38533</v>
      </c>
      <c r="K554" s="20"/>
      <c r="L554" s="20"/>
      <c r="M554" s="20">
        <v>120000000</v>
      </c>
      <c r="N554" s="20">
        <v>120000000</v>
      </c>
      <c r="O554" s="20">
        <f t="shared" si="39"/>
        <v>0</v>
      </c>
      <c r="P554" s="20"/>
      <c r="Q554" s="20"/>
      <c r="R554" s="25" t="s">
        <v>39</v>
      </c>
      <c r="S554" s="401"/>
      <c r="T554" s="25" t="s">
        <v>247</v>
      </c>
      <c r="U554" s="25" t="s">
        <v>226</v>
      </c>
      <c r="V554" s="26"/>
      <c r="W554" s="26"/>
      <c r="X554" s="26"/>
      <c r="Y554" s="26"/>
    </row>
    <row r="555" spans="1:28" hidden="1">
      <c r="A555" s="31" t="s">
        <v>521</v>
      </c>
      <c r="B555" s="54" t="s">
        <v>274</v>
      </c>
      <c r="C555" s="54" t="s">
        <v>324</v>
      </c>
      <c r="D555" s="14" t="s">
        <v>246</v>
      </c>
      <c r="E555" s="45"/>
      <c r="F555" s="14"/>
      <c r="G555" s="14"/>
      <c r="H555" s="14"/>
      <c r="I555" s="28"/>
      <c r="J555" s="40">
        <v>38538</v>
      </c>
      <c r="K555" s="14"/>
      <c r="L555" s="14"/>
      <c r="M555" s="14">
        <v>30000000</v>
      </c>
      <c r="N555" s="14">
        <v>30000000</v>
      </c>
      <c r="O555" s="14">
        <f t="shared" si="39"/>
        <v>0</v>
      </c>
      <c r="P555" s="14"/>
      <c r="Q555" s="14"/>
      <c r="R555" s="31" t="s">
        <v>39</v>
      </c>
      <c r="S555" s="402"/>
      <c r="T555" s="31" t="s">
        <v>247</v>
      </c>
      <c r="U555" s="31" t="s">
        <v>226</v>
      </c>
    </row>
    <row r="556" spans="1:28" s="26" customFormat="1" hidden="1">
      <c r="A556" s="31" t="s">
        <v>521</v>
      </c>
      <c r="B556" s="54" t="s">
        <v>274</v>
      </c>
      <c r="C556" s="54" t="s">
        <v>324</v>
      </c>
      <c r="D556" s="11" t="s">
        <v>246</v>
      </c>
      <c r="E556" s="46"/>
      <c r="F556" s="11"/>
      <c r="G556" s="11"/>
      <c r="H556" s="11"/>
      <c r="I556" s="33"/>
      <c r="J556" s="41">
        <v>38776</v>
      </c>
      <c r="K556" s="11"/>
      <c r="L556" s="11"/>
      <c r="M556" s="11">
        <v>200000000</v>
      </c>
      <c r="N556" s="11">
        <v>200000000</v>
      </c>
      <c r="O556" s="11">
        <f t="shared" si="39"/>
        <v>0</v>
      </c>
      <c r="P556" s="11">
        <f>+SUM(H554:H556)-SUM(N554:N556)</f>
        <v>0</v>
      </c>
      <c r="Q556" s="11"/>
      <c r="R556" s="36" t="s">
        <v>39</v>
      </c>
      <c r="S556" s="403"/>
      <c r="T556" s="36" t="s">
        <v>247</v>
      </c>
      <c r="U556" s="36" t="s">
        <v>226</v>
      </c>
      <c r="AB556" s="252"/>
    </row>
    <row r="557" spans="1:28" hidden="1">
      <c r="A557" s="31" t="s">
        <v>521</v>
      </c>
      <c r="B557" s="54" t="s">
        <v>274</v>
      </c>
      <c r="C557" s="54" t="s">
        <v>280</v>
      </c>
      <c r="D557" s="15" t="s">
        <v>248</v>
      </c>
      <c r="E557" s="42">
        <v>38071</v>
      </c>
      <c r="F557" s="15">
        <v>50000</v>
      </c>
      <c r="G557" s="15">
        <v>20000</v>
      </c>
      <c r="H557" s="15">
        <v>1000000000</v>
      </c>
      <c r="I557" s="17" t="s">
        <v>997</v>
      </c>
      <c r="J557" s="43"/>
      <c r="K557" s="15"/>
      <c r="L557" s="15"/>
      <c r="M557" s="15">
        <v>1028118070</v>
      </c>
      <c r="N557" s="15">
        <v>1000000000</v>
      </c>
      <c r="O557" s="15">
        <f t="shared" si="39"/>
        <v>28118070</v>
      </c>
      <c r="P557" s="15">
        <f>+H557-N557</f>
        <v>0</v>
      </c>
      <c r="Q557" s="15"/>
      <c r="R557" s="19" t="s">
        <v>39</v>
      </c>
      <c r="S557" s="405"/>
      <c r="T557" s="19" t="s">
        <v>46</v>
      </c>
      <c r="U557" s="19" t="s">
        <v>229</v>
      </c>
    </row>
    <row r="558" spans="1:28" hidden="1">
      <c r="A558" s="31" t="s">
        <v>521</v>
      </c>
      <c r="B558" s="54" t="s">
        <v>274</v>
      </c>
      <c r="C558" s="54" t="s">
        <v>324</v>
      </c>
      <c r="D558" s="15" t="s">
        <v>249</v>
      </c>
      <c r="E558" s="42">
        <v>37960</v>
      </c>
      <c r="F558" s="15"/>
      <c r="G558" s="15"/>
      <c r="H558" s="15">
        <v>4000000000</v>
      </c>
      <c r="I558" s="17" t="s">
        <v>221</v>
      </c>
      <c r="J558" s="43">
        <v>38775</v>
      </c>
      <c r="K558" s="15"/>
      <c r="L558" s="15"/>
      <c r="M558" s="15">
        <v>4272898279</v>
      </c>
      <c r="N558" s="15">
        <v>4000000000</v>
      </c>
      <c r="O558" s="15">
        <f t="shared" si="39"/>
        <v>272898279</v>
      </c>
      <c r="P558" s="15">
        <f>+H558-N558</f>
        <v>0</v>
      </c>
      <c r="Q558" s="15"/>
      <c r="R558" s="19" t="s">
        <v>39</v>
      </c>
      <c r="S558" s="405"/>
      <c r="T558" s="19" t="s">
        <v>46</v>
      </c>
      <c r="U558" s="19" t="s">
        <v>226</v>
      </c>
    </row>
    <row r="559" spans="1:28" hidden="1">
      <c r="A559" s="31" t="s">
        <v>521</v>
      </c>
      <c r="B559" s="54" t="s">
        <v>274</v>
      </c>
      <c r="C559" s="54" t="s">
        <v>324</v>
      </c>
      <c r="D559" s="15" t="s">
        <v>250</v>
      </c>
      <c r="E559" s="42">
        <v>37981</v>
      </c>
      <c r="F559" s="15"/>
      <c r="G559" s="15"/>
      <c r="H559" s="15">
        <v>2000000000</v>
      </c>
      <c r="I559" s="17" t="s">
        <v>221</v>
      </c>
      <c r="J559" s="43">
        <v>38293</v>
      </c>
      <c r="K559" s="15"/>
      <c r="L559" s="15"/>
      <c r="M559" s="15">
        <v>2051287671</v>
      </c>
      <c r="N559" s="15">
        <v>2000000000</v>
      </c>
      <c r="O559" s="15">
        <f t="shared" si="39"/>
        <v>51287671</v>
      </c>
      <c r="P559" s="15">
        <f>+H559-N559</f>
        <v>0</v>
      </c>
      <c r="Q559" s="15"/>
      <c r="R559" s="19" t="s">
        <v>39</v>
      </c>
      <c r="S559" s="405"/>
      <c r="T559" s="19" t="s">
        <v>46</v>
      </c>
      <c r="U559" s="19" t="s">
        <v>226</v>
      </c>
    </row>
    <row r="560" spans="1:28" hidden="1">
      <c r="A560" s="31" t="s">
        <v>521</v>
      </c>
      <c r="B560" s="54" t="s">
        <v>274</v>
      </c>
      <c r="C560" s="55" t="s">
        <v>280</v>
      </c>
      <c r="D560" s="11" t="s">
        <v>251</v>
      </c>
      <c r="E560" s="46">
        <v>38667</v>
      </c>
      <c r="F560" s="11">
        <v>68813</v>
      </c>
      <c r="G560" s="11">
        <v>7266</v>
      </c>
      <c r="H560" s="11">
        <v>499995258</v>
      </c>
      <c r="I560" s="33" t="s">
        <v>969</v>
      </c>
      <c r="J560" s="41">
        <v>38698</v>
      </c>
      <c r="K560" s="11">
        <v>68813</v>
      </c>
      <c r="L560" s="11">
        <v>9000</v>
      </c>
      <c r="M560" s="11">
        <v>619317000</v>
      </c>
      <c r="N560" s="11">
        <v>499995258</v>
      </c>
      <c r="O560" s="11">
        <f t="shared" si="39"/>
        <v>119321742</v>
      </c>
      <c r="P560" s="15">
        <f>+H560-N560</f>
        <v>0</v>
      </c>
      <c r="Q560" s="11"/>
      <c r="R560" s="36" t="s">
        <v>39</v>
      </c>
      <c r="S560" s="403"/>
      <c r="T560" s="36" t="s">
        <v>252</v>
      </c>
      <c r="U560" s="36" t="s">
        <v>231</v>
      </c>
    </row>
    <row r="561" spans="1:25" hidden="1">
      <c r="A561" s="31" t="s">
        <v>521</v>
      </c>
      <c r="B561" s="54" t="s">
        <v>274</v>
      </c>
      <c r="C561" s="55" t="s">
        <v>280</v>
      </c>
      <c r="D561" s="20" t="s">
        <v>253</v>
      </c>
      <c r="E561" s="44">
        <v>38680</v>
      </c>
      <c r="F561" s="20">
        <v>90909</v>
      </c>
      <c r="G561" s="20">
        <v>5500</v>
      </c>
      <c r="H561" s="20">
        <v>499999500</v>
      </c>
      <c r="I561" s="22" t="s">
        <v>969</v>
      </c>
      <c r="J561" s="38">
        <v>38933</v>
      </c>
      <c r="K561" s="20">
        <v>5970</v>
      </c>
      <c r="L561" s="20">
        <f>+M561/K561</f>
        <v>8819.2713567839201</v>
      </c>
      <c r="M561" s="20">
        <v>52651050</v>
      </c>
      <c r="N561" s="20">
        <f t="shared" ref="N561:N572" si="40">+K561*$G$561</f>
        <v>32835000</v>
      </c>
      <c r="O561" s="20">
        <f t="shared" si="39"/>
        <v>19816050</v>
      </c>
      <c r="P561" s="20"/>
      <c r="Q561" s="20"/>
      <c r="R561" s="25" t="s">
        <v>39</v>
      </c>
      <c r="S561" s="401"/>
      <c r="T561" s="25" t="s">
        <v>46</v>
      </c>
      <c r="U561" s="25" t="s">
        <v>229</v>
      </c>
    </row>
    <row r="562" spans="1:25" hidden="1">
      <c r="A562" s="31" t="s">
        <v>521</v>
      </c>
      <c r="B562" s="54" t="s">
        <v>274</v>
      </c>
      <c r="C562" s="55" t="s">
        <v>280</v>
      </c>
      <c r="D562" s="14" t="s">
        <v>284</v>
      </c>
      <c r="E562" s="45"/>
      <c r="F562" s="14"/>
      <c r="G562" s="14"/>
      <c r="H562" s="14"/>
      <c r="I562" s="28"/>
      <c r="J562" s="40">
        <v>38936</v>
      </c>
      <c r="K562" s="14">
        <v>6169</v>
      </c>
      <c r="L562" s="14">
        <f t="shared" ref="L562:L573" si="41">+M562/K562</f>
        <v>8803.186902253201</v>
      </c>
      <c r="M562" s="14">
        <v>54306860</v>
      </c>
      <c r="N562" s="14">
        <f t="shared" si="40"/>
        <v>33929500</v>
      </c>
      <c r="O562" s="14">
        <f t="shared" si="39"/>
        <v>20377360</v>
      </c>
      <c r="P562" s="14"/>
      <c r="Q562" s="14"/>
      <c r="R562" s="31" t="s">
        <v>3</v>
      </c>
      <c r="S562" s="402"/>
      <c r="T562" s="31" t="s">
        <v>9</v>
      </c>
      <c r="U562" s="31" t="s">
        <v>27</v>
      </c>
    </row>
    <row r="563" spans="1:25" hidden="1">
      <c r="A563" s="31" t="s">
        <v>521</v>
      </c>
      <c r="B563" s="54" t="s">
        <v>274</v>
      </c>
      <c r="C563" s="55" t="s">
        <v>280</v>
      </c>
      <c r="D563" s="14" t="s">
        <v>284</v>
      </c>
      <c r="E563" s="45"/>
      <c r="F563" s="14"/>
      <c r="G563" s="14"/>
      <c r="H563" s="14"/>
      <c r="I563" s="28"/>
      <c r="J563" s="40">
        <v>38939</v>
      </c>
      <c r="K563" s="14">
        <v>4930</v>
      </c>
      <c r="L563" s="14">
        <f t="shared" si="41"/>
        <v>9006.787018255578</v>
      </c>
      <c r="M563" s="14">
        <v>44403460</v>
      </c>
      <c r="N563" s="14">
        <f t="shared" si="40"/>
        <v>27115000</v>
      </c>
      <c r="O563" s="14">
        <f t="shared" si="39"/>
        <v>17288460</v>
      </c>
      <c r="P563" s="14"/>
      <c r="Q563" s="14"/>
      <c r="R563" s="31" t="s">
        <v>3</v>
      </c>
      <c r="S563" s="402"/>
      <c r="T563" s="31" t="s">
        <v>9</v>
      </c>
      <c r="U563" s="31" t="s">
        <v>27</v>
      </c>
    </row>
    <row r="564" spans="1:25" hidden="1">
      <c r="A564" s="31" t="s">
        <v>521</v>
      </c>
      <c r="B564" s="54" t="s">
        <v>274</v>
      </c>
      <c r="C564" s="55" t="s">
        <v>280</v>
      </c>
      <c r="D564" s="14" t="s">
        <v>284</v>
      </c>
      <c r="E564" s="45"/>
      <c r="F564" s="14"/>
      <c r="G564" s="14"/>
      <c r="H564" s="14"/>
      <c r="I564" s="28"/>
      <c r="J564" s="40">
        <v>38951</v>
      </c>
      <c r="K564" s="14">
        <v>10195</v>
      </c>
      <c r="L564" s="14">
        <f>+M564/K564</f>
        <v>9553.6017655713586</v>
      </c>
      <c r="M564" s="14">
        <v>97398970</v>
      </c>
      <c r="N564" s="14">
        <f t="shared" si="40"/>
        <v>56072500</v>
      </c>
      <c r="O564" s="14">
        <f t="shared" si="39"/>
        <v>41326470</v>
      </c>
      <c r="P564" s="14"/>
      <c r="Q564" s="14"/>
      <c r="R564" s="31" t="s">
        <v>3</v>
      </c>
      <c r="S564" s="402"/>
      <c r="T564" s="31" t="s">
        <v>9</v>
      </c>
      <c r="U564" s="31" t="s">
        <v>27</v>
      </c>
    </row>
    <row r="565" spans="1:25" hidden="1">
      <c r="A565" s="31" t="s">
        <v>521</v>
      </c>
      <c r="B565" s="54" t="s">
        <v>274</v>
      </c>
      <c r="C565" s="55" t="s">
        <v>280</v>
      </c>
      <c r="D565" s="14" t="s">
        <v>284</v>
      </c>
      <c r="E565" s="45"/>
      <c r="F565" s="14"/>
      <c r="G565" s="14"/>
      <c r="H565" s="14"/>
      <c r="I565" s="28"/>
      <c r="J565" s="40">
        <v>38954</v>
      </c>
      <c r="K565" s="14">
        <v>1930</v>
      </c>
      <c r="L565" s="14">
        <f t="shared" si="41"/>
        <v>9516.6787564766837</v>
      </c>
      <c r="M565" s="14">
        <v>18367190</v>
      </c>
      <c r="N565" s="14">
        <f t="shared" si="40"/>
        <v>10615000</v>
      </c>
      <c r="O565" s="14">
        <f t="shared" si="39"/>
        <v>7752190</v>
      </c>
      <c r="P565" s="14"/>
      <c r="Q565" s="14"/>
      <c r="R565" s="31" t="s">
        <v>3</v>
      </c>
      <c r="S565" s="402"/>
      <c r="T565" s="31" t="s">
        <v>9</v>
      </c>
      <c r="U565" s="31" t="s">
        <v>27</v>
      </c>
    </row>
    <row r="566" spans="1:25" hidden="1">
      <c r="A566" s="31" t="s">
        <v>521</v>
      </c>
      <c r="B566" s="54" t="s">
        <v>274</v>
      </c>
      <c r="C566" s="55" t="s">
        <v>280</v>
      </c>
      <c r="D566" s="14" t="s">
        <v>284</v>
      </c>
      <c r="E566" s="45"/>
      <c r="F566" s="14"/>
      <c r="G566" s="14"/>
      <c r="H566" s="14"/>
      <c r="I566" s="28"/>
      <c r="J566" s="40">
        <v>38957</v>
      </c>
      <c r="K566" s="14">
        <v>14790</v>
      </c>
      <c r="L566" s="14">
        <f t="shared" si="41"/>
        <v>10564.283299526707</v>
      </c>
      <c r="M566" s="14">
        <v>156245750</v>
      </c>
      <c r="N566" s="14">
        <f t="shared" si="40"/>
        <v>81345000</v>
      </c>
      <c r="O566" s="14">
        <f t="shared" si="39"/>
        <v>74900750</v>
      </c>
      <c r="P566" s="14"/>
      <c r="Q566" s="14"/>
      <c r="R566" s="31" t="s">
        <v>3</v>
      </c>
      <c r="S566" s="402"/>
      <c r="T566" s="31" t="s">
        <v>9</v>
      </c>
      <c r="U566" s="31" t="s">
        <v>27</v>
      </c>
    </row>
    <row r="567" spans="1:25" hidden="1">
      <c r="A567" s="31" t="s">
        <v>521</v>
      </c>
      <c r="B567" s="54" t="s">
        <v>274</v>
      </c>
      <c r="C567" s="55" t="s">
        <v>280</v>
      </c>
      <c r="D567" s="14" t="s">
        <v>284</v>
      </c>
      <c r="E567" s="45"/>
      <c r="F567" s="14"/>
      <c r="G567" s="14"/>
      <c r="H567" s="14"/>
      <c r="I567" s="28"/>
      <c r="J567" s="40">
        <v>38958</v>
      </c>
      <c r="K567" s="14">
        <v>12365</v>
      </c>
      <c r="L567" s="14">
        <f t="shared" si="41"/>
        <v>12029.871411241407</v>
      </c>
      <c r="M567" s="14">
        <v>148749360</v>
      </c>
      <c r="N567" s="14">
        <f t="shared" si="40"/>
        <v>68007500</v>
      </c>
      <c r="O567" s="14">
        <f t="shared" si="39"/>
        <v>80741860</v>
      </c>
      <c r="P567" s="14"/>
      <c r="Q567" s="14"/>
      <c r="R567" s="31" t="s">
        <v>3</v>
      </c>
      <c r="S567" s="402"/>
      <c r="T567" s="31" t="s">
        <v>9</v>
      </c>
      <c r="U567" s="31" t="s">
        <v>27</v>
      </c>
    </row>
    <row r="568" spans="1:25" hidden="1">
      <c r="A568" s="31" t="s">
        <v>521</v>
      </c>
      <c r="B568" s="54" t="s">
        <v>274</v>
      </c>
      <c r="C568" s="55" t="s">
        <v>280</v>
      </c>
      <c r="D568" s="14" t="s">
        <v>284</v>
      </c>
      <c r="E568" s="45"/>
      <c r="F568" s="14"/>
      <c r="G568" s="14"/>
      <c r="H568" s="14"/>
      <c r="I568" s="28"/>
      <c r="J568" s="40">
        <v>38966</v>
      </c>
      <c r="K568" s="14">
        <v>9823</v>
      </c>
      <c r="L568" s="14">
        <f t="shared" si="41"/>
        <v>12023.595642878958</v>
      </c>
      <c r="M568" s="14">
        <v>118107780</v>
      </c>
      <c r="N568" s="14">
        <f t="shared" si="40"/>
        <v>54026500</v>
      </c>
      <c r="O568" s="14">
        <f t="shared" si="39"/>
        <v>64081280</v>
      </c>
      <c r="P568" s="14"/>
      <c r="Q568" s="14"/>
      <c r="R568" s="31" t="s">
        <v>3</v>
      </c>
      <c r="S568" s="402"/>
      <c r="T568" s="31" t="s">
        <v>9</v>
      </c>
      <c r="U568" s="31" t="s">
        <v>27</v>
      </c>
    </row>
    <row r="569" spans="1:25" hidden="1">
      <c r="A569" s="31" t="s">
        <v>521</v>
      </c>
      <c r="B569" s="54" t="s">
        <v>274</v>
      </c>
      <c r="C569" s="55" t="s">
        <v>280</v>
      </c>
      <c r="D569" s="14" t="s">
        <v>284</v>
      </c>
      <c r="E569" s="45"/>
      <c r="F569" s="14"/>
      <c r="G569" s="14"/>
      <c r="H569" s="14"/>
      <c r="I569" s="28"/>
      <c r="J569" s="40">
        <v>38980</v>
      </c>
      <c r="K569" s="14">
        <v>6421</v>
      </c>
      <c r="L569" s="14">
        <f t="shared" si="41"/>
        <v>13031.066812023049</v>
      </c>
      <c r="M569" s="14">
        <v>83672480</v>
      </c>
      <c r="N569" s="14">
        <f t="shared" si="40"/>
        <v>35315500</v>
      </c>
      <c r="O569" s="14">
        <f t="shared" si="39"/>
        <v>48356980</v>
      </c>
      <c r="P569" s="14"/>
      <c r="Q569" s="14"/>
      <c r="R569" s="31" t="s">
        <v>3</v>
      </c>
      <c r="S569" s="402"/>
      <c r="T569" s="31" t="s">
        <v>9</v>
      </c>
      <c r="U569" s="31" t="s">
        <v>27</v>
      </c>
    </row>
    <row r="570" spans="1:25" hidden="1">
      <c r="A570" s="31" t="s">
        <v>521</v>
      </c>
      <c r="B570" s="54" t="s">
        <v>274</v>
      </c>
      <c r="C570" s="55" t="s">
        <v>280</v>
      </c>
      <c r="D570" s="14" t="s">
        <v>284</v>
      </c>
      <c r="E570" s="45"/>
      <c r="F570" s="14"/>
      <c r="G570" s="14"/>
      <c r="H570" s="14"/>
      <c r="I570" s="28"/>
      <c r="J570" s="40">
        <v>38981</v>
      </c>
      <c r="K570" s="14">
        <v>5948</v>
      </c>
      <c r="L570" s="14">
        <f t="shared" si="41"/>
        <v>13103.591123066577</v>
      </c>
      <c r="M570" s="14">
        <v>77940160</v>
      </c>
      <c r="N570" s="14">
        <f t="shared" si="40"/>
        <v>32714000</v>
      </c>
      <c r="O570" s="14">
        <f t="shared" si="39"/>
        <v>45226160</v>
      </c>
      <c r="P570" s="14"/>
      <c r="Q570" s="14"/>
      <c r="R570" s="31" t="s">
        <v>3</v>
      </c>
      <c r="S570" s="402"/>
      <c r="T570" s="31" t="s">
        <v>9</v>
      </c>
      <c r="U570" s="31" t="s">
        <v>27</v>
      </c>
    </row>
    <row r="571" spans="1:25" hidden="1">
      <c r="A571" s="31" t="s">
        <v>521</v>
      </c>
      <c r="B571" s="54" t="s">
        <v>274</v>
      </c>
      <c r="C571" s="55" t="s">
        <v>280</v>
      </c>
      <c r="D571" s="14" t="s">
        <v>284</v>
      </c>
      <c r="E571" s="45"/>
      <c r="F571" s="14"/>
      <c r="G571" s="14"/>
      <c r="H571" s="14"/>
      <c r="I571" s="28"/>
      <c r="J571" s="40">
        <v>38987</v>
      </c>
      <c r="K571" s="14">
        <v>4947</v>
      </c>
      <c r="L571" s="14">
        <f t="shared" si="41"/>
        <v>13602.387305437638</v>
      </c>
      <c r="M571" s="14">
        <v>67291010</v>
      </c>
      <c r="N571" s="14">
        <f t="shared" si="40"/>
        <v>27208500</v>
      </c>
      <c r="O571" s="14">
        <f t="shared" si="39"/>
        <v>40082510</v>
      </c>
      <c r="P571" s="14"/>
      <c r="Q571" s="14"/>
      <c r="R571" s="31" t="s">
        <v>3</v>
      </c>
      <c r="S571" s="402"/>
      <c r="T571" s="31" t="s">
        <v>9</v>
      </c>
      <c r="U571" s="31" t="s">
        <v>27</v>
      </c>
    </row>
    <row r="572" spans="1:25" hidden="1">
      <c r="A572" s="31" t="s">
        <v>521</v>
      </c>
      <c r="B572" s="54" t="s">
        <v>274</v>
      </c>
      <c r="C572" s="55" t="s">
        <v>280</v>
      </c>
      <c r="D572" s="11" t="s">
        <v>284</v>
      </c>
      <c r="E572" s="46"/>
      <c r="F572" s="11"/>
      <c r="G572" s="11"/>
      <c r="H572" s="11"/>
      <c r="I572" s="33"/>
      <c r="J572" s="41">
        <v>38989</v>
      </c>
      <c r="K572" s="11">
        <v>7421</v>
      </c>
      <c r="L572" s="11">
        <f t="shared" si="41"/>
        <v>14034.719040560571</v>
      </c>
      <c r="M572" s="11">
        <v>104151650</v>
      </c>
      <c r="N572" s="11">
        <f t="shared" si="40"/>
        <v>40815500</v>
      </c>
      <c r="O572" s="11">
        <f t="shared" si="39"/>
        <v>63336150</v>
      </c>
      <c r="P572" s="11">
        <f>+SUM(H561:H572)-SUM(N561:N572)</f>
        <v>0</v>
      </c>
      <c r="Q572" s="11"/>
      <c r="R572" s="36" t="s">
        <v>3</v>
      </c>
      <c r="S572" s="403"/>
      <c r="T572" s="36" t="s">
        <v>9</v>
      </c>
      <c r="U572" s="36" t="s">
        <v>27</v>
      </c>
    </row>
    <row r="573" spans="1:25" hidden="1">
      <c r="A573" s="31" t="s">
        <v>521</v>
      </c>
      <c r="B573" s="54" t="s">
        <v>274</v>
      </c>
      <c r="C573" s="55" t="s">
        <v>278</v>
      </c>
      <c r="D573" s="20" t="s">
        <v>785</v>
      </c>
      <c r="E573" s="44">
        <v>38709</v>
      </c>
      <c r="F573" s="20">
        <v>1600</v>
      </c>
      <c r="G573" s="20">
        <v>34375</v>
      </c>
      <c r="H573" s="20">
        <v>55000000</v>
      </c>
      <c r="I573" s="22" t="s">
        <v>963</v>
      </c>
      <c r="J573" s="38">
        <v>39000</v>
      </c>
      <c r="K573" s="20">
        <v>1600</v>
      </c>
      <c r="L573" s="20">
        <f t="shared" si="41"/>
        <v>438056</v>
      </c>
      <c r="M573" s="20">
        <v>700889600</v>
      </c>
      <c r="N573" s="20">
        <f>+H573</f>
        <v>55000000</v>
      </c>
      <c r="O573" s="20">
        <f t="shared" si="39"/>
        <v>645889600</v>
      </c>
      <c r="P573" s="20"/>
      <c r="Q573" s="20"/>
      <c r="R573" s="25" t="s">
        <v>316</v>
      </c>
      <c r="S573" s="401"/>
      <c r="T573" s="25" t="s">
        <v>42</v>
      </c>
      <c r="U573" s="25" t="s">
        <v>255</v>
      </c>
      <c r="V573" s="26"/>
      <c r="W573" s="26"/>
      <c r="X573" s="26"/>
      <c r="Y573" s="26"/>
    </row>
    <row r="574" spans="1:25" hidden="1">
      <c r="A574" s="31" t="s">
        <v>521</v>
      </c>
      <c r="B574" s="54" t="s">
        <v>274</v>
      </c>
      <c r="C574" s="54" t="s">
        <v>324</v>
      </c>
      <c r="D574" s="11" t="s">
        <v>785</v>
      </c>
      <c r="E574" s="46">
        <v>38716</v>
      </c>
      <c r="F574" s="11"/>
      <c r="G574" s="11"/>
      <c r="H574" s="11">
        <v>82500000</v>
      </c>
      <c r="I574" s="33" t="s">
        <v>786</v>
      </c>
      <c r="J574" s="41">
        <v>38957</v>
      </c>
      <c r="K574" s="11"/>
      <c r="L574" s="11"/>
      <c r="M574" s="11">
        <v>87402534</v>
      </c>
      <c r="N574" s="11">
        <v>82500000</v>
      </c>
      <c r="O574" s="11">
        <f t="shared" si="39"/>
        <v>4902534</v>
      </c>
      <c r="P574" s="11">
        <f>+SUM(H573:H574)-SUM(N573:N574)</f>
        <v>0</v>
      </c>
      <c r="Q574" s="11"/>
      <c r="R574" s="36" t="s">
        <v>316</v>
      </c>
      <c r="S574" s="403"/>
      <c r="T574" s="36" t="s">
        <v>42</v>
      </c>
      <c r="U574" s="36" t="s">
        <v>255</v>
      </c>
    </row>
    <row r="575" spans="1:25" hidden="1">
      <c r="A575" s="31" t="s">
        <v>521</v>
      </c>
      <c r="B575" s="54" t="s">
        <v>274</v>
      </c>
      <c r="C575" s="55" t="s">
        <v>278</v>
      </c>
      <c r="D575" s="14" t="s">
        <v>784</v>
      </c>
      <c r="E575" s="45">
        <v>39359</v>
      </c>
      <c r="F575" s="14">
        <v>94117</v>
      </c>
      <c r="G575" s="14">
        <f>+H575/F575</f>
        <v>8172.0471328240383</v>
      </c>
      <c r="H575" s="14">
        <v>769128560</v>
      </c>
      <c r="I575" s="28" t="s">
        <v>963</v>
      </c>
      <c r="J575" s="40">
        <v>39384</v>
      </c>
      <c r="K575" s="14">
        <v>62450</v>
      </c>
      <c r="L575" s="14">
        <f>+M575/K575</f>
        <v>4077.1953562850281</v>
      </c>
      <c r="M575" s="14">
        <v>254620850</v>
      </c>
      <c r="N575" s="14">
        <f>+K575*G575</f>
        <v>510344343.44486117</v>
      </c>
      <c r="O575" s="14">
        <f t="shared" si="39"/>
        <v>-255723493.44486117</v>
      </c>
      <c r="P575" s="14"/>
      <c r="Q575" s="14"/>
      <c r="R575" s="31" t="s">
        <v>316</v>
      </c>
      <c r="S575" s="402"/>
      <c r="T575" s="31" t="s">
        <v>6</v>
      </c>
      <c r="U575" s="31" t="s">
        <v>33</v>
      </c>
    </row>
    <row r="576" spans="1:25" hidden="1">
      <c r="A576" s="31" t="s">
        <v>521</v>
      </c>
      <c r="B576" s="54" t="s">
        <v>274</v>
      </c>
      <c r="C576" s="55" t="s">
        <v>278</v>
      </c>
      <c r="D576" s="14"/>
      <c r="E576" s="45"/>
      <c r="F576" s="14"/>
      <c r="G576" s="14"/>
      <c r="H576" s="14"/>
      <c r="I576" s="28"/>
      <c r="J576" s="40">
        <v>39385</v>
      </c>
      <c r="K576" s="14">
        <f>31660+7</f>
        <v>31667</v>
      </c>
      <c r="L576" s="14">
        <f>+M576/K576</f>
        <v>4038.7147503710489</v>
      </c>
      <c r="M576" s="14">
        <f>127866400+27580</f>
        <v>127893980</v>
      </c>
      <c r="N576" s="14">
        <f>+K576*G575</f>
        <v>258784216.55513883</v>
      </c>
      <c r="O576" s="14">
        <f t="shared" si="39"/>
        <v>-130890236.55513883</v>
      </c>
      <c r="P576" s="11">
        <f>+SUM(H575:H576)-SUM(N575:N576)</f>
        <v>0</v>
      </c>
      <c r="Q576" s="14"/>
      <c r="R576" s="31" t="s">
        <v>316</v>
      </c>
      <c r="S576" s="402"/>
      <c r="T576" s="31" t="s">
        <v>6</v>
      </c>
      <c r="U576" s="31" t="s">
        <v>33</v>
      </c>
    </row>
    <row r="577" spans="1:28" hidden="1">
      <c r="A577" s="31" t="s">
        <v>521</v>
      </c>
      <c r="B577" s="54" t="s">
        <v>274</v>
      </c>
      <c r="C577" s="55" t="s">
        <v>342</v>
      </c>
      <c r="D577" s="20" t="s">
        <v>787</v>
      </c>
      <c r="E577" s="44">
        <v>38293</v>
      </c>
      <c r="F577" s="20"/>
      <c r="G577" s="20"/>
      <c r="H577" s="20">
        <v>2000000000</v>
      </c>
      <c r="I577" s="22" t="s">
        <v>782</v>
      </c>
      <c r="J577" s="38">
        <v>38559</v>
      </c>
      <c r="K577" s="20"/>
      <c r="L577" s="20"/>
      <c r="M577" s="20">
        <v>510931507</v>
      </c>
      <c r="N577" s="20">
        <v>500000000</v>
      </c>
      <c r="O577" s="20">
        <f t="shared" si="39"/>
        <v>10931507</v>
      </c>
      <c r="P577" s="20"/>
      <c r="Q577" s="20"/>
      <c r="R577" s="25" t="s">
        <v>39</v>
      </c>
      <c r="S577" s="401"/>
      <c r="T577" s="25" t="s">
        <v>257</v>
      </c>
      <c r="U577" s="25" t="s">
        <v>50</v>
      </c>
      <c r="V577" s="26"/>
      <c r="W577" s="26"/>
      <c r="X577" s="26"/>
      <c r="Y577" s="26"/>
    </row>
    <row r="578" spans="1:28" hidden="1">
      <c r="A578" s="31" t="s">
        <v>521</v>
      </c>
      <c r="B578" s="54" t="s">
        <v>274</v>
      </c>
      <c r="C578" s="55" t="s">
        <v>342</v>
      </c>
      <c r="D578" s="14" t="s">
        <v>787</v>
      </c>
      <c r="E578" s="45"/>
      <c r="F578" s="14"/>
      <c r="G578" s="14"/>
      <c r="H578" s="14"/>
      <c r="I578" s="28"/>
      <c r="J578" s="40">
        <v>38686</v>
      </c>
      <c r="K578" s="14"/>
      <c r="L578" s="14"/>
      <c r="M578" s="14">
        <v>1032301370</v>
      </c>
      <c r="N578" s="14">
        <v>1000000000</v>
      </c>
      <c r="O578" s="14">
        <f t="shared" si="39"/>
        <v>32301370</v>
      </c>
      <c r="P578" s="14"/>
      <c r="Q578" s="14"/>
      <c r="R578" s="31" t="s">
        <v>39</v>
      </c>
      <c r="S578" s="402"/>
      <c r="T578" s="31" t="s">
        <v>257</v>
      </c>
      <c r="U578" s="31" t="s">
        <v>50</v>
      </c>
    </row>
    <row r="579" spans="1:28" s="26" customFormat="1" hidden="1">
      <c r="A579" s="31" t="s">
        <v>521</v>
      </c>
      <c r="B579" s="54" t="s">
        <v>274</v>
      </c>
      <c r="C579" s="55" t="s">
        <v>342</v>
      </c>
      <c r="D579" s="11" t="s">
        <v>787</v>
      </c>
      <c r="E579" s="45"/>
      <c r="F579" s="14"/>
      <c r="G579" s="14"/>
      <c r="H579" s="14"/>
      <c r="I579" s="28"/>
      <c r="J579" s="40">
        <v>38775</v>
      </c>
      <c r="K579" s="14"/>
      <c r="L579" s="14"/>
      <c r="M579" s="14">
        <v>687917808</v>
      </c>
      <c r="N579" s="14">
        <v>500000000</v>
      </c>
      <c r="O579" s="14">
        <f t="shared" si="39"/>
        <v>187917808</v>
      </c>
      <c r="P579" s="11">
        <f>+SUM(H577:H579)-SUM(N577:N579)</f>
        <v>0</v>
      </c>
      <c r="Q579" s="14"/>
      <c r="R579" s="31" t="s">
        <v>39</v>
      </c>
      <c r="S579" s="402"/>
      <c r="T579" s="31" t="s">
        <v>257</v>
      </c>
      <c r="U579" s="31" t="s">
        <v>50</v>
      </c>
      <c r="AB579" s="252"/>
    </row>
    <row r="580" spans="1:28" hidden="1">
      <c r="A580" s="31" t="s">
        <v>521</v>
      </c>
      <c r="B580" s="54" t="s">
        <v>274</v>
      </c>
      <c r="C580" s="55" t="s">
        <v>310</v>
      </c>
      <c r="D580" s="20" t="s">
        <v>788</v>
      </c>
      <c r="E580" s="44">
        <v>38147</v>
      </c>
      <c r="F580" s="20"/>
      <c r="G580" s="20"/>
      <c r="H580" s="20">
        <v>457868368</v>
      </c>
      <c r="I580" s="22" t="s">
        <v>34</v>
      </c>
      <c r="J580" s="38">
        <v>38216</v>
      </c>
      <c r="K580" s="20"/>
      <c r="L580" s="20"/>
      <c r="M580" s="20">
        <v>152346297</v>
      </c>
      <c r="N580" s="20">
        <v>149104800</v>
      </c>
      <c r="O580" s="20">
        <f t="shared" si="39"/>
        <v>3241497</v>
      </c>
      <c r="P580" s="20"/>
      <c r="Q580" s="20"/>
      <c r="R580" s="25" t="s">
        <v>18</v>
      </c>
      <c r="S580" s="401"/>
      <c r="T580" s="25" t="s">
        <v>258</v>
      </c>
      <c r="U580" s="25" t="s">
        <v>50</v>
      </c>
      <c r="V580" s="26"/>
      <c r="W580" s="26"/>
      <c r="X580" s="26"/>
      <c r="Y580" s="26"/>
    </row>
    <row r="581" spans="1:28" hidden="1">
      <c r="A581" s="31" t="s">
        <v>521</v>
      </c>
      <c r="B581" s="54" t="s">
        <v>274</v>
      </c>
      <c r="C581" s="55" t="s">
        <v>310</v>
      </c>
      <c r="D581" s="14" t="s">
        <v>789</v>
      </c>
      <c r="E581" s="45">
        <v>38489</v>
      </c>
      <c r="F581" s="14"/>
      <c r="G581" s="14"/>
      <c r="H581" s="14">
        <v>1885462678</v>
      </c>
      <c r="I581" s="28" t="s">
        <v>790</v>
      </c>
      <c r="J581" s="40">
        <v>38238</v>
      </c>
      <c r="K581" s="14"/>
      <c r="L581" s="14"/>
      <c r="M581" s="14">
        <v>51150677</v>
      </c>
      <c r="N581" s="14">
        <v>49725000</v>
      </c>
      <c r="O581" s="14">
        <f t="shared" si="39"/>
        <v>1425677</v>
      </c>
      <c r="P581" s="14"/>
      <c r="Q581" s="14"/>
      <c r="R581" s="31" t="s">
        <v>18</v>
      </c>
      <c r="S581" s="402"/>
      <c r="T581" s="31" t="s">
        <v>35</v>
      </c>
      <c r="U581" s="31" t="s">
        <v>50</v>
      </c>
      <c r="V581" s="26"/>
      <c r="W581" s="26"/>
      <c r="X581" s="26"/>
      <c r="Y581" s="26"/>
    </row>
    <row r="582" spans="1:28" hidden="1">
      <c r="A582" s="31" t="s">
        <v>521</v>
      </c>
      <c r="B582" s="54" t="s">
        <v>274</v>
      </c>
      <c r="C582" s="55" t="s">
        <v>310</v>
      </c>
      <c r="D582" s="14" t="s">
        <v>789</v>
      </c>
      <c r="E582" s="45"/>
      <c r="F582" s="14"/>
      <c r="G582" s="14"/>
      <c r="H582" s="14"/>
      <c r="I582" s="28"/>
      <c r="J582" s="40">
        <v>38342</v>
      </c>
      <c r="K582" s="14"/>
      <c r="L582" s="14"/>
      <c r="M582" s="14">
        <v>274395716</v>
      </c>
      <c r="N582" s="14">
        <v>259038568</v>
      </c>
      <c r="O582" s="14">
        <f t="shared" si="39"/>
        <v>15357148</v>
      </c>
      <c r="P582" s="14"/>
      <c r="Q582" s="14"/>
      <c r="R582" s="31" t="s">
        <v>18</v>
      </c>
      <c r="S582" s="402"/>
      <c r="T582" s="31" t="s">
        <v>35</v>
      </c>
      <c r="U582" s="31" t="s">
        <v>50</v>
      </c>
      <c r="V582" s="26"/>
      <c r="W582" s="26"/>
      <c r="X582" s="26"/>
      <c r="Y582" s="26"/>
    </row>
    <row r="583" spans="1:28" hidden="1">
      <c r="A583" s="31" t="s">
        <v>521</v>
      </c>
      <c r="B583" s="54" t="s">
        <v>274</v>
      </c>
      <c r="C583" s="55" t="s">
        <v>310</v>
      </c>
      <c r="D583" s="14" t="s">
        <v>789</v>
      </c>
      <c r="E583" s="45"/>
      <c r="F583" s="14"/>
      <c r="G583" s="14"/>
      <c r="H583" s="14"/>
      <c r="I583" s="28"/>
      <c r="J583" s="40">
        <v>38489</v>
      </c>
      <c r="K583" s="14"/>
      <c r="L583" s="14"/>
      <c r="M583" s="14">
        <v>240228709</v>
      </c>
      <c r="N583" s="14">
        <v>240228709</v>
      </c>
      <c r="O583" s="14">
        <f t="shared" si="39"/>
        <v>0</v>
      </c>
      <c r="P583" s="14"/>
      <c r="Q583" s="14"/>
      <c r="R583" s="31" t="s">
        <v>18</v>
      </c>
      <c r="S583" s="402"/>
      <c r="T583" s="31" t="s">
        <v>35</v>
      </c>
      <c r="U583" s="31" t="s">
        <v>19</v>
      </c>
      <c r="V583" s="26"/>
      <c r="W583" s="26"/>
      <c r="X583" s="26"/>
      <c r="Y583" s="26"/>
    </row>
    <row r="584" spans="1:28" hidden="1">
      <c r="A584" s="31" t="s">
        <v>521</v>
      </c>
      <c r="B584" s="54" t="s">
        <v>274</v>
      </c>
      <c r="C584" s="55" t="s">
        <v>310</v>
      </c>
      <c r="D584" s="14" t="s">
        <v>789</v>
      </c>
      <c r="E584" s="45"/>
      <c r="F584" s="14"/>
      <c r="G584" s="14"/>
      <c r="H584" s="14"/>
      <c r="I584" s="28"/>
      <c r="J584" s="40">
        <v>38629</v>
      </c>
      <c r="K584" s="14"/>
      <c r="L584" s="14"/>
      <c r="M584" s="14">
        <v>150000000</v>
      </c>
      <c r="N584" s="14">
        <v>150000000</v>
      </c>
      <c r="O584" s="14">
        <f t="shared" si="39"/>
        <v>0</v>
      </c>
      <c r="P584" s="14"/>
      <c r="Q584" s="14"/>
      <c r="R584" s="31" t="s">
        <v>18</v>
      </c>
      <c r="S584" s="402"/>
      <c r="T584" s="31" t="s">
        <v>35</v>
      </c>
      <c r="U584" s="31" t="s">
        <v>19</v>
      </c>
      <c r="V584" s="26"/>
      <c r="W584" s="26"/>
      <c r="X584" s="26"/>
      <c r="Y584" s="26"/>
    </row>
    <row r="585" spans="1:28" hidden="1">
      <c r="A585" s="31" t="s">
        <v>521</v>
      </c>
      <c r="B585" s="54" t="s">
        <v>274</v>
      </c>
      <c r="C585" s="55" t="s">
        <v>310</v>
      </c>
      <c r="D585" s="14" t="s">
        <v>789</v>
      </c>
      <c r="E585" s="45"/>
      <c r="F585" s="14"/>
      <c r="G585" s="14"/>
      <c r="H585" s="14"/>
      <c r="I585" s="28"/>
      <c r="J585" s="40">
        <v>38681</v>
      </c>
      <c r="K585" s="14"/>
      <c r="L585" s="14"/>
      <c r="M585" s="14">
        <v>80000000</v>
      </c>
      <c r="N585" s="14">
        <v>80000000</v>
      </c>
      <c r="O585" s="14">
        <f t="shared" si="39"/>
        <v>0</v>
      </c>
      <c r="P585" s="14"/>
      <c r="Q585" s="14"/>
      <c r="R585" s="31" t="s">
        <v>18</v>
      </c>
      <c r="S585" s="402"/>
      <c r="T585" s="31" t="s">
        <v>35</v>
      </c>
      <c r="U585" s="31" t="s">
        <v>19</v>
      </c>
      <c r="V585" s="26"/>
      <c r="W585" s="26"/>
      <c r="X585" s="26"/>
      <c r="Y585" s="26"/>
    </row>
    <row r="586" spans="1:28" hidden="1">
      <c r="A586" s="31" t="s">
        <v>521</v>
      </c>
      <c r="B586" s="54" t="s">
        <v>274</v>
      </c>
      <c r="C586" s="55" t="s">
        <v>310</v>
      </c>
      <c r="D586" s="14" t="s">
        <v>789</v>
      </c>
      <c r="E586" s="45"/>
      <c r="F586" s="14"/>
      <c r="G586" s="14"/>
      <c r="H586" s="14"/>
      <c r="I586" s="28"/>
      <c r="J586" s="40">
        <v>38715</v>
      </c>
      <c r="K586" s="14"/>
      <c r="L586" s="14"/>
      <c r="M586" s="14">
        <v>230000000</v>
      </c>
      <c r="N586" s="14">
        <v>230000000</v>
      </c>
      <c r="O586" s="14">
        <f t="shared" si="39"/>
        <v>0</v>
      </c>
      <c r="P586" s="14"/>
      <c r="Q586" s="14"/>
      <c r="R586" s="31" t="s">
        <v>18</v>
      </c>
      <c r="S586" s="402"/>
      <c r="T586" s="31" t="s">
        <v>35</v>
      </c>
      <c r="U586" s="31" t="s">
        <v>19</v>
      </c>
      <c r="V586" s="26"/>
      <c r="W586" s="26"/>
      <c r="X586" s="26"/>
      <c r="Y586" s="26"/>
    </row>
    <row r="587" spans="1:28" s="26" customFormat="1" hidden="1">
      <c r="A587" s="31" t="s">
        <v>521</v>
      </c>
      <c r="B587" s="54" t="s">
        <v>274</v>
      </c>
      <c r="C587" s="55" t="s">
        <v>310</v>
      </c>
      <c r="D587" s="14" t="s">
        <v>789</v>
      </c>
      <c r="E587" s="45"/>
      <c r="F587" s="14"/>
      <c r="G587" s="14"/>
      <c r="H587" s="14"/>
      <c r="I587" s="28"/>
      <c r="J587" s="40">
        <v>38736</v>
      </c>
      <c r="K587" s="14"/>
      <c r="L587" s="14"/>
      <c r="M587" s="14">
        <v>40000000</v>
      </c>
      <c r="N587" s="14">
        <v>40000000</v>
      </c>
      <c r="O587" s="14">
        <f t="shared" si="39"/>
        <v>0</v>
      </c>
      <c r="P587" s="14"/>
      <c r="Q587" s="14"/>
      <c r="R587" s="31" t="s">
        <v>18</v>
      </c>
      <c r="S587" s="402"/>
      <c r="T587" s="31" t="s">
        <v>259</v>
      </c>
      <c r="U587" s="31" t="s">
        <v>62</v>
      </c>
      <c r="AB587" s="252"/>
    </row>
    <row r="588" spans="1:28" s="26" customFormat="1" hidden="1">
      <c r="A588" s="31" t="s">
        <v>521</v>
      </c>
      <c r="B588" s="54" t="s">
        <v>274</v>
      </c>
      <c r="C588" s="86" t="s">
        <v>310</v>
      </c>
      <c r="D588" s="11" t="s">
        <v>789</v>
      </c>
      <c r="E588" s="46"/>
      <c r="F588" s="11"/>
      <c r="G588" s="11"/>
      <c r="H588" s="11"/>
      <c r="I588" s="33"/>
      <c r="J588" s="41">
        <v>39407</v>
      </c>
      <c r="K588" s="11"/>
      <c r="L588" s="11"/>
      <c r="M588" s="418">
        <v>1000</v>
      </c>
      <c r="N588" s="418">
        <v>1145233969</v>
      </c>
      <c r="O588" s="418">
        <f t="shared" si="39"/>
        <v>-1145232969</v>
      </c>
      <c r="P588" s="418">
        <f>+SUM(H580:H588)-SUM(N580:N588)</f>
        <v>0</v>
      </c>
      <c r="Q588" s="418"/>
      <c r="R588" s="419" t="s">
        <v>891</v>
      </c>
      <c r="S588" s="419"/>
      <c r="T588" s="36" t="s">
        <v>258</v>
      </c>
      <c r="U588" s="36" t="s">
        <v>50</v>
      </c>
      <c r="AB588" s="252"/>
    </row>
    <row r="589" spans="1:28" s="26" customFormat="1" hidden="1">
      <c r="A589" s="36" t="s">
        <v>521</v>
      </c>
      <c r="B589" s="85" t="s">
        <v>537</v>
      </c>
      <c r="C589" s="158" t="s">
        <v>523</v>
      </c>
      <c r="D589" s="154"/>
      <c r="E589" s="153"/>
      <c r="F589" s="154"/>
      <c r="G589" s="154"/>
      <c r="H589" s="154">
        <f>SUM(H541:H588)</f>
        <v>16649884364</v>
      </c>
      <c r="I589" s="155"/>
      <c r="J589" s="156"/>
      <c r="K589" s="154"/>
      <c r="L589" s="154"/>
      <c r="M589" s="154">
        <f>SUM(M541:M588)</f>
        <v>17667792945</v>
      </c>
      <c r="N589" s="154">
        <f>SUM(N541:N588)</f>
        <v>16649884364</v>
      </c>
      <c r="O589" s="154" t="e">
        <f>SUM(O541:O588)</f>
        <v>#VALUE!</v>
      </c>
      <c r="P589" s="154">
        <f>SUM(P541:P588)</f>
        <v>0</v>
      </c>
      <c r="Q589" s="154"/>
      <c r="R589" s="132"/>
      <c r="S589" s="132"/>
      <c r="T589" s="36"/>
      <c r="U589" s="36"/>
      <c r="AB589" s="252"/>
    </row>
    <row r="590" spans="1:28" hidden="1">
      <c r="A590" s="401" t="s">
        <v>521</v>
      </c>
      <c r="B590" s="401" t="s">
        <v>437</v>
      </c>
      <c r="C590" s="401" t="s">
        <v>438</v>
      </c>
      <c r="D590" s="20" t="s">
        <v>439</v>
      </c>
      <c r="E590" s="44">
        <v>37455</v>
      </c>
      <c r="F590" s="20">
        <v>125000</v>
      </c>
      <c r="G590" s="20">
        <f>+H590/F590</f>
        <v>4000</v>
      </c>
      <c r="H590" s="20">
        <v>500000000</v>
      </c>
      <c r="I590" s="22" t="s">
        <v>997</v>
      </c>
      <c r="J590" s="101">
        <v>38352</v>
      </c>
      <c r="K590" s="20"/>
      <c r="L590" s="20"/>
      <c r="M590" s="20">
        <v>0</v>
      </c>
      <c r="N590" s="20">
        <v>500000000</v>
      </c>
      <c r="O590" s="20">
        <f>+M590-N590</f>
        <v>-500000000</v>
      </c>
      <c r="P590" s="20">
        <f>+H590-N590</f>
        <v>0</v>
      </c>
      <c r="Q590" s="20"/>
      <c r="R590" s="401" t="s">
        <v>440</v>
      </c>
      <c r="S590" s="401"/>
      <c r="T590" s="401"/>
      <c r="U590" s="401"/>
    </row>
    <row r="591" spans="1:28" hidden="1">
      <c r="A591" s="402" t="s">
        <v>520</v>
      </c>
      <c r="B591" s="402" t="s">
        <v>437</v>
      </c>
      <c r="C591" s="402" t="s">
        <v>302</v>
      </c>
      <c r="D591" s="11" t="s">
        <v>439</v>
      </c>
      <c r="E591" s="46"/>
      <c r="F591" s="11"/>
      <c r="G591" s="11"/>
      <c r="H591" s="11"/>
      <c r="I591" s="33"/>
      <c r="J591" s="98">
        <v>39372</v>
      </c>
      <c r="K591" s="11">
        <v>125000</v>
      </c>
      <c r="L591" s="11"/>
      <c r="M591" s="11">
        <v>1000</v>
      </c>
      <c r="N591" s="11">
        <v>0</v>
      </c>
      <c r="O591" s="11">
        <f>+M591-N591</f>
        <v>1000</v>
      </c>
      <c r="P591" s="11"/>
      <c r="Q591" s="11"/>
      <c r="R591" s="403" t="s">
        <v>777</v>
      </c>
      <c r="S591" s="403"/>
      <c r="T591" s="403"/>
      <c r="U591" s="403"/>
    </row>
    <row r="592" spans="1:28" hidden="1">
      <c r="A592" s="402" t="s">
        <v>521</v>
      </c>
      <c r="B592" s="402" t="s">
        <v>344</v>
      </c>
      <c r="C592" s="402" t="s">
        <v>438</v>
      </c>
      <c r="D592" s="14" t="s">
        <v>441</v>
      </c>
      <c r="E592" s="45">
        <v>37517</v>
      </c>
      <c r="F592" s="14">
        <v>15384</v>
      </c>
      <c r="G592" s="14">
        <f>+H592/F592</f>
        <v>32500</v>
      </c>
      <c r="H592" s="14">
        <v>499980000</v>
      </c>
      <c r="I592" s="28" t="s">
        <v>1064</v>
      </c>
      <c r="J592" s="97">
        <v>38352</v>
      </c>
      <c r="K592" s="14"/>
      <c r="L592" s="14"/>
      <c r="M592" s="14">
        <v>0</v>
      </c>
      <c r="N592" s="14">
        <v>499980000</v>
      </c>
      <c r="O592" s="14">
        <f>+M592-N592</f>
        <v>-499980000</v>
      </c>
      <c r="P592" s="14"/>
      <c r="Q592" s="14"/>
      <c r="R592" s="402" t="s">
        <v>440</v>
      </c>
      <c r="S592" s="402"/>
      <c r="T592" s="402"/>
      <c r="U592" s="402"/>
    </row>
    <row r="593" spans="1:21" hidden="1">
      <c r="A593" s="402" t="s">
        <v>521</v>
      </c>
      <c r="B593" s="402" t="s">
        <v>344</v>
      </c>
      <c r="C593" s="402" t="s">
        <v>438</v>
      </c>
      <c r="D593" s="11" t="s">
        <v>441</v>
      </c>
      <c r="E593" s="46"/>
      <c r="F593" s="11"/>
      <c r="G593" s="11"/>
      <c r="H593" s="11"/>
      <c r="I593" s="33"/>
      <c r="J593" s="98">
        <v>39079</v>
      </c>
      <c r="K593" s="11"/>
      <c r="L593" s="11"/>
      <c r="M593" s="11">
        <v>15000000</v>
      </c>
      <c r="N593" s="11">
        <v>0</v>
      </c>
      <c r="O593" s="11">
        <f t="shared" ref="O593:O659" si="42">+M593-N593</f>
        <v>15000000</v>
      </c>
      <c r="P593" s="11">
        <f>+SUM(H592:H593)-SUM(N592:N593)</f>
        <v>0</v>
      </c>
      <c r="Q593" s="11"/>
      <c r="R593" s="403"/>
      <c r="S593" s="403"/>
      <c r="T593" s="403"/>
      <c r="U593" s="403"/>
    </row>
    <row r="594" spans="1:21" hidden="1">
      <c r="A594" s="402" t="s">
        <v>521</v>
      </c>
      <c r="B594" s="402" t="s">
        <v>344</v>
      </c>
      <c r="C594" s="402" t="s">
        <v>442</v>
      </c>
      <c r="D594" s="14" t="s">
        <v>443</v>
      </c>
      <c r="E594" s="45">
        <v>37599</v>
      </c>
      <c r="F594" s="14"/>
      <c r="G594" s="14"/>
      <c r="H594" s="14">
        <v>1000000000</v>
      </c>
      <c r="I594" s="28" t="s">
        <v>444</v>
      </c>
      <c r="J594" s="97">
        <v>37711</v>
      </c>
      <c r="K594" s="14"/>
      <c r="L594" s="14"/>
      <c r="M594" s="14">
        <v>4602739</v>
      </c>
      <c r="N594" s="14">
        <v>0</v>
      </c>
      <c r="O594" s="14">
        <f t="shared" si="42"/>
        <v>4602739</v>
      </c>
      <c r="P594" s="14"/>
      <c r="Q594" s="14"/>
      <c r="R594" s="402" t="s">
        <v>445</v>
      </c>
      <c r="S594" s="402"/>
      <c r="T594" s="402"/>
      <c r="U594" s="402"/>
    </row>
    <row r="595" spans="1:21" hidden="1">
      <c r="A595" s="402" t="s">
        <v>521</v>
      </c>
      <c r="B595" s="402" t="s">
        <v>344</v>
      </c>
      <c r="C595" s="402" t="s">
        <v>442</v>
      </c>
      <c r="D595" s="14" t="s">
        <v>443</v>
      </c>
      <c r="E595" s="45"/>
      <c r="F595" s="14"/>
      <c r="G595" s="14"/>
      <c r="H595" s="14"/>
      <c r="I595" s="28"/>
      <c r="J595" s="97">
        <v>37802</v>
      </c>
      <c r="K595" s="14"/>
      <c r="L595" s="14"/>
      <c r="M595" s="14">
        <v>3750000</v>
      </c>
      <c r="N595" s="14"/>
      <c r="O595" s="14">
        <f t="shared" si="42"/>
        <v>3750000</v>
      </c>
      <c r="P595" s="14"/>
      <c r="Q595" s="14"/>
      <c r="R595" s="402" t="s">
        <v>445</v>
      </c>
      <c r="S595" s="402"/>
      <c r="T595" s="402"/>
      <c r="U595" s="402"/>
    </row>
    <row r="596" spans="1:21" hidden="1">
      <c r="A596" s="402" t="s">
        <v>521</v>
      </c>
      <c r="B596" s="402" t="s">
        <v>344</v>
      </c>
      <c r="C596" s="402" t="s">
        <v>442</v>
      </c>
      <c r="D596" s="14" t="s">
        <v>443</v>
      </c>
      <c r="E596" s="45"/>
      <c r="F596" s="14"/>
      <c r="G596" s="14"/>
      <c r="H596" s="14"/>
      <c r="I596" s="28"/>
      <c r="J596" s="97">
        <v>37895</v>
      </c>
      <c r="K596" s="14"/>
      <c r="L596" s="14"/>
      <c r="M596" s="14">
        <v>3751541</v>
      </c>
      <c r="N596" s="14"/>
      <c r="O596" s="14">
        <f t="shared" si="42"/>
        <v>3751541</v>
      </c>
      <c r="P596" s="14"/>
      <c r="Q596" s="14"/>
      <c r="R596" s="402" t="s">
        <v>445</v>
      </c>
      <c r="S596" s="402"/>
      <c r="T596" s="402"/>
      <c r="U596" s="402"/>
    </row>
    <row r="597" spans="1:21" hidden="1">
      <c r="A597" s="402" t="s">
        <v>521</v>
      </c>
      <c r="B597" s="402" t="s">
        <v>344</v>
      </c>
      <c r="C597" s="402" t="s">
        <v>442</v>
      </c>
      <c r="D597" s="14" t="s">
        <v>443</v>
      </c>
      <c r="E597" s="45"/>
      <c r="F597" s="14"/>
      <c r="G597" s="14"/>
      <c r="H597" s="14"/>
      <c r="I597" s="28"/>
      <c r="J597" s="97">
        <v>37985</v>
      </c>
      <c r="K597" s="14"/>
      <c r="L597" s="14"/>
      <c r="M597" s="14">
        <v>3751541</v>
      </c>
      <c r="N597" s="14"/>
      <c r="O597" s="14">
        <f t="shared" si="42"/>
        <v>3751541</v>
      </c>
      <c r="P597" s="14"/>
      <c r="Q597" s="14"/>
      <c r="R597" s="402" t="s">
        <v>445</v>
      </c>
      <c r="S597" s="402"/>
      <c r="T597" s="402"/>
      <c r="U597" s="402"/>
    </row>
    <row r="598" spans="1:21" hidden="1">
      <c r="A598" s="402" t="s">
        <v>521</v>
      </c>
      <c r="B598" s="402" t="s">
        <v>344</v>
      </c>
      <c r="C598" s="402" t="s">
        <v>442</v>
      </c>
      <c r="D598" s="14" t="s">
        <v>443</v>
      </c>
      <c r="E598" s="45"/>
      <c r="F598" s="14"/>
      <c r="G598" s="14"/>
      <c r="H598" s="14"/>
      <c r="I598" s="28"/>
      <c r="J598" s="97">
        <v>37986</v>
      </c>
      <c r="K598" s="14"/>
      <c r="L598" s="14" t="s">
        <v>446</v>
      </c>
      <c r="M598" s="14">
        <v>400000000</v>
      </c>
      <c r="N598" s="14">
        <v>400000000</v>
      </c>
      <c r="O598" s="14">
        <f t="shared" si="42"/>
        <v>0</v>
      </c>
      <c r="P598" s="14"/>
      <c r="Q598" s="14"/>
      <c r="R598" s="402" t="s">
        <v>447</v>
      </c>
      <c r="S598" s="402"/>
      <c r="T598" s="402"/>
      <c r="U598" s="402"/>
    </row>
    <row r="599" spans="1:21" hidden="1">
      <c r="A599" s="402" t="s">
        <v>521</v>
      </c>
      <c r="B599" s="402" t="s">
        <v>344</v>
      </c>
      <c r="C599" s="402" t="s">
        <v>442</v>
      </c>
      <c r="D599" s="14" t="s">
        <v>443</v>
      </c>
      <c r="E599" s="45"/>
      <c r="F599" s="14"/>
      <c r="G599" s="14"/>
      <c r="H599" s="14"/>
      <c r="I599" s="28"/>
      <c r="J599" s="97">
        <v>38077</v>
      </c>
      <c r="K599" s="14"/>
      <c r="L599" s="14"/>
      <c r="M599" s="14">
        <v>2293151</v>
      </c>
      <c r="N599" s="14">
        <v>0</v>
      </c>
      <c r="O599" s="14">
        <f t="shared" si="42"/>
        <v>2293151</v>
      </c>
      <c r="P599" s="14"/>
      <c r="Q599" s="14"/>
      <c r="R599" s="402" t="s">
        <v>445</v>
      </c>
      <c r="S599" s="402"/>
      <c r="T599" s="402"/>
      <c r="U599" s="402"/>
    </row>
    <row r="600" spans="1:21" hidden="1">
      <c r="A600" s="402" t="s">
        <v>521</v>
      </c>
      <c r="B600" s="402" t="s">
        <v>344</v>
      </c>
      <c r="C600" s="402" t="s">
        <v>442</v>
      </c>
      <c r="D600" s="14" t="s">
        <v>443</v>
      </c>
      <c r="E600" s="45"/>
      <c r="F600" s="14"/>
      <c r="G600" s="14"/>
      <c r="H600" s="14"/>
      <c r="I600" s="28"/>
      <c r="J600" s="97">
        <v>38168</v>
      </c>
      <c r="K600" s="14"/>
      <c r="L600" s="14"/>
      <c r="M600" s="14">
        <v>2243836</v>
      </c>
      <c r="N600" s="14">
        <v>0</v>
      </c>
      <c r="O600" s="14">
        <f t="shared" si="42"/>
        <v>2243836</v>
      </c>
      <c r="P600" s="14"/>
      <c r="Q600" s="14"/>
      <c r="R600" s="402" t="s">
        <v>445</v>
      </c>
      <c r="S600" s="402"/>
      <c r="T600" s="402"/>
      <c r="U600" s="402"/>
    </row>
    <row r="601" spans="1:21" hidden="1">
      <c r="A601" s="402" t="s">
        <v>521</v>
      </c>
      <c r="B601" s="402" t="s">
        <v>344</v>
      </c>
      <c r="C601" s="402" t="s">
        <v>442</v>
      </c>
      <c r="D601" s="14" t="s">
        <v>443</v>
      </c>
      <c r="E601" s="45"/>
      <c r="F601" s="14"/>
      <c r="G601" s="14"/>
      <c r="H601" s="14"/>
      <c r="I601" s="28"/>
      <c r="J601" s="97">
        <v>38309</v>
      </c>
      <c r="K601" s="14"/>
      <c r="L601" s="14"/>
      <c r="M601" s="14">
        <v>2314174</v>
      </c>
      <c r="N601" s="14"/>
      <c r="O601" s="14">
        <f t="shared" si="42"/>
        <v>2314174</v>
      </c>
      <c r="P601" s="14"/>
      <c r="Q601" s="14"/>
      <c r="R601" s="402" t="s">
        <v>445</v>
      </c>
      <c r="S601" s="402"/>
      <c r="T601" s="402"/>
      <c r="U601" s="402"/>
    </row>
    <row r="602" spans="1:21" hidden="1">
      <c r="A602" s="402" t="s">
        <v>521</v>
      </c>
      <c r="B602" s="402" t="s">
        <v>344</v>
      </c>
      <c r="C602" s="402" t="s">
        <v>442</v>
      </c>
      <c r="D602" s="14" t="s">
        <v>443</v>
      </c>
      <c r="E602" s="45"/>
      <c r="F602" s="14"/>
      <c r="G602" s="14"/>
      <c r="H602" s="14"/>
      <c r="I602" s="28"/>
      <c r="J602" s="97">
        <v>38352</v>
      </c>
      <c r="K602" s="14"/>
      <c r="L602" s="14"/>
      <c r="M602" s="14">
        <v>2268493</v>
      </c>
      <c r="N602" s="14"/>
      <c r="O602" s="14">
        <f t="shared" si="42"/>
        <v>2268493</v>
      </c>
      <c r="P602" s="14"/>
      <c r="Q602" s="14"/>
      <c r="R602" s="402" t="s">
        <v>445</v>
      </c>
      <c r="S602" s="402"/>
      <c r="T602" s="402"/>
      <c r="U602" s="402"/>
    </row>
    <row r="603" spans="1:21" hidden="1">
      <c r="A603" s="402" t="s">
        <v>521</v>
      </c>
      <c r="B603" s="402" t="s">
        <v>344</v>
      </c>
      <c r="C603" s="402" t="s">
        <v>442</v>
      </c>
      <c r="D603" s="14" t="s">
        <v>443</v>
      </c>
      <c r="E603" s="45"/>
      <c r="F603" s="14"/>
      <c r="G603" s="14"/>
      <c r="H603" s="14"/>
      <c r="I603" s="28"/>
      <c r="J603" s="97">
        <v>38763</v>
      </c>
      <c r="K603" s="14"/>
      <c r="L603" s="14"/>
      <c r="M603" s="14">
        <v>9029521</v>
      </c>
      <c r="N603" s="14"/>
      <c r="O603" s="14">
        <f t="shared" si="42"/>
        <v>9029521</v>
      </c>
      <c r="P603" s="14"/>
      <c r="Q603" s="14"/>
      <c r="R603" s="402"/>
      <c r="S603" s="402"/>
      <c r="T603" s="402"/>
      <c r="U603" s="402"/>
    </row>
    <row r="604" spans="1:21" hidden="1">
      <c r="A604" s="402" t="s">
        <v>521</v>
      </c>
      <c r="B604" s="402" t="s">
        <v>344</v>
      </c>
      <c r="C604" s="402" t="s">
        <v>442</v>
      </c>
      <c r="D604" s="11" t="s">
        <v>443</v>
      </c>
      <c r="E604" s="46"/>
      <c r="F604" s="11"/>
      <c r="G604" s="11"/>
      <c r="H604" s="11"/>
      <c r="I604" s="33"/>
      <c r="J604" s="98">
        <v>39184</v>
      </c>
      <c r="K604" s="11"/>
      <c r="L604" s="11"/>
      <c r="M604" s="11">
        <v>911567810</v>
      </c>
      <c r="N604" s="11">
        <v>600000000</v>
      </c>
      <c r="O604" s="11">
        <f t="shared" si="42"/>
        <v>311567810</v>
      </c>
      <c r="P604" s="11">
        <f>+SUM(H594:H604)-SUM(N594:N604)</f>
        <v>0</v>
      </c>
      <c r="Q604" s="11"/>
      <c r="R604" s="403" t="s">
        <v>448</v>
      </c>
      <c r="S604" s="403"/>
      <c r="T604" s="403"/>
      <c r="U604" s="403"/>
    </row>
    <row r="605" spans="1:21" hidden="1">
      <c r="A605" s="402" t="s">
        <v>521</v>
      </c>
      <c r="B605" s="402" t="s">
        <v>344</v>
      </c>
      <c r="C605" s="402" t="s">
        <v>438</v>
      </c>
      <c r="D605" s="14" t="s">
        <v>449</v>
      </c>
      <c r="E605" s="45">
        <v>37889</v>
      </c>
      <c r="F605" s="14">
        <v>250000</v>
      </c>
      <c r="G605" s="14">
        <v>4000</v>
      </c>
      <c r="H605" s="14">
        <f>+F605*G605</f>
        <v>1000000000</v>
      </c>
      <c r="I605" s="28" t="s">
        <v>969</v>
      </c>
      <c r="J605" s="426">
        <v>38856</v>
      </c>
      <c r="K605" s="427">
        <v>32000</v>
      </c>
      <c r="L605" s="14">
        <f>+M605/K605</f>
        <v>14944.285</v>
      </c>
      <c r="M605" s="89">
        <v>478217120</v>
      </c>
      <c r="N605" s="14">
        <v>140799991</v>
      </c>
      <c r="O605" s="14">
        <f t="shared" si="42"/>
        <v>337417129</v>
      </c>
      <c r="P605" s="14"/>
      <c r="Q605" s="14"/>
      <c r="R605" s="402"/>
      <c r="S605" s="402"/>
      <c r="T605" s="402"/>
      <c r="U605" s="402"/>
    </row>
    <row r="606" spans="1:21" hidden="1">
      <c r="A606" s="402" t="s">
        <v>521</v>
      </c>
      <c r="B606" s="402" t="s">
        <v>344</v>
      </c>
      <c r="C606" s="402" t="s">
        <v>438</v>
      </c>
      <c r="D606" s="14" t="s">
        <v>449</v>
      </c>
      <c r="E606" s="45">
        <v>38680</v>
      </c>
      <c r="F606" s="14">
        <v>90909</v>
      </c>
      <c r="G606" s="14">
        <v>5500</v>
      </c>
      <c r="H606" s="14">
        <f>+F606*G606</f>
        <v>499999500</v>
      </c>
      <c r="I606" s="28" t="s">
        <v>969</v>
      </c>
      <c r="J606" s="426">
        <v>38870</v>
      </c>
      <c r="K606" s="427">
        <v>31000</v>
      </c>
      <c r="L606" s="14">
        <f t="shared" ref="L606:L620" si="43">+M606/K606</f>
        <v>8887.4412903225802</v>
      </c>
      <c r="M606" s="89">
        <v>275510680</v>
      </c>
      <c r="N606" s="14">
        <v>136399991</v>
      </c>
      <c r="O606" s="14">
        <f t="shared" si="42"/>
        <v>139110689</v>
      </c>
      <c r="P606" s="14"/>
      <c r="Q606" s="14"/>
      <c r="R606" s="402"/>
      <c r="S606" s="402"/>
      <c r="T606" s="402"/>
      <c r="U606" s="402"/>
    </row>
    <row r="607" spans="1:21" hidden="1">
      <c r="A607" s="402" t="s">
        <v>521</v>
      </c>
      <c r="B607" s="402" t="s">
        <v>344</v>
      </c>
      <c r="C607" s="402" t="s">
        <v>438</v>
      </c>
      <c r="D607" s="14" t="s">
        <v>449</v>
      </c>
      <c r="E607" s="45"/>
      <c r="F607" s="14"/>
      <c r="G607" s="14"/>
      <c r="H607" s="14"/>
      <c r="I607" s="28"/>
      <c r="J607" s="426">
        <v>38933</v>
      </c>
      <c r="K607" s="427">
        <v>18274</v>
      </c>
      <c r="L607" s="14">
        <f t="shared" si="43"/>
        <v>8804.5671445769949</v>
      </c>
      <c r="M607" s="89">
        <v>160894660</v>
      </c>
      <c r="N607" s="14">
        <v>80405595</v>
      </c>
      <c r="O607" s="14">
        <f t="shared" si="42"/>
        <v>80489065</v>
      </c>
      <c r="P607" s="14"/>
      <c r="Q607" s="14"/>
      <c r="R607" s="402"/>
      <c r="S607" s="402"/>
      <c r="T607" s="402"/>
      <c r="U607" s="402"/>
    </row>
    <row r="608" spans="1:21" hidden="1">
      <c r="A608" s="402" t="s">
        <v>521</v>
      </c>
      <c r="B608" s="402" t="s">
        <v>344</v>
      </c>
      <c r="C608" s="402" t="s">
        <v>438</v>
      </c>
      <c r="D608" s="14" t="s">
        <v>449</v>
      </c>
      <c r="E608" s="45"/>
      <c r="F608" s="14"/>
      <c r="G608" s="14"/>
      <c r="H608" s="14"/>
      <c r="I608" s="28"/>
      <c r="J608" s="426">
        <v>38936</v>
      </c>
      <c r="K608" s="427">
        <v>2502</v>
      </c>
      <c r="L608" s="14">
        <f t="shared" si="43"/>
        <v>8832.0663469224619</v>
      </c>
      <c r="M608" s="89">
        <v>22097830</v>
      </c>
      <c r="N608" s="14">
        <v>11008799</v>
      </c>
      <c r="O608" s="14">
        <f t="shared" si="42"/>
        <v>11089031</v>
      </c>
      <c r="P608" s="14"/>
      <c r="Q608" s="14"/>
      <c r="R608" s="402"/>
      <c r="S608" s="402"/>
      <c r="T608" s="402"/>
      <c r="U608" s="402"/>
    </row>
    <row r="609" spans="1:21" hidden="1">
      <c r="A609" s="402" t="s">
        <v>521</v>
      </c>
      <c r="B609" s="402" t="s">
        <v>344</v>
      </c>
      <c r="C609" s="402" t="s">
        <v>438</v>
      </c>
      <c r="D609" s="14" t="s">
        <v>449</v>
      </c>
      <c r="E609" s="45"/>
      <c r="F609" s="14"/>
      <c r="G609" s="14"/>
      <c r="H609" s="14"/>
      <c r="I609" s="28"/>
      <c r="J609" s="426">
        <v>38938</v>
      </c>
      <c r="K609" s="427">
        <v>9993</v>
      </c>
      <c r="L609" s="14">
        <f t="shared" si="43"/>
        <v>8807.0219153407379</v>
      </c>
      <c r="M609" s="89">
        <v>88008570</v>
      </c>
      <c r="N609" s="14">
        <v>43969197</v>
      </c>
      <c r="O609" s="14">
        <f t="shared" si="42"/>
        <v>44039373</v>
      </c>
      <c r="P609" s="14"/>
      <c r="Q609" s="14"/>
      <c r="R609" s="402"/>
      <c r="S609" s="402"/>
      <c r="T609" s="402"/>
      <c r="U609" s="402"/>
    </row>
    <row r="610" spans="1:21" hidden="1">
      <c r="A610" s="402" t="s">
        <v>521</v>
      </c>
      <c r="B610" s="402" t="s">
        <v>344</v>
      </c>
      <c r="C610" s="402" t="s">
        <v>438</v>
      </c>
      <c r="D610" s="14" t="s">
        <v>449</v>
      </c>
      <c r="E610" s="45"/>
      <c r="F610" s="14"/>
      <c r="G610" s="14"/>
      <c r="H610" s="14"/>
      <c r="I610" s="28"/>
      <c r="J610" s="426">
        <v>38939</v>
      </c>
      <c r="K610" s="427">
        <v>21410</v>
      </c>
      <c r="L610" s="14">
        <f t="shared" si="43"/>
        <v>8940.3334890238202</v>
      </c>
      <c r="M610" s="89">
        <v>191412540</v>
      </c>
      <c r="N610" s="14">
        <v>94203994</v>
      </c>
      <c r="O610" s="14">
        <f t="shared" si="42"/>
        <v>97208546</v>
      </c>
      <c r="P610" s="14"/>
      <c r="Q610" s="14"/>
      <c r="R610" s="402"/>
      <c r="S610" s="402"/>
      <c r="T610" s="402"/>
      <c r="U610" s="402"/>
    </row>
    <row r="611" spans="1:21" hidden="1">
      <c r="A611" s="402" t="s">
        <v>521</v>
      </c>
      <c r="B611" s="402" t="s">
        <v>344</v>
      </c>
      <c r="C611" s="402" t="s">
        <v>438</v>
      </c>
      <c r="D611" s="14" t="s">
        <v>449</v>
      </c>
      <c r="E611" s="45"/>
      <c r="F611" s="14"/>
      <c r="G611" s="14"/>
      <c r="H611" s="14"/>
      <c r="I611" s="28"/>
      <c r="J611" s="426">
        <v>38951</v>
      </c>
      <c r="K611" s="427">
        <v>35968</v>
      </c>
      <c r="L611" s="14">
        <f t="shared" si="43"/>
        <v>9519.0085631672591</v>
      </c>
      <c r="M611" s="89">
        <v>342379700</v>
      </c>
      <c r="N611" s="14">
        <v>158259189</v>
      </c>
      <c r="O611" s="14">
        <f t="shared" si="42"/>
        <v>184120511</v>
      </c>
      <c r="P611" s="14"/>
      <c r="Q611" s="14"/>
      <c r="R611" s="402"/>
      <c r="S611" s="402"/>
      <c r="T611" s="402"/>
      <c r="U611" s="402"/>
    </row>
    <row r="612" spans="1:21" hidden="1">
      <c r="A612" s="402" t="s">
        <v>521</v>
      </c>
      <c r="B612" s="402" t="s">
        <v>344</v>
      </c>
      <c r="C612" s="402" t="s">
        <v>438</v>
      </c>
      <c r="D612" s="14" t="s">
        <v>449</v>
      </c>
      <c r="E612" s="45"/>
      <c r="F612" s="14"/>
      <c r="G612" s="14"/>
      <c r="H612" s="14"/>
      <c r="I612" s="28"/>
      <c r="J612" s="426">
        <v>38954</v>
      </c>
      <c r="K612" s="427">
        <v>1707</v>
      </c>
      <c r="L612" s="14">
        <f t="shared" si="43"/>
        <v>9517.8441710603402</v>
      </c>
      <c r="M612" s="89">
        <v>16246960</v>
      </c>
      <c r="N612" s="14">
        <v>7510799</v>
      </c>
      <c r="O612" s="14">
        <f t="shared" si="42"/>
        <v>8736161</v>
      </c>
      <c r="P612" s="14"/>
      <c r="Q612" s="14"/>
      <c r="R612" s="402"/>
      <c r="S612" s="402"/>
      <c r="T612" s="402"/>
      <c r="U612" s="402"/>
    </row>
    <row r="613" spans="1:21" hidden="1">
      <c r="A613" s="402" t="s">
        <v>521</v>
      </c>
      <c r="B613" s="402" t="s">
        <v>344</v>
      </c>
      <c r="C613" s="402" t="s">
        <v>438</v>
      </c>
      <c r="D613" s="14" t="s">
        <v>449</v>
      </c>
      <c r="E613" s="45"/>
      <c r="F613" s="14"/>
      <c r="G613" s="14"/>
      <c r="H613" s="14"/>
      <c r="I613" s="28"/>
      <c r="J613" s="426">
        <v>38957</v>
      </c>
      <c r="K613" s="427">
        <v>45210</v>
      </c>
      <c r="L613" s="14">
        <f t="shared" si="43"/>
        <v>10555.435301924354</v>
      </c>
      <c r="M613" s="89">
        <v>477211230</v>
      </c>
      <c r="N613" s="14">
        <v>198923987</v>
      </c>
      <c r="O613" s="14">
        <f t="shared" si="42"/>
        <v>278287243</v>
      </c>
      <c r="P613" s="14"/>
      <c r="Q613" s="14"/>
      <c r="R613" s="402"/>
      <c r="S613" s="402"/>
      <c r="T613" s="402"/>
      <c r="U613" s="402"/>
    </row>
    <row r="614" spans="1:21" hidden="1">
      <c r="A614" s="402" t="s">
        <v>521</v>
      </c>
      <c r="B614" s="402" t="s">
        <v>344</v>
      </c>
      <c r="C614" s="402" t="s">
        <v>438</v>
      </c>
      <c r="D614" s="14" t="s">
        <v>449</v>
      </c>
      <c r="E614" s="45"/>
      <c r="F614" s="14"/>
      <c r="G614" s="14"/>
      <c r="H614" s="14"/>
      <c r="I614" s="28"/>
      <c r="J614" s="426">
        <v>38958</v>
      </c>
      <c r="K614" s="427">
        <v>37635</v>
      </c>
      <c r="L614" s="14">
        <f t="shared" si="43"/>
        <v>12032.648864089279</v>
      </c>
      <c r="M614" s="89">
        <v>452848740</v>
      </c>
      <c r="N614" s="14">
        <v>165593989</v>
      </c>
      <c r="O614" s="14">
        <f t="shared" si="42"/>
        <v>287254751</v>
      </c>
      <c r="P614" s="14"/>
      <c r="Q614" s="14"/>
      <c r="R614" s="402"/>
      <c r="S614" s="402"/>
      <c r="T614" s="402"/>
      <c r="U614" s="402"/>
    </row>
    <row r="615" spans="1:21" hidden="1">
      <c r="A615" s="402" t="s">
        <v>521</v>
      </c>
      <c r="B615" s="402" t="s">
        <v>344</v>
      </c>
      <c r="C615" s="402" t="s">
        <v>438</v>
      </c>
      <c r="D615" s="14" t="s">
        <v>449</v>
      </c>
      <c r="E615" s="45"/>
      <c r="F615" s="14"/>
      <c r="G615" s="14"/>
      <c r="H615" s="14"/>
      <c r="I615" s="28"/>
      <c r="J615" s="426">
        <v>38967</v>
      </c>
      <c r="K615" s="427">
        <v>29947</v>
      </c>
      <c r="L615" s="14">
        <f t="shared" si="43"/>
        <v>12243.758640264467</v>
      </c>
      <c r="M615" s="89">
        <v>366663840</v>
      </c>
      <c r="N615" s="14">
        <v>131766791</v>
      </c>
      <c r="O615" s="14">
        <f t="shared" si="42"/>
        <v>234897049</v>
      </c>
      <c r="P615" s="14"/>
      <c r="Q615" s="14"/>
      <c r="R615" s="402"/>
      <c r="S615" s="402"/>
      <c r="T615" s="402"/>
      <c r="U615" s="402"/>
    </row>
    <row r="616" spans="1:21" hidden="1">
      <c r="A616" s="402" t="s">
        <v>521</v>
      </c>
      <c r="B616" s="402" t="s">
        <v>344</v>
      </c>
      <c r="C616" s="402" t="s">
        <v>438</v>
      </c>
      <c r="D616" s="14" t="s">
        <v>449</v>
      </c>
      <c r="E616" s="45"/>
      <c r="F616" s="14"/>
      <c r="G616" s="14"/>
      <c r="H616" s="14"/>
      <c r="I616" s="28"/>
      <c r="J616" s="426">
        <v>38980</v>
      </c>
      <c r="K616" s="427">
        <v>19000</v>
      </c>
      <c r="L616" s="14">
        <f t="shared" si="43"/>
        <v>13019.85947368421</v>
      </c>
      <c r="M616" s="89">
        <v>247377330</v>
      </c>
      <c r="N616" s="14">
        <v>83599994</v>
      </c>
      <c r="O616" s="14">
        <f t="shared" si="42"/>
        <v>163777336</v>
      </c>
      <c r="P616" s="14"/>
      <c r="Q616" s="14"/>
      <c r="R616" s="402"/>
      <c r="S616" s="402"/>
      <c r="T616" s="402"/>
      <c r="U616" s="402"/>
    </row>
    <row r="617" spans="1:21" hidden="1">
      <c r="A617" s="402" t="s">
        <v>521</v>
      </c>
      <c r="B617" s="402" t="s">
        <v>344</v>
      </c>
      <c r="C617" s="402" t="s">
        <v>438</v>
      </c>
      <c r="D617" s="14" t="s">
        <v>449</v>
      </c>
      <c r="E617" s="45"/>
      <c r="F617" s="14"/>
      <c r="G617" s="14"/>
      <c r="H617" s="14"/>
      <c r="I617" s="28"/>
      <c r="J617" s="426">
        <v>38981</v>
      </c>
      <c r="K617" s="427">
        <v>18631</v>
      </c>
      <c r="L617" s="14">
        <f t="shared" si="43"/>
        <v>13044.644946594386</v>
      </c>
      <c r="M617" s="89">
        <v>243034780</v>
      </c>
      <c r="N617" s="14">
        <v>81976395</v>
      </c>
      <c r="O617" s="14">
        <f t="shared" si="42"/>
        <v>161058385</v>
      </c>
      <c r="P617" s="14"/>
      <c r="Q617" s="14"/>
      <c r="R617" s="402"/>
      <c r="S617" s="402"/>
      <c r="T617" s="402"/>
      <c r="U617" s="402"/>
    </row>
    <row r="618" spans="1:21" hidden="1">
      <c r="A618" s="402" t="s">
        <v>521</v>
      </c>
      <c r="B618" s="402" t="s">
        <v>344</v>
      </c>
      <c r="C618" s="402" t="s">
        <v>438</v>
      </c>
      <c r="D618" s="14" t="s">
        <v>449</v>
      </c>
      <c r="E618" s="45"/>
      <c r="F618" s="14"/>
      <c r="G618" s="14"/>
      <c r="H618" s="14"/>
      <c r="I618" s="28"/>
      <c r="J618" s="426">
        <v>38987</v>
      </c>
      <c r="K618" s="427">
        <v>15053</v>
      </c>
      <c r="L618" s="14">
        <f t="shared" si="43"/>
        <v>13585.74636285126</v>
      </c>
      <c r="M618" s="89">
        <v>204506240</v>
      </c>
      <c r="N618" s="14">
        <v>66233196</v>
      </c>
      <c r="O618" s="14">
        <f t="shared" si="42"/>
        <v>138273044</v>
      </c>
      <c r="P618" s="14"/>
      <c r="Q618" s="14"/>
      <c r="R618" s="402"/>
      <c r="S618" s="402"/>
      <c r="T618" s="402"/>
      <c r="U618" s="402"/>
    </row>
    <row r="619" spans="1:21" hidden="1">
      <c r="A619" s="402" t="s">
        <v>521</v>
      </c>
      <c r="B619" s="402" t="s">
        <v>344</v>
      </c>
      <c r="C619" s="402" t="s">
        <v>438</v>
      </c>
      <c r="D619" s="11" t="s">
        <v>449</v>
      </c>
      <c r="E619" s="46"/>
      <c r="F619" s="11"/>
      <c r="G619" s="11"/>
      <c r="H619" s="11"/>
      <c r="I619" s="33"/>
      <c r="J619" s="428">
        <v>38989</v>
      </c>
      <c r="K619" s="429">
        <v>22579</v>
      </c>
      <c r="L619" s="11">
        <f t="shared" si="43"/>
        <v>14044.422250763984</v>
      </c>
      <c r="M619" s="90">
        <v>317109010</v>
      </c>
      <c r="N619" s="11">
        <v>99347593</v>
      </c>
      <c r="O619" s="11">
        <f t="shared" si="42"/>
        <v>217761417</v>
      </c>
      <c r="P619" s="11">
        <f>+SUM(H605:H619)-SUM(N605:N619)</f>
        <v>0</v>
      </c>
      <c r="Q619" s="11"/>
      <c r="R619" s="403"/>
      <c r="S619" s="403"/>
      <c r="T619" s="403"/>
      <c r="U619" s="403"/>
    </row>
    <row r="620" spans="1:21" hidden="1">
      <c r="A620" s="402" t="s">
        <v>521</v>
      </c>
      <c r="B620" s="402" t="s">
        <v>344</v>
      </c>
      <c r="C620" s="402" t="s">
        <v>438</v>
      </c>
      <c r="D620" s="15" t="s">
        <v>443</v>
      </c>
      <c r="E620" s="42">
        <v>37986</v>
      </c>
      <c r="F620" s="15">
        <f>+H620/G620</f>
        <v>142857.14285714287</v>
      </c>
      <c r="G620" s="15">
        <v>2800</v>
      </c>
      <c r="H620" s="15">
        <v>400000000</v>
      </c>
      <c r="I620" s="17" t="s">
        <v>969</v>
      </c>
      <c r="J620" s="103">
        <v>39184</v>
      </c>
      <c r="K620" s="15">
        <v>285714</v>
      </c>
      <c r="L620" s="15">
        <f t="shared" si="43"/>
        <v>1709.5143745143746</v>
      </c>
      <c r="M620" s="15">
        <v>488432190</v>
      </c>
      <c r="N620" s="15">
        <v>402290410</v>
      </c>
      <c r="O620" s="15">
        <f t="shared" si="42"/>
        <v>86141780</v>
      </c>
      <c r="P620" s="15">
        <f>+H620-N620</f>
        <v>-2290410</v>
      </c>
      <c r="Q620" s="15"/>
      <c r="R620" s="405"/>
      <c r="S620" s="405"/>
      <c r="T620" s="405"/>
      <c r="U620" s="405"/>
    </row>
    <row r="621" spans="1:21" hidden="1">
      <c r="A621" s="402" t="s">
        <v>521</v>
      </c>
      <c r="B621" s="402" t="s">
        <v>344</v>
      </c>
      <c r="C621" s="402" t="s">
        <v>450</v>
      </c>
      <c r="D621" s="14" t="s">
        <v>451</v>
      </c>
      <c r="E621" s="45">
        <v>37985</v>
      </c>
      <c r="F621" s="14"/>
      <c r="G621" s="14"/>
      <c r="H621" s="14">
        <v>520000000</v>
      </c>
      <c r="I621" s="28" t="s">
        <v>963</v>
      </c>
      <c r="J621" s="97">
        <v>38708</v>
      </c>
      <c r="K621" s="14"/>
      <c r="L621" s="14"/>
      <c r="M621" s="14">
        <v>3000</v>
      </c>
      <c r="N621" s="14">
        <v>3000</v>
      </c>
      <c r="O621" s="14">
        <f t="shared" si="42"/>
        <v>0</v>
      </c>
      <c r="P621" s="14"/>
      <c r="Q621" s="14"/>
      <c r="R621" s="402"/>
      <c r="S621" s="402"/>
      <c r="T621" s="402"/>
      <c r="U621" s="402"/>
    </row>
    <row r="622" spans="1:21" hidden="1">
      <c r="A622" s="402" t="s">
        <v>521</v>
      </c>
      <c r="B622" s="402" t="s">
        <v>344</v>
      </c>
      <c r="C622" s="402" t="s">
        <v>450</v>
      </c>
      <c r="D622" s="14" t="s">
        <v>451</v>
      </c>
      <c r="E622" s="45"/>
      <c r="F622" s="14"/>
      <c r="G622" s="14"/>
      <c r="H622" s="14"/>
      <c r="I622" s="28"/>
      <c r="J622" s="97">
        <v>39112</v>
      </c>
      <c r="K622" s="14">
        <v>46000</v>
      </c>
      <c r="L622" s="14">
        <f>+M622/K622</f>
        <v>5777.8746086956526</v>
      </c>
      <c r="M622" s="14">
        <v>265782232</v>
      </c>
      <c r="N622" s="14">
        <v>418603864</v>
      </c>
      <c r="O622" s="14">
        <f t="shared" si="42"/>
        <v>-152821632</v>
      </c>
      <c r="P622" s="14"/>
      <c r="Q622" s="14"/>
      <c r="R622" s="402" t="s">
        <v>452</v>
      </c>
      <c r="S622" s="402"/>
      <c r="T622" s="402"/>
      <c r="U622" s="402"/>
    </row>
    <row r="623" spans="1:21" hidden="1">
      <c r="A623" s="402" t="s">
        <v>521</v>
      </c>
      <c r="B623" s="402" t="s">
        <v>344</v>
      </c>
      <c r="C623" s="402" t="s">
        <v>450</v>
      </c>
      <c r="D623" s="11" t="s">
        <v>451</v>
      </c>
      <c r="E623" s="46"/>
      <c r="F623" s="11"/>
      <c r="G623" s="11"/>
      <c r="H623" s="11"/>
      <c r="I623" s="33"/>
      <c r="J623" s="98">
        <v>39114</v>
      </c>
      <c r="K623" s="11">
        <v>11142</v>
      </c>
      <c r="L623" s="11">
        <f>+M623/K623</f>
        <v>5476.900017950099</v>
      </c>
      <c r="M623" s="11">
        <v>61023620</v>
      </c>
      <c r="N623" s="11">
        <v>101393136</v>
      </c>
      <c r="O623" s="11">
        <f t="shared" si="42"/>
        <v>-40369516</v>
      </c>
      <c r="P623" s="11">
        <f>+SUM(H621:H623)-SUM(N621:N623)</f>
        <v>0</v>
      </c>
      <c r="Q623" s="11"/>
      <c r="R623" s="403" t="s">
        <v>352</v>
      </c>
      <c r="S623" s="403"/>
      <c r="T623" s="403"/>
      <c r="U623" s="403"/>
    </row>
    <row r="624" spans="1:21" hidden="1">
      <c r="A624" s="402" t="s">
        <v>521</v>
      </c>
      <c r="B624" s="402" t="s">
        <v>344</v>
      </c>
      <c r="C624" s="402" t="s">
        <v>438</v>
      </c>
      <c r="D624" s="15" t="s">
        <v>453</v>
      </c>
      <c r="E624" s="42">
        <v>38117</v>
      </c>
      <c r="F624" s="15">
        <v>68000</v>
      </c>
      <c r="G624" s="15">
        <f>+H624/F624</f>
        <v>7500</v>
      </c>
      <c r="H624" s="15">
        <v>510000000</v>
      </c>
      <c r="I624" s="17" t="s">
        <v>997</v>
      </c>
      <c r="J624" s="103">
        <v>38490</v>
      </c>
      <c r="K624" s="15">
        <v>113333</v>
      </c>
      <c r="L624" s="15">
        <v>4500</v>
      </c>
      <c r="M624" s="15">
        <v>510000000</v>
      </c>
      <c r="N624" s="15">
        <v>510000000</v>
      </c>
      <c r="O624" s="15">
        <f t="shared" si="42"/>
        <v>0</v>
      </c>
      <c r="P624" s="11">
        <f>+H624-N624</f>
        <v>0</v>
      </c>
      <c r="Q624" s="15"/>
      <c r="R624" s="405" t="s">
        <v>949</v>
      </c>
      <c r="S624" s="405" t="s">
        <v>1062</v>
      </c>
      <c r="T624" s="405"/>
      <c r="U624" s="405"/>
    </row>
    <row r="625" spans="1:21" hidden="1">
      <c r="A625" s="402" t="s">
        <v>521</v>
      </c>
      <c r="B625" s="402" t="s">
        <v>344</v>
      </c>
      <c r="C625" s="402" t="s">
        <v>454</v>
      </c>
      <c r="D625" s="14" t="s">
        <v>455</v>
      </c>
      <c r="E625" s="45">
        <v>38267</v>
      </c>
      <c r="F625" s="14"/>
      <c r="G625" s="14"/>
      <c r="H625" s="14">
        <v>500000000</v>
      </c>
      <c r="I625" s="28" t="s">
        <v>456</v>
      </c>
      <c r="J625" s="97">
        <v>38377</v>
      </c>
      <c r="K625" s="14"/>
      <c r="L625" s="14"/>
      <c r="M625" s="14">
        <v>3013690</v>
      </c>
      <c r="N625" s="14">
        <v>0</v>
      </c>
      <c r="O625" s="14">
        <f t="shared" si="42"/>
        <v>3013690</v>
      </c>
      <c r="P625" s="14"/>
      <c r="Q625" s="14"/>
      <c r="R625" s="402" t="s">
        <v>457</v>
      </c>
      <c r="S625" s="402"/>
      <c r="T625" s="402"/>
      <c r="U625" s="402"/>
    </row>
    <row r="626" spans="1:21" hidden="1">
      <c r="A626" s="402" t="s">
        <v>521</v>
      </c>
      <c r="B626" s="402" t="s">
        <v>344</v>
      </c>
      <c r="C626" s="402" t="s">
        <v>454</v>
      </c>
      <c r="D626" s="14" t="s">
        <v>455</v>
      </c>
      <c r="E626" s="45"/>
      <c r="F626" s="14"/>
      <c r="G626" s="14"/>
      <c r="H626" s="14"/>
      <c r="I626" s="28"/>
      <c r="J626" s="97">
        <v>38467</v>
      </c>
      <c r="K626" s="14"/>
      <c r="L626" s="14"/>
      <c r="M626" s="14">
        <v>2465750</v>
      </c>
      <c r="N626" s="14">
        <v>0</v>
      </c>
      <c r="O626" s="14">
        <f>+M626-N626</f>
        <v>2465750</v>
      </c>
      <c r="P626" s="14"/>
      <c r="Q626" s="14"/>
      <c r="R626" s="402"/>
      <c r="S626" s="402"/>
      <c r="T626" s="402"/>
      <c r="U626" s="402"/>
    </row>
    <row r="627" spans="1:21" hidden="1">
      <c r="A627" s="402" t="s">
        <v>521</v>
      </c>
      <c r="B627" s="402" t="s">
        <v>344</v>
      </c>
      <c r="C627" s="402" t="s">
        <v>454</v>
      </c>
      <c r="D627" s="14" t="s">
        <v>455</v>
      </c>
      <c r="E627" s="45"/>
      <c r="F627" s="14"/>
      <c r="G627" s="14"/>
      <c r="H627" s="14"/>
      <c r="I627" s="28"/>
      <c r="J627" s="97">
        <v>38558</v>
      </c>
      <c r="K627" s="14"/>
      <c r="L627" s="14"/>
      <c r="M627" s="14">
        <v>2493150</v>
      </c>
      <c r="N627" s="14"/>
      <c r="O627" s="14">
        <f t="shared" ref="O627:O634" si="44">+M627-N627</f>
        <v>2493150</v>
      </c>
      <c r="P627" s="14"/>
      <c r="Q627" s="14"/>
      <c r="R627" s="402"/>
      <c r="S627" s="402"/>
      <c r="T627" s="402"/>
      <c r="U627" s="402"/>
    </row>
    <row r="628" spans="1:21" hidden="1">
      <c r="A628" s="402" t="s">
        <v>521</v>
      </c>
      <c r="B628" s="402" t="s">
        <v>344</v>
      </c>
      <c r="C628" s="402" t="s">
        <v>454</v>
      </c>
      <c r="D628" s="14" t="s">
        <v>455</v>
      </c>
      <c r="E628" s="45"/>
      <c r="F628" s="14"/>
      <c r="G628" s="14"/>
      <c r="H628" s="14"/>
      <c r="I628" s="28"/>
      <c r="J628" s="97">
        <v>38650</v>
      </c>
      <c r="K628" s="14"/>
      <c r="L628" s="14"/>
      <c r="M628" s="14">
        <v>2520540</v>
      </c>
      <c r="N628" s="14"/>
      <c r="O628" s="14">
        <f t="shared" si="44"/>
        <v>2520540</v>
      </c>
      <c r="P628" s="14"/>
      <c r="Q628" s="14"/>
      <c r="R628" s="402"/>
      <c r="S628" s="402"/>
      <c r="T628" s="402"/>
      <c r="U628" s="402"/>
    </row>
    <row r="629" spans="1:21" hidden="1">
      <c r="A629" s="402" t="s">
        <v>521</v>
      </c>
      <c r="B629" s="402" t="s">
        <v>344</v>
      </c>
      <c r="C629" s="402" t="s">
        <v>454</v>
      </c>
      <c r="D629" s="14" t="s">
        <v>455</v>
      </c>
      <c r="E629" s="45"/>
      <c r="F629" s="14"/>
      <c r="G629" s="14"/>
      <c r="H629" s="14"/>
      <c r="I629" s="28"/>
      <c r="J629" s="97">
        <v>38742</v>
      </c>
      <c r="K629" s="14"/>
      <c r="L629" s="14"/>
      <c r="M629" s="14">
        <v>2520540</v>
      </c>
      <c r="N629" s="14"/>
      <c r="O629" s="14">
        <f t="shared" si="44"/>
        <v>2520540</v>
      </c>
      <c r="P629" s="14"/>
      <c r="Q629" s="14"/>
      <c r="R629" s="402"/>
      <c r="S629" s="402"/>
      <c r="T629" s="402"/>
      <c r="U629" s="402"/>
    </row>
    <row r="630" spans="1:21" hidden="1">
      <c r="A630" s="402" t="s">
        <v>521</v>
      </c>
      <c r="B630" s="402" t="s">
        <v>344</v>
      </c>
      <c r="C630" s="402" t="s">
        <v>454</v>
      </c>
      <c r="D630" s="14" t="s">
        <v>455</v>
      </c>
      <c r="E630" s="45"/>
      <c r="F630" s="14"/>
      <c r="G630" s="14"/>
      <c r="H630" s="14"/>
      <c r="I630" s="28"/>
      <c r="J630" s="97">
        <v>38832</v>
      </c>
      <c r="K630" s="14"/>
      <c r="L630" s="14"/>
      <c r="M630" s="14">
        <v>2465750</v>
      </c>
      <c r="N630" s="14"/>
      <c r="O630" s="14">
        <f t="shared" si="44"/>
        <v>2465750</v>
      </c>
      <c r="P630" s="14"/>
      <c r="Q630" s="14"/>
      <c r="R630" s="402"/>
      <c r="S630" s="402"/>
      <c r="T630" s="402"/>
      <c r="U630" s="402"/>
    </row>
    <row r="631" spans="1:21" hidden="1">
      <c r="A631" s="402" t="s">
        <v>521</v>
      </c>
      <c r="B631" s="402" t="s">
        <v>344</v>
      </c>
      <c r="C631" s="402" t="s">
        <v>454</v>
      </c>
      <c r="D631" s="14" t="s">
        <v>455</v>
      </c>
      <c r="E631" s="45"/>
      <c r="F631" s="14"/>
      <c r="G631" s="14"/>
      <c r="H631" s="14"/>
      <c r="I631" s="28"/>
      <c r="J631" s="97">
        <v>39015</v>
      </c>
      <c r="K631" s="14"/>
      <c r="L631" s="14"/>
      <c r="M631" s="14">
        <f>2493151+113114+2520548</f>
        <v>5126813</v>
      </c>
      <c r="N631" s="14"/>
      <c r="O631" s="14">
        <f t="shared" si="44"/>
        <v>5126813</v>
      </c>
      <c r="P631" s="14"/>
      <c r="Q631" s="14"/>
      <c r="R631" s="402"/>
      <c r="S631" s="402"/>
      <c r="T631" s="402"/>
      <c r="U631" s="402"/>
    </row>
    <row r="632" spans="1:21" hidden="1">
      <c r="A632" s="402" t="s">
        <v>521</v>
      </c>
      <c r="B632" s="402" t="s">
        <v>344</v>
      </c>
      <c r="C632" s="402" t="s">
        <v>454</v>
      </c>
      <c r="D632" s="14" t="s">
        <v>455</v>
      </c>
      <c r="E632" s="45"/>
      <c r="F632" s="14"/>
      <c r="G632" s="14"/>
      <c r="H632" s="14"/>
      <c r="I632" s="28"/>
      <c r="J632" s="97">
        <v>39107</v>
      </c>
      <c r="K632" s="14"/>
      <c r="L632" s="14"/>
      <c r="M632" s="14">
        <v>2520540</v>
      </c>
      <c r="N632" s="14"/>
      <c r="O632" s="14">
        <f t="shared" si="44"/>
        <v>2520540</v>
      </c>
      <c r="P632" s="14"/>
      <c r="Q632" s="14"/>
      <c r="R632" s="402"/>
      <c r="S632" s="402"/>
      <c r="T632" s="402"/>
      <c r="U632" s="402"/>
    </row>
    <row r="633" spans="1:21" hidden="1">
      <c r="A633" s="402" t="s">
        <v>521</v>
      </c>
      <c r="B633" s="402" t="s">
        <v>344</v>
      </c>
      <c r="C633" s="402" t="s">
        <v>454</v>
      </c>
      <c r="D633" s="14" t="s">
        <v>455</v>
      </c>
      <c r="E633" s="45"/>
      <c r="F633" s="14"/>
      <c r="G633" s="14"/>
      <c r="H633" s="14"/>
      <c r="I633" s="28"/>
      <c r="J633" s="97">
        <v>39174</v>
      </c>
      <c r="K633" s="14"/>
      <c r="L633" s="14"/>
      <c r="M633" s="14">
        <v>1808219</v>
      </c>
      <c r="N633" s="14"/>
      <c r="O633" s="14">
        <f t="shared" si="44"/>
        <v>1808219</v>
      </c>
      <c r="P633" s="14"/>
      <c r="Q633" s="14"/>
      <c r="R633" s="402"/>
      <c r="S633" s="402"/>
      <c r="T633" s="402"/>
      <c r="U633" s="402"/>
    </row>
    <row r="634" spans="1:21" hidden="1">
      <c r="A634" s="402" t="s">
        <v>521</v>
      </c>
      <c r="B634" s="402" t="s">
        <v>344</v>
      </c>
      <c r="C634" s="402" t="s">
        <v>454</v>
      </c>
      <c r="D634" s="11" t="s">
        <v>455</v>
      </c>
      <c r="E634" s="46"/>
      <c r="F634" s="11"/>
      <c r="G634" s="11"/>
      <c r="H634" s="11"/>
      <c r="I634" s="33"/>
      <c r="J634" s="98">
        <v>39230</v>
      </c>
      <c r="K634" s="11"/>
      <c r="L634" s="11"/>
      <c r="M634" s="11">
        <v>596626532</v>
      </c>
      <c r="N634" s="11">
        <v>500000000</v>
      </c>
      <c r="O634" s="11">
        <f t="shared" si="44"/>
        <v>96626532</v>
      </c>
      <c r="P634" s="11">
        <f>+SUM(H625:H634)-SUM(N625:N634)</f>
        <v>0</v>
      </c>
      <c r="Q634" s="11"/>
      <c r="R634" s="403" t="s">
        <v>458</v>
      </c>
      <c r="S634" s="403"/>
      <c r="T634" s="403"/>
      <c r="U634" s="403"/>
    </row>
    <row r="635" spans="1:21" hidden="1">
      <c r="A635" s="402" t="s">
        <v>521</v>
      </c>
      <c r="B635" s="402" t="s">
        <v>344</v>
      </c>
      <c r="C635" s="402" t="s">
        <v>454</v>
      </c>
      <c r="D635" s="14" t="s">
        <v>459</v>
      </c>
      <c r="E635" s="45">
        <v>38321</v>
      </c>
      <c r="F635" s="14"/>
      <c r="G635" s="14"/>
      <c r="H635" s="14">
        <v>1200000000</v>
      </c>
      <c r="I635" s="28" t="s">
        <v>460</v>
      </c>
      <c r="J635" s="97">
        <v>38436</v>
      </c>
      <c r="K635" s="14"/>
      <c r="L635" s="14"/>
      <c r="M635" s="14">
        <v>7561644</v>
      </c>
      <c r="N635" s="14">
        <v>0</v>
      </c>
      <c r="O635" s="14">
        <f t="shared" si="42"/>
        <v>7561644</v>
      </c>
      <c r="P635" s="14"/>
      <c r="Q635" s="14"/>
      <c r="R635" s="402" t="s">
        <v>457</v>
      </c>
      <c r="S635" s="402"/>
      <c r="T635" s="402"/>
      <c r="U635" s="402"/>
    </row>
    <row r="636" spans="1:21" hidden="1">
      <c r="A636" s="402" t="s">
        <v>521</v>
      </c>
      <c r="B636" s="402" t="s">
        <v>344</v>
      </c>
      <c r="C636" s="402" t="s">
        <v>454</v>
      </c>
      <c r="D636" s="14" t="s">
        <v>459</v>
      </c>
      <c r="E636" s="45"/>
      <c r="F636" s="14"/>
      <c r="G636" s="14"/>
      <c r="H636" s="14"/>
      <c r="I636" s="28"/>
      <c r="J636" s="97">
        <v>38497</v>
      </c>
      <c r="K636" s="14"/>
      <c r="L636" s="14"/>
      <c r="M636" s="14">
        <v>4010959</v>
      </c>
      <c r="N636" s="14">
        <v>0</v>
      </c>
      <c r="O636" s="14">
        <f t="shared" si="42"/>
        <v>4010959</v>
      </c>
      <c r="P636" s="14"/>
      <c r="Q636" s="14"/>
      <c r="R636" s="402"/>
      <c r="S636" s="402"/>
      <c r="T636" s="402"/>
      <c r="U636" s="402"/>
    </row>
    <row r="637" spans="1:21" hidden="1">
      <c r="A637" s="402" t="s">
        <v>521</v>
      </c>
      <c r="B637" s="402" t="s">
        <v>344</v>
      </c>
      <c r="C637" s="402" t="s">
        <v>454</v>
      </c>
      <c r="D637" s="14" t="s">
        <v>459</v>
      </c>
      <c r="E637" s="45"/>
      <c r="F637" s="14"/>
      <c r="G637" s="14"/>
      <c r="H637" s="14"/>
      <c r="I637" s="28"/>
      <c r="J637" s="97">
        <v>38589</v>
      </c>
      <c r="K637" s="14"/>
      <c r="L637" s="14"/>
      <c r="M637" s="14">
        <v>6049315</v>
      </c>
      <c r="N637" s="14">
        <v>0</v>
      </c>
      <c r="O637" s="14">
        <f t="shared" si="42"/>
        <v>6049315</v>
      </c>
      <c r="P637" s="14"/>
      <c r="Q637" s="14"/>
      <c r="R637" s="402"/>
      <c r="S637" s="402"/>
      <c r="T637" s="402"/>
      <c r="U637" s="402"/>
    </row>
    <row r="638" spans="1:21" hidden="1">
      <c r="A638" s="402" t="s">
        <v>521</v>
      </c>
      <c r="B638" s="402" t="s">
        <v>344</v>
      </c>
      <c r="C638" s="402" t="s">
        <v>454</v>
      </c>
      <c r="D638" s="14" t="s">
        <v>459</v>
      </c>
      <c r="E638" s="45"/>
      <c r="F638" s="14"/>
      <c r="G638" s="14"/>
      <c r="H638" s="14"/>
      <c r="I638" s="28"/>
      <c r="J638" s="97">
        <v>38681</v>
      </c>
      <c r="K638" s="14"/>
      <c r="L638" s="14"/>
      <c r="M638" s="14">
        <v>6049315</v>
      </c>
      <c r="N638" s="14">
        <v>0</v>
      </c>
      <c r="O638" s="14">
        <f t="shared" si="42"/>
        <v>6049315</v>
      </c>
      <c r="P638" s="14"/>
      <c r="Q638" s="14"/>
      <c r="R638" s="402"/>
      <c r="S638" s="402"/>
      <c r="T638" s="402"/>
      <c r="U638" s="402"/>
    </row>
    <row r="639" spans="1:21" hidden="1">
      <c r="A639" s="402" t="s">
        <v>521</v>
      </c>
      <c r="B639" s="402" t="s">
        <v>344</v>
      </c>
      <c r="C639" s="402" t="s">
        <v>454</v>
      </c>
      <c r="D639" s="14" t="s">
        <v>459</v>
      </c>
      <c r="E639" s="45"/>
      <c r="F639" s="14"/>
      <c r="G639" s="14"/>
      <c r="H639" s="14"/>
      <c r="I639" s="28"/>
      <c r="J639" s="97">
        <v>38898</v>
      </c>
      <c r="K639" s="14"/>
      <c r="L639" s="14"/>
      <c r="M639" s="14">
        <v>0</v>
      </c>
      <c r="N639" s="14">
        <v>360000000</v>
      </c>
      <c r="O639" s="14">
        <f t="shared" si="42"/>
        <v>-360000000</v>
      </c>
      <c r="P639" s="14"/>
      <c r="Q639" s="14"/>
      <c r="R639" s="402" t="s">
        <v>461</v>
      </c>
      <c r="S639" s="402"/>
      <c r="T639" s="402"/>
      <c r="U639" s="402"/>
    </row>
    <row r="640" spans="1:21" hidden="1">
      <c r="A640" s="402" t="s">
        <v>521</v>
      </c>
      <c r="B640" s="402" t="s">
        <v>344</v>
      </c>
      <c r="C640" s="402" t="s">
        <v>454</v>
      </c>
      <c r="D640" s="14" t="s">
        <v>459</v>
      </c>
      <c r="E640" s="45"/>
      <c r="F640" s="14"/>
      <c r="G640" s="14"/>
      <c r="H640" s="14"/>
      <c r="I640" s="28"/>
      <c r="J640" s="97">
        <v>39029</v>
      </c>
      <c r="K640" s="14"/>
      <c r="L640" s="14"/>
      <c r="M640" s="14">
        <v>410000000</v>
      </c>
      <c r="N640" s="14">
        <v>335934539</v>
      </c>
      <c r="O640" s="14">
        <f t="shared" si="42"/>
        <v>74065461</v>
      </c>
      <c r="P640" s="14"/>
      <c r="Q640" s="14"/>
      <c r="R640" s="402"/>
      <c r="S640" s="402"/>
      <c r="T640" s="402"/>
      <c r="U640" s="402"/>
    </row>
    <row r="641" spans="1:21" hidden="1">
      <c r="A641" s="402" t="s">
        <v>521</v>
      </c>
      <c r="B641" s="402" t="s">
        <v>344</v>
      </c>
      <c r="C641" s="402" t="s">
        <v>454</v>
      </c>
      <c r="D641" s="14" t="s">
        <v>459</v>
      </c>
      <c r="E641" s="45"/>
      <c r="F641" s="14"/>
      <c r="G641" s="14"/>
      <c r="H641" s="14"/>
      <c r="I641" s="28"/>
      <c r="J641" s="97">
        <v>39082</v>
      </c>
      <c r="K641" s="14"/>
      <c r="L641" s="14"/>
      <c r="M641" s="14">
        <v>0</v>
      </c>
      <c r="N641" s="14">
        <v>504065461</v>
      </c>
      <c r="O641" s="14">
        <f t="shared" si="42"/>
        <v>-504065461</v>
      </c>
      <c r="P641" s="14">
        <f>+SUM(H635:H641)-SUM(N635:N641)</f>
        <v>0</v>
      </c>
      <c r="Q641" s="14"/>
      <c r="R641" s="402" t="s">
        <v>461</v>
      </c>
      <c r="S641" s="402"/>
      <c r="T641" s="402"/>
      <c r="U641" s="402"/>
    </row>
    <row r="642" spans="1:21" hidden="1">
      <c r="A642" s="402" t="s">
        <v>520</v>
      </c>
      <c r="B642" s="402" t="s">
        <v>344</v>
      </c>
      <c r="C642" s="402" t="s">
        <v>279</v>
      </c>
      <c r="D642" s="11" t="s">
        <v>459</v>
      </c>
      <c r="E642" s="46"/>
      <c r="F642" s="11"/>
      <c r="G642" s="11"/>
      <c r="H642" s="11"/>
      <c r="I642" s="33"/>
      <c r="J642" s="98">
        <v>39372</v>
      </c>
      <c r="K642" s="11"/>
      <c r="L642" s="11"/>
      <c r="M642" s="11">
        <v>1000</v>
      </c>
      <c r="N642" s="11">
        <v>0</v>
      </c>
      <c r="O642" s="11">
        <f t="shared" si="42"/>
        <v>1000</v>
      </c>
      <c r="P642" s="11"/>
      <c r="Q642" s="11"/>
      <c r="R642" s="403" t="s">
        <v>779</v>
      </c>
      <c r="S642" s="403"/>
      <c r="T642" s="403"/>
      <c r="U642" s="403"/>
    </row>
    <row r="643" spans="1:21" hidden="1">
      <c r="A643" s="402" t="s">
        <v>521</v>
      </c>
      <c r="B643" s="402" t="s">
        <v>344</v>
      </c>
      <c r="C643" s="402" t="s">
        <v>462</v>
      </c>
      <c r="D643" s="14" t="s">
        <v>463</v>
      </c>
      <c r="E643" s="45">
        <v>38078</v>
      </c>
      <c r="F643" s="14">
        <v>40000</v>
      </c>
      <c r="G643" s="14">
        <f>+H643/F643</f>
        <v>10200</v>
      </c>
      <c r="H643" s="14">
        <v>408000000</v>
      </c>
      <c r="I643" s="28" t="s">
        <v>963</v>
      </c>
      <c r="J643" s="97">
        <v>38132</v>
      </c>
      <c r="K643" s="14">
        <v>20000</v>
      </c>
      <c r="L643" s="14">
        <f>+M643/K643</f>
        <v>14652</v>
      </c>
      <c r="M643" s="14">
        <v>293040000</v>
      </c>
      <c r="N643" s="14">
        <v>204000000</v>
      </c>
      <c r="O643" s="14">
        <f t="shared" si="42"/>
        <v>89040000</v>
      </c>
      <c r="P643" s="14"/>
      <c r="Q643" s="14"/>
      <c r="R643" s="402" t="s">
        <v>464</v>
      </c>
      <c r="S643" s="402" t="s">
        <v>1060</v>
      </c>
      <c r="T643" s="402"/>
      <c r="U643" s="402"/>
    </row>
    <row r="644" spans="1:21" hidden="1">
      <c r="A644" s="402" t="s">
        <v>521</v>
      </c>
      <c r="B644" s="402" t="s">
        <v>344</v>
      </c>
      <c r="C644" s="402" t="s">
        <v>462</v>
      </c>
      <c r="D644" s="11" t="s">
        <v>463</v>
      </c>
      <c r="E644" s="46"/>
      <c r="F644" s="11"/>
      <c r="G644" s="11"/>
      <c r="H644" s="11"/>
      <c r="I644" s="33"/>
      <c r="J644" s="98">
        <v>38132</v>
      </c>
      <c r="K644" s="11">
        <v>20000</v>
      </c>
      <c r="L644" s="11">
        <f>+M644/K644</f>
        <v>14652</v>
      </c>
      <c r="M644" s="11">
        <v>293040000</v>
      </c>
      <c r="N644" s="11">
        <v>204000000</v>
      </c>
      <c r="O644" s="11">
        <f t="shared" si="42"/>
        <v>89040000</v>
      </c>
      <c r="P644" s="11">
        <f>+SUM(H643:H644)-SUM(N643:N644)</f>
        <v>0</v>
      </c>
      <c r="Q644" s="11"/>
      <c r="R644" s="403" t="s">
        <v>464</v>
      </c>
      <c r="S644" s="403" t="s">
        <v>1061</v>
      </c>
      <c r="T644" s="403"/>
      <c r="U644" s="403"/>
    </row>
    <row r="645" spans="1:21" hidden="1">
      <c r="A645" s="402" t="s">
        <v>521</v>
      </c>
      <c r="B645" s="402" t="s">
        <v>344</v>
      </c>
      <c r="C645" s="402" t="s">
        <v>462</v>
      </c>
      <c r="D645" s="14" t="s">
        <v>465</v>
      </c>
      <c r="E645" s="45">
        <v>38351</v>
      </c>
      <c r="F645" s="14"/>
      <c r="G645" s="14"/>
      <c r="H645" s="14">
        <v>1099989000</v>
      </c>
      <c r="I645" s="28" t="s">
        <v>1029</v>
      </c>
      <c r="J645" s="97">
        <v>39188</v>
      </c>
      <c r="K645" s="14"/>
      <c r="L645" s="14"/>
      <c r="M645" s="14">
        <v>279080649</v>
      </c>
      <c r="N645" s="14">
        <v>279080649</v>
      </c>
      <c r="O645" s="14">
        <f t="shared" si="42"/>
        <v>0</v>
      </c>
      <c r="P645" s="14"/>
      <c r="Q645" s="14"/>
      <c r="R645" s="402"/>
      <c r="S645" s="402"/>
      <c r="T645" s="402"/>
      <c r="U645" s="402"/>
    </row>
    <row r="646" spans="1:21" hidden="1">
      <c r="A646" s="402" t="s">
        <v>521</v>
      </c>
      <c r="B646" s="402" t="s">
        <v>344</v>
      </c>
      <c r="C646" s="402" t="s">
        <v>462</v>
      </c>
      <c r="D646" s="14" t="s">
        <v>465</v>
      </c>
      <c r="E646" s="45"/>
      <c r="F646" s="14"/>
      <c r="G646" s="14"/>
      <c r="H646" s="14"/>
      <c r="I646" s="28"/>
      <c r="J646" s="97">
        <v>39189</v>
      </c>
      <c r="K646" s="14"/>
      <c r="L646" s="14"/>
      <c r="M646" s="14">
        <v>500344072</v>
      </c>
      <c r="N646" s="14">
        <v>500344072</v>
      </c>
      <c r="O646" s="14">
        <f t="shared" si="42"/>
        <v>0</v>
      </c>
      <c r="P646" s="14"/>
      <c r="Q646" s="14"/>
      <c r="R646" s="402"/>
      <c r="S646" s="402"/>
      <c r="T646" s="402"/>
      <c r="U646" s="402"/>
    </row>
    <row r="647" spans="1:21" hidden="1">
      <c r="A647" s="402" t="s">
        <v>521</v>
      </c>
      <c r="B647" s="402" t="s">
        <v>344</v>
      </c>
      <c r="C647" s="402" t="s">
        <v>462</v>
      </c>
      <c r="D647" s="11" t="s">
        <v>465</v>
      </c>
      <c r="E647" s="46"/>
      <c r="F647" s="11"/>
      <c r="G647" s="11"/>
      <c r="H647" s="11"/>
      <c r="I647" s="33"/>
      <c r="J647" s="98">
        <v>39204</v>
      </c>
      <c r="K647" s="11"/>
      <c r="L647" s="11"/>
      <c r="M647" s="11">
        <v>339320819</v>
      </c>
      <c r="N647" s="11">
        <v>320564279</v>
      </c>
      <c r="O647" s="11">
        <f t="shared" si="42"/>
        <v>18756540</v>
      </c>
      <c r="P647" s="11">
        <f>+SUM(H645:H647)-SUM(N645:N647)</f>
        <v>0</v>
      </c>
      <c r="Q647" s="11"/>
      <c r="R647" s="403"/>
      <c r="S647" s="403"/>
      <c r="T647" s="403"/>
      <c r="U647" s="403"/>
    </row>
    <row r="648" spans="1:21" hidden="1">
      <c r="A648" s="402" t="s">
        <v>521</v>
      </c>
      <c r="B648" s="402" t="s">
        <v>344</v>
      </c>
      <c r="C648" s="402" t="s">
        <v>466</v>
      </c>
      <c r="D648" s="14" t="s">
        <v>467</v>
      </c>
      <c r="E648" s="45">
        <v>38533</v>
      </c>
      <c r="F648" s="14">
        <v>400000</v>
      </c>
      <c r="G648" s="14">
        <f>+H648/F648</f>
        <v>2500</v>
      </c>
      <c r="H648" s="14">
        <v>1000000000</v>
      </c>
      <c r="I648" s="28" t="s">
        <v>997</v>
      </c>
      <c r="J648" s="426">
        <v>39297</v>
      </c>
      <c r="K648" s="427">
        <v>4000</v>
      </c>
      <c r="L648" s="427">
        <v>18005</v>
      </c>
      <c r="M648" s="89">
        <v>71932380</v>
      </c>
      <c r="N648" s="14">
        <f>+K648*$G$648</f>
        <v>10000000</v>
      </c>
      <c r="O648" s="14">
        <f t="shared" si="42"/>
        <v>61932380</v>
      </c>
      <c r="P648" s="14"/>
      <c r="Q648" s="14"/>
      <c r="R648" s="402"/>
      <c r="S648" s="402"/>
      <c r="T648" s="402"/>
      <c r="U648" s="402"/>
    </row>
    <row r="649" spans="1:21" hidden="1">
      <c r="A649" s="402" t="s">
        <v>521</v>
      </c>
      <c r="B649" s="402" t="s">
        <v>344</v>
      </c>
      <c r="C649" s="402" t="s">
        <v>466</v>
      </c>
      <c r="D649" s="14" t="s">
        <v>467</v>
      </c>
      <c r="E649" s="45"/>
      <c r="F649" s="14"/>
      <c r="G649" s="14"/>
      <c r="H649" s="14"/>
      <c r="I649" s="28"/>
      <c r="J649" s="426">
        <v>39307</v>
      </c>
      <c r="K649" s="427">
        <v>5000</v>
      </c>
      <c r="L649" s="427">
        <v>17490</v>
      </c>
      <c r="M649" s="89">
        <v>87345060</v>
      </c>
      <c r="N649" s="14">
        <f t="shared" ref="N649:N656" si="45">+K649*$G$648</f>
        <v>12500000</v>
      </c>
      <c r="O649" s="14">
        <f t="shared" si="42"/>
        <v>74845060</v>
      </c>
      <c r="P649" s="14"/>
      <c r="Q649" s="14"/>
      <c r="R649" s="402"/>
      <c r="S649" s="402"/>
      <c r="T649" s="402"/>
      <c r="U649" s="402"/>
    </row>
    <row r="650" spans="1:21" hidden="1">
      <c r="A650" s="402" t="s">
        <v>521</v>
      </c>
      <c r="B650" s="402" t="s">
        <v>344</v>
      </c>
      <c r="C650" s="402" t="s">
        <v>466</v>
      </c>
      <c r="D650" s="14" t="s">
        <v>467</v>
      </c>
      <c r="E650" s="45"/>
      <c r="F650" s="14"/>
      <c r="G650" s="14"/>
      <c r="H650" s="14"/>
      <c r="I650" s="28"/>
      <c r="J650" s="426">
        <v>39308</v>
      </c>
      <c r="K650" s="427">
        <v>6000</v>
      </c>
      <c r="L650" s="427">
        <v>16500</v>
      </c>
      <c r="M650" s="89">
        <v>98882200</v>
      </c>
      <c r="N650" s="14">
        <f t="shared" si="45"/>
        <v>15000000</v>
      </c>
      <c r="O650" s="14">
        <f t="shared" si="42"/>
        <v>83882200</v>
      </c>
      <c r="P650" s="14"/>
      <c r="Q650" s="14"/>
      <c r="R650" s="402"/>
      <c r="S650" s="402"/>
      <c r="T650" s="402"/>
      <c r="U650" s="402"/>
    </row>
    <row r="651" spans="1:21" hidden="1">
      <c r="A651" s="402" t="s">
        <v>521</v>
      </c>
      <c r="B651" s="402" t="s">
        <v>344</v>
      </c>
      <c r="C651" s="402" t="s">
        <v>466</v>
      </c>
      <c r="D651" s="14" t="s">
        <v>467</v>
      </c>
      <c r="E651" s="45"/>
      <c r="F651" s="14"/>
      <c r="G651" s="14"/>
      <c r="H651" s="14"/>
      <c r="I651" s="28"/>
      <c r="J651" s="426">
        <v>39322</v>
      </c>
      <c r="K651" s="427">
        <v>25000</v>
      </c>
      <c r="L651" s="427">
        <v>14703</v>
      </c>
      <c r="M651" s="89">
        <v>367289890</v>
      </c>
      <c r="N651" s="14">
        <f t="shared" si="45"/>
        <v>62500000</v>
      </c>
      <c r="O651" s="14">
        <f t="shared" si="42"/>
        <v>304789890</v>
      </c>
      <c r="P651" s="14"/>
      <c r="Q651" s="14"/>
      <c r="R651" s="402"/>
      <c r="S651" s="402"/>
      <c r="T651" s="402"/>
      <c r="U651" s="402"/>
    </row>
    <row r="652" spans="1:21" hidden="1">
      <c r="A652" s="402" t="s">
        <v>521</v>
      </c>
      <c r="B652" s="402" t="s">
        <v>344</v>
      </c>
      <c r="C652" s="402" t="s">
        <v>466</v>
      </c>
      <c r="D652" s="14" t="s">
        <v>467</v>
      </c>
      <c r="E652" s="45"/>
      <c r="F652" s="14"/>
      <c r="G652" s="14"/>
      <c r="H652" s="14"/>
      <c r="I652" s="28"/>
      <c r="J652" s="426">
        <v>39322</v>
      </c>
      <c r="K652" s="427">
        <v>17191</v>
      </c>
      <c r="L652" s="427">
        <v>14720</v>
      </c>
      <c r="M652" s="89">
        <v>252792905</v>
      </c>
      <c r="N652" s="14">
        <f t="shared" si="45"/>
        <v>42977500</v>
      </c>
      <c r="O652" s="14">
        <f t="shared" si="42"/>
        <v>209815405</v>
      </c>
      <c r="P652" s="14"/>
      <c r="Q652" s="14"/>
      <c r="R652" s="402"/>
      <c r="S652" s="402"/>
      <c r="T652" s="402"/>
      <c r="U652" s="402"/>
    </row>
    <row r="653" spans="1:21" hidden="1">
      <c r="A653" s="402" t="s">
        <v>521</v>
      </c>
      <c r="B653" s="402" t="s">
        <v>344</v>
      </c>
      <c r="C653" s="402" t="s">
        <v>466</v>
      </c>
      <c r="D653" s="14" t="s">
        <v>467</v>
      </c>
      <c r="E653" s="45"/>
      <c r="F653" s="14"/>
      <c r="G653" s="14"/>
      <c r="H653" s="14"/>
      <c r="I653" s="28"/>
      <c r="J653" s="426">
        <v>39356</v>
      </c>
      <c r="K653" s="427">
        <v>175848</v>
      </c>
      <c r="L653" s="427">
        <v>11812</v>
      </c>
      <c r="M653" s="89">
        <v>2075374372</v>
      </c>
      <c r="N653" s="14">
        <f t="shared" si="45"/>
        <v>439620000</v>
      </c>
      <c r="O653" s="14">
        <f t="shared" si="42"/>
        <v>1635754372</v>
      </c>
      <c r="P653" s="14"/>
      <c r="Q653" s="14"/>
      <c r="R653" s="402"/>
      <c r="S653" s="402"/>
      <c r="T653" s="402"/>
      <c r="U653" s="402"/>
    </row>
    <row r="654" spans="1:21" hidden="1">
      <c r="A654" s="402" t="s">
        <v>521</v>
      </c>
      <c r="B654" s="402" t="s">
        <v>344</v>
      </c>
      <c r="C654" s="402" t="s">
        <v>466</v>
      </c>
      <c r="D654" s="14" t="s">
        <v>467</v>
      </c>
      <c r="E654" s="45"/>
      <c r="F654" s="14"/>
      <c r="G654" s="14"/>
      <c r="H654" s="14"/>
      <c r="I654" s="28"/>
      <c r="J654" s="426">
        <v>39364</v>
      </c>
      <c r="K654" s="427">
        <v>52106</v>
      </c>
      <c r="L654" s="427">
        <v>12227</v>
      </c>
      <c r="M654" s="89">
        <v>636578980</v>
      </c>
      <c r="N654" s="14">
        <f t="shared" si="45"/>
        <v>130265000</v>
      </c>
      <c r="O654" s="14">
        <f t="shared" si="42"/>
        <v>506313980</v>
      </c>
      <c r="P654" s="14"/>
      <c r="Q654" s="14"/>
      <c r="R654" s="402"/>
      <c r="S654" s="402"/>
      <c r="T654" s="402"/>
      <c r="U654" s="402"/>
    </row>
    <row r="655" spans="1:21" hidden="1">
      <c r="A655" s="402" t="s">
        <v>521</v>
      </c>
      <c r="B655" s="402" t="s">
        <v>344</v>
      </c>
      <c r="C655" s="402" t="s">
        <v>466</v>
      </c>
      <c r="D655" s="14" t="s">
        <v>467</v>
      </c>
      <c r="E655" s="45"/>
      <c r="F655" s="14"/>
      <c r="G655" s="14"/>
      <c r="H655" s="14"/>
      <c r="I655" s="28"/>
      <c r="J655" s="426">
        <v>39365</v>
      </c>
      <c r="K655" s="427">
        <v>28699</v>
      </c>
      <c r="L655" s="427">
        <v>11889</v>
      </c>
      <c r="M655" s="89">
        <v>340928989</v>
      </c>
      <c r="N655" s="14">
        <f t="shared" si="45"/>
        <v>71747500</v>
      </c>
      <c r="O655" s="14">
        <f t="shared" si="42"/>
        <v>269181489</v>
      </c>
      <c r="P655" s="14"/>
      <c r="Q655" s="14"/>
      <c r="R655" s="402"/>
      <c r="S655" s="402"/>
      <c r="T655" s="402"/>
      <c r="U655" s="402"/>
    </row>
    <row r="656" spans="1:21" hidden="1">
      <c r="A656" s="402" t="s">
        <v>521</v>
      </c>
      <c r="B656" s="402" t="s">
        <v>344</v>
      </c>
      <c r="C656" s="402" t="s">
        <v>466</v>
      </c>
      <c r="D656" s="11" t="s">
        <v>467</v>
      </c>
      <c r="E656" s="46"/>
      <c r="F656" s="11"/>
      <c r="G656" s="11"/>
      <c r="H656" s="11"/>
      <c r="I656" s="33"/>
      <c r="J656" s="428">
        <v>39366</v>
      </c>
      <c r="K656" s="429">
        <v>86156</v>
      </c>
      <c r="L656" s="429">
        <v>12076</v>
      </c>
      <c r="M656" s="90">
        <v>1039575724</v>
      </c>
      <c r="N656" s="11">
        <f t="shared" si="45"/>
        <v>215390000</v>
      </c>
      <c r="O656" s="11">
        <f t="shared" si="42"/>
        <v>824185724</v>
      </c>
      <c r="P656" s="11">
        <f>+SUM(H648:H656)-SUM(N648:N656)</f>
        <v>0</v>
      </c>
      <c r="Q656" s="11"/>
      <c r="R656" s="403"/>
      <c r="S656" s="403"/>
      <c r="T656" s="403"/>
      <c r="U656" s="403"/>
    </row>
    <row r="657" spans="1:21" hidden="1">
      <c r="A657" s="402" t="s">
        <v>893</v>
      </c>
      <c r="B657" s="402" t="s">
        <v>344</v>
      </c>
      <c r="C657" s="402" t="s">
        <v>841</v>
      </c>
      <c r="D657" s="14" t="s">
        <v>950</v>
      </c>
      <c r="E657" s="45">
        <v>38406</v>
      </c>
      <c r="F657" s="14">
        <v>0</v>
      </c>
      <c r="G657" s="14">
        <v>0</v>
      </c>
      <c r="H657" s="14">
        <v>1000000000</v>
      </c>
      <c r="I657" s="28" t="s">
        <v>951</v>
      </c>
      <c r="J657" s="97">
        <v>38667</v>
      </c>
      <c r="K657" s="14"/>
      <c r="L657" s="14"/>
      <c r="M657" s="14">
        <v>2218</v>
      </c>
      <c r="N657" s="14"/>
      <c r="O657" s="14"/>
      <c r="P657" s="14"/>
      <c r="Q657" s="14"/>
      <c r="R657" s="402" t="s">
        <v>952</v>
      </c>
      <c r="S657" s="402"/>
      <c r="T657" s="402"/>
      <c r="U657" s="402"/>
    </row>
    <row r="658" spans="1:21" hidden="1">
      <c r="A658" s="402" t="s">
        <v>953</v>
      </c>
      <c r="B658" s="402" t="s">
        <v>344</v>
      </c>
      <c r="C658" s="402" t="s">
        <v>954</v>
      </c>
      <c r="D658" s="11" t="s">
        <v>955</v>
      </c>
      <c r="E658" s="46">
        <v>38667</v>
      </c>
      <c r="F658" s="11">
        <v>137627</v>
      </c>
      <c r="G658" s="11">
        <v>0</v>
      </c>
      <c r="H658" s="11">
        <v>0</v>
      </c>
      <c r="I658" s="33" t="s">
        <v>956</v>
      </c>
      <c r="J658" s="417">
        <v>38681</v>
      </c>
      <c r="K658" s="11">
        <v>137627</v>
      </c>
      <c r="L658" s="11">
        <v>9000</v>
      </c>
      <c r="M658" s="11">
        <f>+K658*L658</f>
        <v>1238643000</v>
      </c>
      <c r="N658" s="11">
        <v>999997782</v>
      </c>
      <c r="O658" s="11">
        <f>+M658-N658</f>
        <v>238645218</v>
      </c>
      <c r="P658" s="11"/>
      <c r="Q658" s="11"/>
      <c r="R658" s="403" t="s">
        <v>957</v>
      </c>
      <c r="S658" s="403" t="s">
        <v>1063</v>
      </c>
      <c r="T658" s="403"/>
      <c r="U658" s="403"/>
    </row>
    <row r="659" spans="1:21" hidden="1">
      <c r="A659" s="402" t="s">
        <v>521</v>
      </c>
      <c r="B659" s="402" t="s">
        <v>344</v>
      </c>
      <c r="C659" s="402" t="s">
        <v>462</v>
      </c>
      <c r="D659" s="14" t="s">
        <v>469</v>
      </c>
      <c r="E659" s="45">
        <v>38384</v>
      </c>
      <c r="F659" s="14">
        <f>4000+6000+10000+6500</f>
        <v>26500</v>
      </c>
      <c r="G659" s="14">
        <f>+H659/F659</f>
        <v>44113.207547169812</v>
      </c>
      <c r="H659" s="14">
        <f>176000000+264000000+443000000+286000000</f>
        <v>1169000000</v>
      </c>
      <c r="I659" s="28" t="s">
        <v>963</v>
      </c>
      <c r="J659" s="93"/>
      <c r="K659" s="14"/>
      <c r="L659" s="14"/>
      <c r="M659" s="14">
        <v>639</v>
      </c>
      <c r="N659" s="14">
        <v>639</v>
      </c>
      <c r="O659" s="14">
        <f t="shared" si="42"/>
        <v>0</v>
      </c>
      <c r="P659" s="14"/>
      <c r="Q659" s="14"/>
      <c r="R659" s="402"/>
      <c r="S659" s="402"/>
      <c r="T659" s="402"/>
      <c r="U659" s="402"/>
    </row>
    <row r="660" spans="1:21" hidden="1">
      <c r="A660" s="402" t="s">
        <v>521</v>
      </c>
      <c r="B660" s="402" t="s">
        <v>344</v>
      </c>
      <c r="C660" s="402" t="s">
        <v>462</v>
      </c>
      <c r="D660" s="14" t="s">
        <v>469</v>
      </c>
      <c r="E660" s="45"/>
      <c r="F660" s="14">
        <v>508471</v>
      </c>
      <c r="G660" s="14"/>
      <c r="H660" s="14"/>
      <c r="I660" s="28"/>
      <c r="J660" s="426">
        <v>39217</v>
      </c>
      <c r="K660" s="427">
        <v>227399</v>
      </c>
      <c r="L660" s="427">
        <v>3226</v>
      </c>
      <c r="M660" s="89">
        <v>730900554</v>
      </c>
      <c r="N660" s="14">
        <v>496904105</v>
      </c>
      <c r="O660" s="14">
        <f t="shared" ref="O660:O668" si="46">+M660-N660</f>
        <v>233996449</v>
      </c>
      <c r="P660" s="14"/>
      <c r="Q660" s="14"/>
      <c r="R660" s="402"/>
      <c r="S660" s="402"/>
      <c r="T660" s="402"/>
      <c r="U660" s="402"/>
    </row>
    <row r="661" spans="1:21" hidden="1">
      <c r="A661" s="31" t="s">
        <v>521</v>
      </c>
      <c r="B661" s="31" t="s">
        <v>344</v>
      </c>
      <c r="C661" s="31" t="s">
        <v>462</v>
      </c>
      <c r="D661" s="14" t="s">
        <v>469</v>
      </c>
      <c r="E661" s="45"/>
      <c r="F661" s="14"/>
      <c r="G661" s="14"/>
      <c r="H661" s="14"/>
      <c r="I661" s="28"/>
      <c r="J661" s="104">
        <v>39218</v>
      </c>
      <c r="K661" s="87">
        <v>55576</v>
      </c>
      <c r="L661" s="87">
        <v>3031</v>
      </c>
      <c r="M661" s="89">
        <v>167759393</v>
      </c>
      <c r="N661" s="14">
        <v>121442674</v>
      </c>
      <c r="O661" s="14">
        <f t="shared" si="46"/>
        <v>46316719</v>
      </c>
      <c r="P661" s="14"/>
      <c r="Q661" s="14"/>
      <c r="R661" s="31"/>
      <c r="S661" s="402"/>
      <c r="T661" s="31"/>
      <c r="U661" s="31"/>
    </row>
    <row r="662" spans="1:21" hidden="1">
      <c r="A662" s="31" t="s">
        <v>521</v>
      </c>
      <c r="B662" s="31" t="s">
        <v>344</v>
      </c>
      <c r="C662" s="31" t="s">
        <v>462</v>
      </c>
      <c r="D662" s="14" t="s">
        <v>469</v>
      </c>
      <c r="E662" s="45"/>
      <c r="F662" s="14"/>
      <c r="G662" s="14"/>
      <c r="H662" s="14"/>
      <c r="I662" s="28"/>
      <c r="J662" s="104">
        <v>39220</v>
      </c>
      <c r="K662" s="87">
        <v>70000</v>
      </c>
      <c r="L662" s="87">
        <v>2507</v>
      </c>
      <c r="M662" s="89">
        <v>174802099</v>
      </c>
      <c r="N662" s="14">
        <v>152961479</v>
      </c>
      <c r="O662" s="14">
        <f t="shared" si="46"/>
        <v>21840620</v>
      </c>
      <c r="P662" s="14"/>
      <c r="Q662" s="14"/>
      <c r="R662" s="31"/>
      <c r="S662" s="402"/>
      <c r="T662" s="31"/>
      <c r="U662" s="31"/>
    </row>
    <row r="663" spans="1:21" hidden="1">
      <c r="A663" s="31" t="s">
        <v>521</v>
      </c>
      <c r="B663" s="31" t="s">
        <v>344</v>
      </c>
      <c r="C663" s="31" t="s">
        <v>462</v>
      </c>
      <c r="D663" s="14" t="s">
        <v>469</v>
      </c>
      <c r="E663" s="45"/>
      <c r="F663" s="14"/>
      <c r="G663" s="14"/>
      <c r="H663" s="14"/>
      <c r="I663" s="28"/>
      <c r="J663" s="104">
        <v>39231</v>
      </c>
      <c r="K663" s="87">
        <v>40000</v>
      </c>
      <c r="L663" s="87">
        <v>2426</v>
      </c>
      <c r="M663" s="89">
        <v>96638452</v>
      </c>
      <c r="N663" s="14">
        <v>87406559</v>
      </c>
      <c r="O663" s="14">
        <f t="shared" si="46"/>
        <v>9231893</v>
      </c>
      <c r="P663" s="14"/>
      <c r="Q663" s="14"/>
      <c r="R663" s="31"/>
      <c r="S663" s="402"/>
      <c r="T663" s="31"/>
      <c r="U663" s="31"/>
    </row>
    <row r="664" spans="1:21" hidden="1">
      <c r="A664" s="31" t="s">
        <v>521</v>
      </c>
      <c r="B664" s="31" t="s">
        <v>344</v>
      </c>
      <c r="C664" s="31" t="s">
        <v>462</v>
      </c>
      <c r="D664" s="14" t="s">
        <v>469</v>
      </c>
      <c r="E664" s="45"/>
      <c r="F664" s="14"/>
      <c r="G664" s="14"/>
      <c r="H664" s="14"/>
      <c r="I664" s="28"/>
      <c r="J664" s="104">
        <v>39233</v>
      </c>
      <c r="K664" s="87">
        <v>41996</v>
      </c>
      <c r="L664" s="87">
        <v>2308</v>
      </c>
      <c r="M664" s="89">
        <v>96501176</v>
      </c>
      <c r="N664" s="14">
        <v>91768147</v>
      </c>
      <c r="O664" s="14">
        <f t="shared" si="46"/>
        <v>4733029</v>
      </c>
      <c r="P664" s="14"/>
      <c r="Q664" s="14"/>
      <c r="R664" s="31"/>
      <c r="S664" s="402"/>
      <c r="T664" s="31"/>
      <c r="U664" s="31"/>
    </row>
    <row r="665" spans="1:21" hidden="1">
      <c r="A665" s="31" t="s">
        <v>521</v>
      </c>
      <c r="B665" s="31" t="s">
        <v>344</v>
      </c>
      <c r="C665" s="31" t="s">
        <v>462</v>
      </c>
      <c r="D665" s="11" t="s">
        <v>469</v>
      </c>
      <c r="E665" s="46"/>
      <c r="F665" s="11"/>
      <c r="G665" s="11"/>
      <c r="H665" s="11"/>
      <c r="I665" s="33"/>
      <c r="J665" s="105">
        <v>39234</v>
      </c>
      <c r="K665" s="88">
        <v>100000</v>
      </c>
      <c r="L665" s="88">
        <v>2210</v>
      </c>
      <c r="M665" s="90">
        <v>220073411</v>
      </c>
      <c r="N665" s="11">
        <v>218516397</v>
      </c>
      <c r="O665" s="11">
        <f t="shared" si="46"/>
        <v>1557014</v>
      </c>
      <c r="P665" s="11">
        <f>+SUM(H659:H665)-SUM(N659:N665)</f>
        <v>0</v>
      </c>
      <c r="Q665" s="11"/>
      <c r="R665" s="36"/>
      <c r="S665" s="403"/>
      <c r="T665" s="36"/>
      <c r="U665" s="36"/>
    </row>
    <row r="666" spans="1:21" hidden="1">
      <c r="A666" s="31" t="s">
        <v>521</v>
      </c>
      <c r="B666" s="31" t="s">
        <v>344</v>
      </c>
      <c r="C666" s="31" t="s">
        <v>454</v>
      </c>
      <c r="D666" s="11" t="s">
        <v>470</v>
      </c>
      <c r="E666" s="46">
        <v>38821</v>
      </c>
      <c r="F666" s="11"/>
      <c r="G666" s="11"/>
      <c r="H666" s="11">
        <v>266200000</v>
      </c>
      <c r="I666" s="33" t="s">
        <v>456</v>
      </c>
      <c r="J666" s="98">
        <v>39370</v>
      </c>
      <c r="K666" s="11"/>
      <c r="L666" s="11"/>
      <c r="M666" s="11">
        <v>286201280</v>
      </c>
      <c r="N666" s="11">
        <v>266200000</v>
      </c>
      <c r="O666" s="11">
        <f t="shared" si="46"/>
        <v>20001280</v>
      </c>
      <c r="P666" s="11">
        <f>+H666-N666</f>
        <v>0</v>
      </c>
      <c r="Q666" s="11"/>
      <c r="R666" s="36" t="s">
        <v>458</v>
      </c>
      <c r="S666" s="403"/>
      <c r="T666" s="36"/>
      <c r="U666" s="36"/>
    </row>
    <row r="667" spans="1:21" hidden="1">
      <c r="A667" s="31" t="s">
        <v>521</v>
      </c>
      <c r="B667" s="31" t="s">
        <v>344</v>
      </c>
      <c r="C667" s="31" t="s">
        <v>462</v>
      </c>
      <c r="D667" s="14" t="s">
        <v>471</v>
      </c>
      <c r="E667" s="45">
        <v>38730</v>
      </c>
      <c r="F667" s="14">
        <v>395570</v>
      </c>
      <c r="G667" s="14">
        <v>1220</v>
      </c>
      <c r="H667" s="14">
        <f>+F667*G667</f>
        <v>482595400</v>
      </c>
      <c r="I667" s="28" t="s">
        <v>963</v>
      </c>
      <c r="J667" s="97">
        <v>38742</v>
      </c>
      <c r="K667" s="14">
        <v>195570</v>
      </c>
      <c r="L667" s="14">
        <f>+M667/K667</f>
        <v>1312.0544101856112</v>
      </c>
      <c r="M667" s="14">
        <v>256598481</v>
      </c>
      <c r="N667" s="14">
        <v>238595400</v>
      </c>
      <c r="O667" s="14">
        <f t="shared" si="46"/>
        <v>18003081</v>
      </c>
      <c r="P667" s="14"/>
      <c r="Q667" s="14"/>
      <c r="R667" s="31" t="s">
        <v>472</v>
      </c>
      <c r="S667" s="402"/>
      <c r="T667" s="31"/>
      <c r="U667" s="31"/>
    </row>
    <row r="668" spans="1:21" hidden="1">
      <c r="A668" s="31" t="s">
        <v>521</v>
      </c>
      <c r="B668" s="31" t="s">
        <v>344</v>
      </c>
      <c r="C668" s="36" t="s">
        <v>462</v>
      </c>
      <c r="D668" s="11" t="s">
        <v>471</v>
      </c>
      <c r="E668" s="46"/>
      <c r="F668" s="11"/>
      <c r="G668" s="11"/>
      <c r="H668" s="11"/>
      <c r="I668" s="33"/>
      <c r="J668" s="98">
        <v>38806</v>
      </c>
      <c r="K668" s="11">
        <f>+F667-K667</f>
        <v>200000</v>
      </c>
      <c r="L668" s="11">
        <f>+M668/K668</f>
        <v>1221.270135</v>
      </c>
      <c r="M668" s="11">
        <v>244254027</v>
      </c>
      <c r="N668" s="11">
        <v>244000000</v>
      </c>
      <c r="O668" s="11">
        <f t="shared" si="46"/>
        <v>254027</v>
      </c>
      <c r="P668" s="11">
        <f>+SUM(H667:H668)-SUM(N667:N668)</f>
        <v>0</v>
      </c>
      <c r="Q668" s="11"/>
      <c r="R668" s="36" t="s">
        <v>464</v>
      </c>
      <c r="S668" s="403"/>
      <c r="T668" s="36"/>
      <c r="U668" s="36"/>
    </row>
    <row r="669" spans="1:21" hidden="1">
      <c r="A669" s="36" t="s">
        <v>521</v>
      </c>
      <c r="B669" s="36" t="s">
        <v>538</v>
      </c>
      <c r="C669" s="139" t="s">
        <v>523</v>
      </c>
      <c r="D669" s="137"/>
      <c r="E669" s="157"/>
      <c r="F669" s="137"/>
      <c r="G669" s="137"/>
      <c r="H669" s="137">
        <f>SUM(H590:H668)</f>
        <v>12055763900</v>
      </c>
      <c r="I669" s="158"/>
      <c r="J669" s="159"/>
      <c r="K669" s="137"/>
      <c r="L669" s="137"/>
      <c r="M669" s="137">
        <f>SUM(M590:M668)</f>
        <v>17812468605</v>
      </c>
      <c r="N669" s="137">
        <f>SUM(N590:N668)</f>
        <v>12058052092</v>
      </c>
      <c r="O669" s="137">
        <f>SUM(O590:O668)</f>
        <v>5754414295</v>
      </c>
      <c r="P669" s="137">
        <f>SUM(P590:P668)</f>
        <v>-2290410</v>
      </c>
      <c r="Q669" s="137"/>
      <c r="R669" s="139"/>
      <c r="S669" s="139"/>
      <c r="T669" s="139"/>
      <c r="U669" s="139"/>
    </row>
    <row r="670" spans="1:21" hidden="1">
      <c r="A670" s="25" t="s">
        <v>521</v>
      </c>
      <c r="B670" s="25" t="s">
        <v>355</v>
      </c>
      <c r="C670" s="25" t="s">
        <v>279</v>
      </c>
      <c r="D670" s="20" t="s">
        <v>356</v>
      </c>
      <c r="E670" s="44">
        <v>37889</v>
      </c>
      <c r="F670" s="20"/>
      <c r="G670" s="20"/>
      <c r="H670" s="20">
        <v>1400000000</v>
      </c>
      <c r="I670" s="25" t="s">
        <v>351</v>
      </c>
      <c r="J670" s="21">
        <v>37979</v>
      </c>
      <c r="K670" s="20"/>
      <c r="L670" s="20"/>
      <c r="M670" s="20">
        <v>35000000</v>
      </c>
      <c r="N670" s="20">
        <v>0</v>
      </c>
      <c r="O670" s="20">
        <f>+M670-N670</f>
        <v>35000000</v>
      </c>
      <c r="P670" s="20"/>
      <c r="Q670" s="20"/>
      <c r="R670" s="25" t="s">
        <v>354</v>
      </c>
      <c r="S670" s="401"/>
      <c r="T670" s="25"/>
      <c r="U670" s="25"/>
    </row>
    <row r="671" spans="1:21" hidden="1">
      <c r="A671" s="31" t="s">
        <v>521</v>
      </c>
      <c r="B671" s="31" t="s">
        <v>355</v>
      </c>
      <c r="C671" s="31" t="s">
        <v>279</v>
      </c>
      <c r="D671" s="14" t="s">
        <v>356</v>
      </c>
      <c r="E671" s="45"/>
      <c r="F671" s="14"/>
      <c r="G671" s="14"/>
      <c r="H671" s="14"/>
      <c r="I671" s="31"/>
      <c r="J671" s="27">
        <v>38071</v>
      </c>
      <c r="K671" s="14"/>
      <c r="L671" s="14"/>
      <c r="M671" s="14">
        <v>35305073</v>
      </c>
      <c r="N671" s="14">
        <v>0</v>
      </c>
      <c r="O671" s="14">
        <f>+M671-N671</f>
        <v>35305073</v>
      </c>
      <c r="P671" s="14"/>
      <c r="Q671" s="14"/>
      <c r="R671" s="31" t="s">
        <v>346</v>
      </c>
      <c r="S671" s="402"/>
      <c r="T671" s="31"/>
      <c r="U671" s="31"/>
    </row>
    <row r="672" spans="1:21" hidden="1">
      <c r="A672" s="31" t="s">
        <v>521</v>
      </c>
      <c r="B672" s="31" t="s">
        <v>355</v>
      </c>
      <c r="C672" s="31" t="s">
        <v>279</v>
      </c>
      <c r="D672" s="14" t="s">
        <v>356</v>
      </c>
      <c r="E672" s="45"/>
      <c r="F672" s="14"/>
      <c r="G672" s="14"/>
      <c r="H672" s="14"/>
      <c r="I672" s="31"/>
      <c r="J672" s="27">
        <v>38169</v>
      </c>
      <c r="K672" s="14"/>
      <c r="L672" s="14"/>
      <c r="M672" s="14">
        <v>35392084</v>
      </c>
      <c r="N672" s="14">
        <v>0</v>
      </c>
      <c r="O672" s="14">
        <f>+M672-N672</f>
        <v>35392084</v>
      </c>
      <c r="P672" s="14"/>
      <c r="Q672" s="14"/>
      <c r="R672" s="31" t="s">
        <v>346</v>
      </c>
      <c r="S672" s="402"/>
      <c r="T672" s="31"/>
      <c r="U672" s="31"/>
    </row>
    <row r="673" spans="1:28" hidden="1">
      <c r="A673" s="31" t="s">
        <v>521</v>
      </c>
      <c r="B673" s="31" t="s">
        <v>355</v>
      </c>
      <c r="C673" s="31" t="s">
        <v>279</v>
      </c>
      <c r="D673" s="14" t="s">
        <v>356</v>
      </c>
      <c r="E673" s="45"/>
      <c r="F673" s="14"/>
      <c r="G673" s="14"/>
      <c r="H673" s="14"/>
      <c r="I673" s="31"/>
      <c r="J673" s="27">
        <v>38260</v>
      </c>
      <c r="K673" s="14"/>
      <c r="L673" s="14"/>
      <c r="M673" s="14">
        <v>37205479</v>
      </c>
      <c r="N673" s="14">
        <v>0</v>
      </c>
      <c r="O673" s="14">
        <f>+M673-N673</f>
        <v>37205479</v>
      </c>
      <c r="P673" s="14"/>
      <c r="Q673" s="14"/>
      <c r="R673" s="31" t="s">
        <v>346</v>
      </c>
      <c r="S673" s="402"/>
      <c r="T673" s="31"/>
      <c r="U673" s="31"/>
    </row>
    <row r="674" spans="1:28" hidden="1">
      <c r="A674" s="31" t="s">
        <v>521</v>
      </c>
      <c r="B674" s="31" t="s">
        <v>355</v>
      </c>
      <c r="C674" s="31" t="s">
        <v>279</v>
      </c>
      <c r="D674" s="14" t="s">
        <v>356</v>
      </c>
      <c r="E674" s="45"/>
      <c r="F674" s="14"/>
      <c r="G674" s="14"/>
      <c r="H674" s="14"/>
      <c r="I674" s="31"/>
      <c r="J674" s="27">
        <v>38348</v>
      </c>
      <c r="K674" s="14"/>
      <c r="L674" s="14"/>
      <c r="M674" s="14">
        <v>33753425</v>
      </c>
      <c r="N674" s="14">
        <v>0</v>
      </c>
      <c r="O674" s="14">
        <f>+M674-N674</f>
        <v>33753425</v>
      </c>
      <c r="P674" s="14"/>
      <c r="Q674" s="14"/>
      <c r="R674" s="31" t="s">
        <v>346</v>
      </c>
      <c r="S674" s="402"/>
      <c r="T674" s="31"/>
      <c r="U674" s="31"/>
    </row>
    <row r="675" spans="1:28" hidden="1">
      <c r="A675" s="31" t="s">
        <v>521</v>
      </c>
      <c r="B675" s="31" t="s">
        <v>355</v>
      </c>
      <c r="C675" s="31" t="s">
        <v>279</v>
      </c>
      <c r="D675" s="14" t="s">
        <v>356</v>
      </c>
      <c r="E675" s="45"/>
      <c r="F675" s="14"/>
      <c r="G675" s="14"/>
      <c r="H675" s="14"/>
      <c r="I675" s="31"/>
      <c r="J675" s="27">
        <v>38436</v>
      </c>
      <c r="K675" s="14"/>
      <c r="L675" s="14"/>
      <c r="M675" s="14">
        <v>33753425</v>
      </c>
      <c r="N675" s="14">
        <v>0</v>
      </c>
      <c r="O675" s="14">
        <f t="shared" ref="O675:O701" si="47">+M675-N675</f>
        <v>33753425</v>
      </c>
      <c r="P675" s="14"/>
      <c r="Q675" s="14"/>
      <c r="R675" s="31" t="s">
        <v>346</v>
      </c>
      <c r="S675" s="402"/>
      <c r="T675" s="31"/>
      <c r="U675" s="31"/>
    </row>
    <row r="676" spans="1:28" hidden="1">
      <c r="A676" s="31" t="s">
        <v>521</v>
      </c>
      <c r="B676" s="31" t="s">
        <v>355</v>
      </c>
      <c r="C676" s="31" t="s">
        <v>279</v>
      </c>
      <c r="D676" s="14" t="s">
        <v>356</v>
      </c>
      <c r="E676" s="45"/>
      <c r="F676" s="14"/>
      <c r="G676" s="14"/>
      <c r="H676" s="14"/>
      <c r="I676" s="31"/>
      <c r="J676" s="27">
        <v>38537</v>
      </c>
      <c r="K676" s="14"/>
      <c r="L676" s="14"/>
      <c r="M676" s="14">
        <v>35444290</v>
      </c>
      <c r="N676" s="14">
        <v>0</v>
      </c>
      <c r="O676" s="14">
        <f t="shared" si="47"/>
        <v>35444290</v>
      </c>
      <c r="P676" s="14"/>
      <c r="Q676" s="14"/>
      <c r="R676" s="31" t="s">
        <v>346</v>
      </c>
      <c r="S676" s="402"/>
      <c r="T676" s="31"/>
      <c r="U676" s="31"/>
    </row>
    <row r="677" spans="1:28" hidden="1">
      <c r="A677" s="31" t="s">
        <v>521</v>
      </c>
      <c r="B677" s="31" t="s">
        <v>355</v>
      </c>
      <c r="C677" s="31" t="s">
        <v>279</v>
      </c>
      <c r="D677" s="14" t="s">
        <v>356</v>
      </c>
      <c r="E677" s="45"/>
      <c r="F677" s="14"/>
      <c r="G677" s="14"/>
      <c r="H677" s="14"/>
      <c r="I677" s="31"/>
      <c r="J677" s="27">
        <v>38625</v>
      </c>
      <c r="K677" s="14"/>
      <c r="L677" s="14"/>
      <c r="M677" s="14">
        <v>35374682</v>
      </c>
      <c r="N677" s="14">
        <v>0</v>
      </c>
      <c r="O677" s="14">
        <f t="shared" si="47"/>
        <v>35374682</v>
      </c>
      <c r="P677" s="14"/>
      <c r="Q677" s="14"/>
      <c r="R677" s="31" t="s">
        <v>346</v>
      </c>
      <c r="S677" s="402"/>
      <c r="T677" s="31"/>
      <c r="U677" s="31"/>
    </row>
    <row r="678" spans="1:28" hidden="1">
      <c r="A678" s="31" t="s">
        <v>521</v>
      </c>
      <c r="B678" s="31" t="s">
        <v>355</v>
      </c>
      <c r="C678" s="31" t="s">
        <v>279</v>
      </c>
      <c r="D678" s="14" t="s">
        <v>356</v>
      </c>
      <c r="E678" s="45"/>
      <c r="F678" s="14"/>
      <c r="G678" s="14"/>
      <c r="H678" s="14"/>
      <c r="I678" s="31"/>
      <c r="J678" s="27">
        <v>38621</v>
      </c>
      <c r="K678" s="14"/>
      <c r="L678" s="14"/>
      <c r="M678" s="14">
        <v>35287671</v>
      </c>
      <c r="N678" s="14">
        <v>0</v>
      </c>
      <c r="O678" s="14">
        <f t="shared" si="47"/>
        <v>35287671</v>
      </c>
      <c r="P678" s="14"/>
      <c r="Q678" s="14"/>
      <c r="R678" s="31" t="s">
        <v>346</v>
      </c>
      <c r="S678" s="402"/>
      <c r="T678" s="31"/>
      <c r="U678" s="31"/>
    </row>
    <row r="679" spans="1:28" hidden="1">
      <c r="A679" s="31" t="s">
        <v>521</v>
      </c>
      <c r="B679" s="31" t="s">
        <v>355</v>
      </c>
      <c r="C679" s="31" t="s">
        <v>279</v>
      </c>
      <c r="D679" s="14" t="s">
        <v>356</v>
      </c>
      <c r="E679" s="45"/>
      <c r="F679" s="14"/>
      <c r="G679" s="14"/>
      <c r="H679" s="14"/>
      <c r="I679" s="31"/>
      <c r="J679" s="27">
        <v>38799</v>
      </c>
      <c r="K679" s="14"/>
      <c r="L679" s="14"/>
      <c r="M679" s="14">
        <v>33369863</v>
      </c>
      <c r="N679" s="14">
        <v>0</v>
      </c>
      <c r="O679" s="14">
        <f t="shared" si="47"/>
        <v>33369863</v>
      </c>
      <c r="P679" s="14"/>
      <c r="Q679" s="14"/>
      <c r="R679" s="31" t="s">
        <v>346</v>
      </c>
      <c r="S679" s="402"/>
      <c r="T679" s="31"/>
      <c r="U679" s="31"/>
    </row>
    <row r="680" spans="1:28" hidden="1">
      <c r="A680" s="31" t="s">
        <v>521</v>
      </c>
      <c r="B680" s="31" t="s">
        <v>355</v>
      </c>
      <c r="C680" s="31" t="s">
        <v>279</v>
      </c>
      <c r="D680" s="14" t="s">
        <v>356</v>
      </c>
      <c r="E680" s="45"/>
      <c r="F680" s="14"/>
      <c r="G680" s="14"/>
      <c r="H680" s="14"/>
      <c r="I680" s="31"/>
      <c r="J680" s="27">
        <v>38891</v>
      </c>
      <c r="K680" s="14"/>
      <c r="L680" s="14"/>
      <c r="M680" s="14">
        <v>35287671</v>
      </c>
      <c r="N680" s="14">
        <v>0</v>
      </c>
      <c r="O680" s="14">
        <f t="shared" si="47"/>
        <v>35287671</v>
      </c>
      <c r="P680" s="14"/>
      <c r="Q680" s="14"/>
      <c r="R680" s="31" t="s">
        <v>346</v>
      </c>
      <c r="S680" s="402"/>
      <c r="T680" s="31"/>
      <c r="U680" s="31"/>
    </row>
    <row r="681" spans="1:28" hidden="1">
      <c r="A681" s="31" t="s">
        <v>521</v>
      </c>
      <c r="B681" s="31" t="s">
        <v>355</v>
      </c>
      <c r="C681" s="31" t="s">
        <v>279</v>
      </c>
      <c r="D681" s="14" t="s">
        <v>356</v>
      </c>
      <c r="E681" s="45"/>
      <c r="F681" s="14"/>
      <c r="G681" s="14"/>
      <c r="H681" s="14"/>
      <c r="I681" s="31"/>
      <c r="J681" s="27">
        <v>38985</v>
      </c>
      <c r="K681" s="14"/>
      <c r="L681" s="14"/>
      <c r="M681" s="14">
        <v>36054795</v>
      </c>
      <c r="N681" s="14">
        <v>0</v>
      </c>
      <c r="O681" s="14">
        <f t="shared" si="47"/>
        <v>36054795</v>
      </c>
      <c r="P681" s="14"/>
      <c r="Q681" s="14"/>
      <c r="R681" s="31" t="s">
        <v>346</v>
      </c>
      <c r="S681" s="402"/>
      <c r="T681" s="31"/>
      <c r="U681" s="31"/>
    </row>
    <row r="682" spans="1:28" hidden="1">
      <c r="A682" s="31" t="s">
        <v>521</v>
      </c>
      <c r="B682" s="31" t="s">
        <v>355</v>
      </c>
      <c r="C682" s="36" t="s">
        <v>279</v>
      </c>
      <c r="D682" s="11" t="s">
        <v>356</v>
      </c>
      <c r="E682" s="46"/>
      <c r="F682" s="11"/>
      <c r="G682" s="11"/>
      <c r="H682" s="11"/>
      <c r="I682" s="36"/>
      <c r="J682" s="32">
        <v>38989</v>
      </c>
      <c r="K682" s="11"/>
      <c r="L682" s="11"/>
      <c r="M682" s="11">
        <v>1400383562</v>
      </c>
      <c r="N682" s="11">
        <v>1400000000</v>
      </c>
      <c r="O682" s="11">
        <f t="shared" si="47"/>
        <v>383562</v>
      </c>
      <c r="P682" s="11">
        <f>+SUM(H670:H682)-SUM(N670:N682)</f>
        <v>0</v>
      </c>
      <c r="Q682" s="11"/>
      <c r="R682" s="36" t="s">
        <v>354</v>
      </c>
      <c r="S682" s="403"/>
      <c r="T682" s="36"/>
      <c r="U682" s="36"/>
    </row>
    <row r="683" spans="1:28" hidden="1">
      <c r="A683" s="36" t="s">
        <v>521</v>
      </c>
      <c r="B683" s="36" t="s">
        <v>539</v>
      </c>
      <c r="C683" s="139" t="s">
        <v>523</v>
      </c>
      <c r="D683" s="137"/>
      <c r="E683" s="157"/>
      <c r="F683" s="137"/>
      <c r="G683" s="137"/>
      <c r="H683" s="137">
        <f>SUM(H670:H682)</f>
        <v>1400000000</v>
      </c>
      <c r="I683" s="139"/>
      <c r="J683" s="140"/>
      <c r="K683" s="137"/>
      <c r="L683" s="137"/>
      <c r="M683" s="137">
        <f>SUM(M670:M682)</f>
        <v>1821612020</v>
      </c>
      <c r="N683" s="137">
        <f>SUM(N670:N682)</f>
        <v>1400000000</v>
      </c>
      <c r="O683" s="137">
        <f>SUM(O670:O682)</f>
        <v>421612020</v>
      </c>
      <c r="P683" s="137">
        <f>SUM(P670:P682)</f>
        <v>0</v>
      </c>
      <c r="Q683" s="137"/>
      <c r="R683" s="139"/>
      <c r="S683" s="139"/>
      <c r="T683" s="139"/>
      <c r="U683" s="139"/>
    </row>
    <row r="684" spans="1:28" hidden="1">
      <c r="A684" s="25" t="s">
        <v>521</v>
      </c>
      <c r="B684" s="25" t="s">
        <v>359</v>
      </c>
      <c r="C684" s="25" t="s">
        <v>345</v>
      </c>
      <c r="D684" s="20" t="s">
        <v>360</v>
      </c>
      <c r="E684" s="44">
        <v>37343</v>
      </c>
      <c r="F684" s="20">
        <v>14815</v>
      </c>
      <c r="G684" s="20">
        <v>13500</v>
      </c>
      <c r="H684" s="20">
        <f>+F684*G684</f>
        <v>200002500</v>
      </c>
      <c r="I684" s="401" t="s">
        <v>350</v>
      </c>
      <c r="J684" s="21">
        <v>38595</v>
      </c>
      <c r="K684" s="20">
        <v>25926</v>
      </c>
      <c r="L684" s="20">
        <f>+M684/K684</f>
        <v>1928.5899868857518</v>
      </c>
      <c r="M684" s="20">
        <v>50000624</v>
      </c>
      <c r="N684" s="20">
        <v>50000624</v>
      </c>
      <c r="O684" s="20">
        <f t="shared" si="47"/>
        <v>0</v>
      </c>
      <c r="P684" s="20"/>
      <c r="Q684" s="20"/>
      <c r="R684" s="401" t="s">
        <v>949</v>
      </c>
      <c r="S684" s="401" t="s">
        <v>1039</v>
      </c>
      <c r="T684" s="319" t="s">
        <v>800</v>
      </c>
      <c r="U684" s="25"/>
    </row>
    <row r="685" spans="1:28" hidden="1">
      <c r="A685" s="31" t="s">
        <v>521</v>
      </c>
      <c r="B685" s="31" t="s">
        <v>358</v>
      </c>
      <c r="C685" s="36" t="s">
        <v>345</v>
      </c>
      <c r="D685" s="11" t="s">
        <v>360</v>
      </c>
      <c r="E685" s="46"/>
      <c r="F685" s="11"/>
      <c r="G685" s="11"/>
      <c r="H685" s="11"/>
      <c r="I685" s="403"/>
      <c r="J685" s="32">
        <v>38779</v>
      </c>
      <c r="K685" s="11">
        <v>77779</v>
      </c>
      <c r="L685" s="11">
        <v>1600</v>
      </c>
      <c r="M685" s="11">
        <f>+K685*L685</f>
        <v>124446400</v>
      </c>
      <c r="N685" s="11">
        <v>150001876</v>
      </c>
      <c r="O685" s="11"/>
      <c r="P685" s="11">
        <f>+SUM(H684:H685)-SUM(N684:N685)</f>
        <v>0</v>
      </c>
      <c r="Q685" s="11"/>
      <c r="R685" s="403" t="s">
        <v>949</v>
      </c>
      <c r="S685" s="403" t="s">
        <v>1058</v>
      </c>
      <c r="T685" s="321" t="s">
        <v>800</v>
      </c>
      <c r="U685" s="36"/>
    </row>
    <row r="686" spans="1:28" s="410" customFormat="1" hidden="1">
      <c r="A686" s="282" t="s">
        <v>903</v>
      </c>
      <c r="B686" s="282" t="s">
        <v>358</v>
      </c>
      <c r="C686" s="61" t="s">
        <v>940</v>
      </c>
      <c r="D686" s="56" t="s">
        <v>941</v>
      </c>
      <c r="E686" s="62">
        <v>37393</v>
      </c>
      <c r="F686" s="56"/>
      <c r="G686" s="56"/>
      <c r="H686" s="56">
        <v>800000000</v>
      </c>
      <c r="I686" s="61" t="s">
        <v>942</v>
      </c>
      <c r="J686" s="57">
        <v>37394</v>
      </c>
      <c r="K686" s="56"/>
      <c r="L686" s="56"/>
      <c r="M686" s="56">
        <v>800197260</v>
      </c>
      <c r="N686" s="56">
        <v>800000000</v>
      </c>
      <c r="O686" s="56">
        <f t="shared" si="47"/>
        <v>197260</v>
      </c>
      <c r="P686" s="56">
        <f>+H686-N686</f>
        <v>0</v>
      </c>
      <c r="Q686" s="56"/>
      <c r="R686" s="61"/>
      <c r="S686" s="61"/>
      <c r="T686" s="61" t="s">
        <v>943</v>
      </c>
      <c r="U686" s="61"/>
      <c r="AB686" s="586"/>
    </row>
    <row r="687" spans="1:28" s="410" customFormat="1" hidden="1">
      <c r="A687" s="282" t="s">
        <v>903</v>
      </c>
      <c r="B687" s="282" t="s">
        <v>358</v>
      </c>
      <c r="C687" s="61" t="s">
        <v>944</v>
      </c>
      <c r="D687" s="56" t="s">
        <v>945</v>
      </c>
      <c r="E687" s="62">
        <v>37795</v>
      </c>
      <c r="F687" s="56"/>
      <c r="G687" s="56"/>
      <c r="H687" s="56">
        <v>274802791</v>
      </c>
      <c r="I687" s="61" t="s">
        <v>946</v>
      </c>
      <c r="J687" s="57">
        <v>37796</v>
      </c>
      <c r="K687" s="56"/>
      <c r="L687" s="56"/>
      <c r="M687" s="56">
        <v>274870550</v>
      </c>
      <c r="N687" s="56">
        <v>274802791</v>
      </c>
      <c r="O687" s="56">
        <f>+M687-N687</f>
        <v>67759</v>
      </c>
      <c r="P687" s="56">
        <f>+H687-N687</f>
        <v>0</v>
      </c>
      <c r="Q687" s="56"/>
      <c r="R687" s="61"/>
      <c r="S687" s="61"/>
      <c r="T687" s="61" t="s">
        <v>947</v>
      </c>
      <c r="U687" s="61"/>
      <c r="AB687" s="586"/>
    </row>
    <row r="688" spans="1:28" s="410" customFormat="1" hidden="1">
      <c r="A688" s="282" t="s">
        <v>903</v>
      </c>
      <c r="B688" s="282" t="s">
        <v>358</v>
      </c>
      <c r="C688" s="61" t="s">
        <v>318</v>
      </c>
      <c r="D688" s="56" t="s">
        <v>948</v>
      </c>
      <c r="E688" s="62">
        <v>38084</v>
      </c>
      <c r="F688" s="56"/>
      <c r="G688" s="56"/>
      <c r="H688" s="56">
        <v>350000000</v>
      </c>
      <c r="I688" s="61" t="s">
        <v>351</v>
      </c>
      <c r="J688" s="57">
        <v>38104</v>
      </c>
      <c r="K688" s="56"/>
      <c r="L688" s="56"/>
      <c r="M688" s="56">
        <v>350000000</v>
      </c>
      <c r="N688" s="56">
        <v>350000000</v>
      </c>
      <c r="O688" s="56">
        <f t="shared" si="47"/>
        <v>0</v>
      </c>
      <c r="P688" s="56">
        <f>+H688-N688</f>
        <v>0</v>
      </c>
      <c r="Q688" s="56"/>
      <c r="R688" s="61"/>
      <c r="S688" s="61"/>
      <c r="T688" s="61" t="s">
        <v>943</v>
      </c>
      <c r="U688" s="61"/>
      <c r="AB688" s="586"/>
    </row>
    <row r="689" spans="1:21" hidden="1">
      <c r="A689" s="31" t="s">
        <v>521</v>
      </c>
      <c r="B689" s="31" t="s">
        <v>358</v>
      </c>
      <c r="C689" s="31" t="s">
        <v>348</v>
      </c>
      <c r="D689" s="14" t="s">
        <v>361</v>
      </c>
      <c r="E689" s="45">
        <v>38105</v>
      </c>
      <c r="F689" s="14">
        <v>131142</v>
      </c>
      <c r="G689" s="14">
        <v>6100</v>
      </c>
      <c r="H689" s="14">
        <v>799966200</v>
      </c>
      <c r="I689" s="402" t="s">
        <v>362</v>
      </c>
      <c r="J689" s="27">
        <v>38352</v>
      </c>
      <c r="K689" s="14"/>
      <c r="L689" s="14"/>
      <c r="M689" s="14">
        <v>0</v>
      </c>
      <c r="N689" s="14">
        <v>313429380</v>
      </c>
      <c r="O689" s="14">
        <f t="shared" si="47"/>
        <v>-313429380</v>
      </c>
      <c r="P689" s="14"/>
      <c r="Q689" s="14"/>
      <c r="R689" s="31" t="s">
        <v>349</v>
      </c>
      <c r="S689" s="402"/>
      <c r="T689" s="320" t="s">
        <v>801</v>
      </c>
      <c r="U689" s="31"/>
    </row>
    <row r="690" spans="1:21" hidden="1">
      <c r="A690" s="31" t="s">
        <v>521</v>
      </c>
      <c r="B690" s="31" t="s">
        <v>358</v>
      </c>
      <c r="C690" s="31" t="s">
        <v>348</v>
      </c>
      <c r="D690" s="14" t="s">
        <v>361</v>
      </c>
      <c r="E690" s="45"/>
      <c r="F690" s="14"/>
      <c r="G690" s="14"/>
      <c r="H690" s="14"/>
      <c r="I690" s="402"/>
      <c r="J690" s="27">
        <v>38441</v>
      </c>
      <c r="K690" s="14"/>
      <c r="L690" s="14"/>
      <c r="M690" s="14">
        <v>100000000</v>
      </c>
      <c r="N690" s="14">
        <v>0</v>
      </c>
      <c r="O690" s="14">
        <f t="shared" si="47"/>
        <v>100000000</v>
      </c>
      <c r="P690" s="14"/>
      <c r="Q690" s="14"/>
      <c r="R690" s="402" t="s">
        <v>353</v>
      </c>
      <c r="S690" s="402" t="s">
        <v>1056</v>
      </c>
      <c r="T690" s="320" t="s">
        <v>801</v>
      </c>
      <c r="U690" s="31"/>
    </row>
    <row r="691" spans="1:21" hidden="1">
      <c r="A691" s="31" t="s">
        <v>521</v>
      </c>
      <c r="B691" s="31" t="s">
        <v>358</v>
      </c>
      <c r="C691" s="31" t="s">
        <v>348</v>
      </c>
      <c r="D691" s="14" t="s">
        <v>361</v>
      </c>
      <c r="E691" s="45"/>
      <c r="F691" s="14"/>
      <c r="G691" s="14"/>
      <c r="H691" s="14"/>
      <c r="I691" s="402"/>
      <c r="J691" s="27">
        <v>38639</v>
      </c>
      <c r="K691" s="14"/>
      <c r="L691" s="14"/>
      <c r="M691" s="14">
        <v>100000000</v>
      </c>
      <c r="N691" s="14">
        <v>0</v>
      </c>
      <c r="O691" s="14">
        <f t="shared" si="47"/>
        <v>100000000</v>
      </c>
      <c r="P691" s="14"/>
      <c r="Q691" s="14"/>
      <c r="R691" s="402" t="s">
        <v>353</v>
      </c>
      <c r="S691" s="402" t="s">
        <v>1056</v>
      </c>
      <c r="T691" s="320" t="s">
        <v>801</v>
      </c>
      <c r="U691" s="31"/>
    </row>
    <row r="692" spans="1:21" hidden="1">
      <c r="A692" s="31" t="s">
        <v>521</v>
      </c>
      <c r="B692" s="31" t="s">
        <v>358</v>
      </c>
      <c r="C692" s="31" t="s">
        <v>348</v>
      </c>
      <c r="D692" s="14" t="s">
        <v>361</v>
      </c>
      <c r="E692" s="45"/>
      <c r="F692" s="14"/>
      <c r="G692" s="14"/>
      <c r="H692" s="14"/>
      <c r="I692" s="402"/>
      <c r="J692" s="27">
        <v>38719</v>
      </c>
      <c r="K692" s="14"/>
      <c r="L692" s="14"/>
      <c r="M692" s="14">
        <v>200000000</v>
      </c>
      <c r="N692" s="14">
        <v>0</v>
      </c>
      <c r="O692" s="14">
        <f t="shared" si="47"/>
        <v>200000000</v>
      </c>
      <c r="P692" s="14"/>
      <c r="Q692" s="14"/>
      <c r="R692" s="402" t="s">
        <v>353</v>
      </c>
      <c r="S692" s="402" t="s">
        <v>1056</v>
      </c>
      <c r="T692" s="320" t="s">
        <v>801</v>
      </c>
      <c r="U692" s="31"/>
    </row>
    <row r="693" spans="1:21" hidden="1">
      <c r="A693" s="31" t="s">
        <v>521</v>
      </c>
      <c r="B693" s="31" t="s">
        <v>358</v>
      </c>
      <c r="C693" s="31" t="s">
        <v>348</v>
      </c>
      <c r="D693" s="14" t="s">
        <v>361</v>
      </c>
      <c r="E693" s="45"/>
      <c r="F693" s="14"/>
      <c r="G693" s="14"/>
      <c r="H693" s="14"/>
      <c r="I693" s="402"/>
      <c r="J693" s="27">
        <v>38793</v>
      </c>
      <c r="K693" s="14"/>
      <c r="L693" s="14"/>
      <c r="M693" s="14">
        <v>100000000</v>
      </c>
      <c r="N693" s="14">
        <v>0</v>
      </c>
      <c r="O693" s="14">
        <f t="shared" si="47"/>
        <v>100000000</v>
      </c>
      <c r="P693" s="14"/>
      <c r="Q693" s="14"/>
      <c r="R693" s="402" t="s">
        <v>353</v>
      </c>
      <c r="S693" s="402" t="s">
        <v>1056</v>
      </c>
      <c r="T693" s="320" t="s">
        <v>801</v>
      </c>
      <c r="U693" s="31"/>
    </row>
    <row r="694" spans="1:21" hidden="1">
      <c r="A694" s="31" t="s">
        <v>521</v>
      </c>
      <c r="B694" s="31" t="s">
        <v>358</v>
      </c>
      <c r="C694" s="31" t="s">
        <v>348</v>
      </c>
      <c r="D694" s="14" t="s">
        <v>361</v>
      </c>
      <c r="E694" s="45"/>
      <c r="F694" s="14"/>
      <c r="G694" s="14"/>
      <c r="H694" s="14"/>
      <c r="I694" s="402"/>
      <c r="J694" s="27">
        <v>39082</v>
      </c>
      <c r="K694" s="14"/>
      <c r="L694" s="14"/>
      <c r="M694" s="14">
        <v>0</v>
      </c>
      <c r="N694" s="14">
        <v>486536820</v>
      </c>
      <c r="O694" s="14">
        <f>+M694-N694</f>
        <v>-486536820</v>
      </c>
      <c r="P694" s="14"/>
      <c r="Q694" s="14"/>
      <c r="R694" s="31" t="s">
        <v>349</v>
      </c>
      <c r="S694" s="402"/>
      <c r="T694" s="320" t="s">
        <v>801</v>
      </c>
      <c r="U694" s="31"/>
    </row>
    <row r="695" spans="1:21" hidden="1">
      <c r="A695" s="31" t="s">
        <v>521</v>
      </c>
      <c r="B695" s="31" t="s">
        <v>358</v>
      </c>
      <c r="C695" s="31" t="s">
        <v>348</v>
      </c>
      <c r="D695" s="14" t="s">
        <v>361</v>
      </c>
      <c r="E695" s="45"/>
      <c r="F695" s="14"/>
      <c r="G695" s="14"/>
      <c r="H695" s="14"/>
      <c r="I695" s="402"/>
      <c r="J695" s="27">
        <v>39723</v>
      </c>
      <c r="K695" s="14"/>
      <c r="L695" s="14"/>
      <c r="M695" s="14">
        <v>199657162</v>
      </c>
      <c r="N695" s="14">
        <v>0</v>
      </c>
      <c r="O695" s="14">
        <f>+M695-N695</f>
        <v>199657162</v>
      </c>
      <c r="P695" s="14"/>
      <c r="Q695" s="14"/>
      <c r="R695" s="402" t="s">
        <v>353</v>
      </c>
      <c r="S695" s="402" t="s">
        <v>1059</v>
      </c>
      <c r="T695" s="320" t="s">
        <v>801</v>
      </c>
      <c r="U695" s="31"/>
    </row>
    <row r="696" spans="1:21" hidden="1">
      <c r="A696" s="31" t="s">
        <v>521</v>
      </c>
      <c r="B696" s="31" t="s">
        <v>358</v>
      </c>
      <c r="C696" s="36" t="s">
        <v>348</v>
      </c>
      <c r="D696" s="11" t="s">
        <v>361</v>
      </c>
      <c r="E696" s="46"/>
      <c r="F696" s="11"/>
      <c r="G696" s="11"/>
      <c r="H696" s="11"/>
      <c r="I696" s="403"/>
      <c r="J696" s="32">
        <v>39986</v>
      </c>
      <c r="K696" s="11">
        <v>131142</v>
      </c>
      <c r="L696" s="11"/>
      <c r="M696" s="11">
        <v>1000</v>
      </c>
      <c r="N696" s="11">
        <v>0</v>
      </c>
      <c r="O696" s="11">
        <f>+M696-N696</f>
        <v>1000</v>
      </c>
      <c r="P696" s="11">
        <f>+SUM(H689:H696)-SUM(N689:N696)</f>
        <v>0</v>
      </c>
      <c r="Q696" s="11"/>
      <c r="R696" s="36" t="s">
        <v>364</v>
      </c>
      <c r="S696" s="403"/>
      <c r="T696" s="321" t="s">
        <v>801</v>
      </c>
      <c r="U696" s="36"/>
    </row>
    <row r="697" spans="1:21" hidden="1">
      <c r="A697" s="31" t="s">
        <v>521</v>
      </c>
      <c r="B697" s="31" t="s">
        <v>358</v>
      </c>
      <c r="C697" s="36" t="s">
        <v>345</v>
      </c>
      <c r="D697" s="11" t="s">
        <v>363</v>
      </c>
      <c r="E697" s="46">
        <v>38161</v>
      </c>
      <c r="F697" s="11">
        <v>4000</v>
      </c>
      <c r="G697" s="11">
        <v>5000</v>
      </c>
      <c r="H697" s="11">
        <f>+F697*G697</f>
        <v>20000000</v>
      </c>
      <c r="I697" s="403" t="s">
        <v>350</v>
      </c>
      <c r="J697" s="32">
        <v>38453</v>
      </c>
      <c r="K697" s="11">
        <v>4000</v>
      </c>
      <c r="L697" s="11">
        <f>+M697/K697</f>
        <v>5250</v>
      </c>
      <c r="M697" s="11">
        <v>21000000</v>
      </c>
      <c r="N697" s="11">
        <v>20000000</v>
      </c>
      <c r="O697" s="11">
        <f t="shared" si="47"/>
        <v>1000000</v>
      </c>
      <c r="P697" s="11">
        <f>+H697-N697</f>
        <v>0</v>
      </c>
      <c r="Q697" s="11"/>
      <c r="R697" s="403" t="s">
        <v>353</v>
      </c>
      <c r="S697" s="403" t="s">
        <v>1057</v>
      </c>
      <c r="T697" s="321" t="s">
        <v>801</v>
      </c>
      <c r="U697" s="36"/>
    </row>
    <row r="698" spans="1:21" hidden="1">
      <c r="A698" s="36" t="s">
        <v>521</v>
      </c>
      <c r="B698" s="36" t="s">
        <v>540</v>
      </c>
      <c r="C698" s="139" t="s">
        <v>523</v>
      </c>
      <c r="D698" s="137"/>
      <c r="E698" s="157"/>
      <c r="F698" s="137"/>
      <c r="G698" s="137"/>
      <c r="H698" s="137">
        <f>SUM(H684:H697)</f>
        <v>2444771491</v>
      </c>
      <c r="I698" s="139"/>
      <c r="J698" s="140"/>
      <c r="K698" s="137"/>
      <c r="L698" s="137"/>
      <c r="M698" s="137">
        <f>SUM(M684:M697)</f>
        <v>2320172996</v>
      </c>
      <c r="N698" s="137">
        <f>SUM(N684:N697)</f>
        <v>2444771491</v>
      </c>
      <c r="O698" s="137">
        <f>SUM(O684:O697)</f>
        <v>-99043019</v>
      </c>
      <c r="P698" s="137">
        <f>SUM(P684:P697)</f>
        <v>0</v>
      </c>
      <c r="Q698" s="137"/>
      <c r="R698" s="139"/>
      <c r="S698" s="139"/>
      <c r="T698" s="139"/>
      <c r="U698" s="139"/>
    </row>
    <row r="699" spans="1:21" hidden="1">
      <c r="A699" s="25" t="s">
        <v>521</v>
      </c>
      <c r="B699" s="25" t="s">
        <v>357</v>
      </c>
      <c r="C699" s="25" t="s">
        <v>345</v>
      </c>
      <c r="D699" s="20" t="s">
        <v>365</v>
      </c>
      <c r="E699" s="44">
        <v>37618</v>
      </c>
      <c r="F699" s="20">
        <v>20000</v>
      </c>
      <c r="G699" s="20">
        <v>44500</v>
      </c>
      <c r="H699" s="20">
        <v>890000000</v>
      </c>
      <c r="I699" s="25" t="s">
        <v>350</v>
      </c>
      <c r="J699" s="21">
        <v>38352</v>
      </c>
      <c r="K699" s="20"/>
      <c r="L699" s="20"/>
      <c r="M699" s="20">
        <v>0</v>
      </c>
      <c r="N699" s="20">
        <v>801000000</v>
      </c>
      <c r="O699" s="20">
        <f t="shared" si="47"/>
        <v>-801000000</v>
      </c>
      <c r="P699" s="20"/>
      <c r="Q699" s="20"/>
      <c r="R699" s="25" t="s">
        <v>349</v>
      </c>
      <c r="S699" s="401"/>
      <c r="T699" s="319"/>
      <c r="U699" s="319"/>
    </row>
    <row r="700" spans="1:21" hidden="1">
      <c r="A700" s="31" t="s">
        <v>521</v>
      </c>
      <c r="B700" s="31" t="s">
        <v>357</v>
      </c>
      <c r="C700" s="276" t="s">
        <v>345</v>
      </c>
      <c r="D700" s="14" t="s">
        <v>365</v>
      </c>
      <c r="E700" s="45"/>
      <c r="F700" s="14"/>
      <c r="G700" s="14"/>
      <c r="H700" s="14"/>
      <c r="I700" s="276"/>
      <c r="J700" s="27">
        <v>39082</v>
      </c>
      <c r="K700" s="14"/>
      <c r="L700" s="14"/>
      <c r="M700" s="14">
        <v>0</v>
      </c>
      <c r="N700" s="14">
        <v>89000000</v>
      </c>
      <c r="O700" s="14">
        <f t="shared" si="47"/>
        <v>-89000000</v>
      </c>
      <c r="P700" s="14"/>
      <c r="Q700" s="14"/>
      <c r="R700" s="276" t="s">
        <v>349</v>
      </c>
      <c r="S700" s="402"/>
      <c r="T700" s="320"/>
      <c r="U700" s="320"/>
    </row>
    <row r="701" spans="1:21" hidden="1">
      <c r="A701" s="276" t="s">
        <v>520</v>
      </c>
      <c r="B701" s="276" t="s">
        <v>357</v>
      </c>
      <c r="C701" s="277" t="s">
        <v>313</v>
      </c>
      <c r="D701" s="11" t="s">
        <v>365</v>
      </c>
      <c r="E701" s="46"/>
      <c r="F701" s="11"/>
      <c r="G701" s="11"/>
      <c r="H701" s="11"/>
      <c r="I701" s="277"/>
      <c r="J701" s="32">
        <v>40009</v>
      </c>
      <c r="K701" s="11"/>
      <c r="L701" s="11"/>
      <c r="M701" s="11">
        <v>1000</v>
      </c>
      <c r="N701" s="11">
        <v>0</v>
      </c>
      <c r="O701" s="11">
        <f t="shared" si="47"/>
        <v>1000</v>
      </c>
      <c r="P701" s="11"/>
      <c r="Q701" s="11"/>
      <c r="R701" s="277"/>
      <c r="S701" s="403"/>
      <c r="T701" s="321"/>
      <c r="U701" s="321"/>
    </row>
    <row r="702" spans="1:21" hidden="1">
      <c r="A702" s="36" t="s">
        <v>521</v>
      </c>
      <c r="B702" s="36" t="s">
        <v>541</v>
      </c>
      <c r="C702" s="132" t="s">
        <v>523</v>
      </c>
      <c r="D702" s="154"/>
      <c r="E702" s="153"/>
      <c r="F702" s="154"/>
      <c r="G702" s="154"/>
      <c r="H702" s="154">
        <f>SUM(H699:H700)</f>
        <v>890000000</v>
      </c>
      <c r="I702" s="132"/>
      <c r="J702" s="160"/>
      <c r="K702" s="154"/>
      <c r="L702" s="154"/>
      <c r="M702" s="154">
        <f>SUM(M699:M701)</f>
        <v>1000</v>
      </c>
      <c r="N702" s="154">
        <f>SUM(N699:N701)</f>
        <v>890000000</v>
      </c>
      <c r="O702" s="154">
        <f>SUM(O699:O700)</f>
        <v>-890000000</v>
      </c>
      <c r="P702" s="154">
        <f>SUM(P699:P700)</f>
        <v>0</v>
      </c>
      <c r="Q702" s="154"/>
      <c r="R702" s="132"/>
      <c r="S702" s="132"/>
      <c r="T702" s="132"/>
      <c r="U702" s="36"/>
    </row>
    <row r="703" spans="1:21" hidden="1">
      <c r="A703" s="25" t="s">
        <v>522</v>
      </c>
      <c r="B703" s="25" t="s">
        <v>367</v>
      </c>
      <c r="C703" s="19" t="s">
        <v>302</v>
      </c>
      <c r="D703" s="15" t="s">
        <v>368</v>
      </c>
      <c r="E703" s="42">
        <v>37434</v>
      </c>
      <c r="F703" s="15">
        <v>100000</v>
      </c>
      <c r="G703" s="15">
        <v>5000</v>
      </c>
      <c r="H703" s="15">
        <f>+F703*G703</f>
        <v>500000000</v>
      </c>
      <c r="I703" s="19" t="s">
        <v>350</v>
      </c>
      <c r="J703" s="42">
        <v>38719</v>
      </c>
      <c r="K703" s="15">
        <v>100000</v>
      </c>
      <c r="L703" s="15">
        <f>+M703/K703</f>
        <v>6094</v>
      </c>
      <c r="M703" s="15">
        <v>609400000</v>
      </c>
      <c r="N703" s="15">
        <v>500000000</v>
      </c>
      <c r="O703" s="15">
        <f>+M703-N703</f>
        <v>109400000</v>
      </c>
      <c r="P703" s="15">
        <f>+H703-N703</f>
        <v>0</v>
      </c>
      <c r="Q703" s="15"/>
      <c r="R703" s="19" t="s">
        <v>353</v>
      </c>
      <c r="S703" s="405"/>
      <c r="T703" s="322"/>
      <c r="U703" s="322"/>
    </row>
    <row r="704" spans="1:21" hidden="1">
      <c r="A704" s="31" t="s">
        <v>522</v>
      </c>
      <c r="B704" s="31" t="s">
        <v>367</v>
      </c>
      <c r="C704" s="25" t="s">
        <v>302</v>
      </c>
      <c r="D704" s="20" t="s">
        <v>369</v>
      </c>
      <c r="E704" s="44">
        <v>37442</v>
      </c>
      <c r="F704" s="20">
        <v>20000</v>
      </c>
      <c r="G704" s="20">
        <v>50000</v>
      </c>
      <c r="H704" s="20">
        <f>+F704*G704</f>
        <v>1000000000</v>
      </c>
      <c r="I704" s="25" t="s">
        <v>350</v>
      </c>
      <c r="J704" s="44">
        <v>37809</v>
      </c>
      <c r="K704" s="20">
        <v>4000</v>
      </c>
      <c r="L704" s="20">
        <v>65000</v>
      </c>
      <c r="M704" s="20">
        <f>+K704*L704</f>
        <v>260000000</v>
      </c>
      <c r="N704" s="20">
        <v>200000000</v>
      </c>
      <c r="O704" s="20">
        <f t="shared" ref="O704:O899" si="48">+M704-N704</f>
        <v>60000000</v>
      </c>
      <c r="P704" s="20"/>
      <c r="Q704" s="20"/>
      <c r="R704" s="25" t="s">
        <v>353</v>
      </c>
      <c r="S704" s="401"/>
      <c r="T704" s="319"/>
      <c r="U704" s="319"/>
    </row>
    <row r="705" spans="1:21" hidden="1">
      <c r="A705" s="31" t="s">
        <v>522</v>
      </c>
      <c r="B705" s="31" t="s">
        <v>367</v>
      </c>
      <c r="C705" s="31" t="s">
        <v>302</v>
      </c>
      <c r="D705" s="14" t="s">
        <v>369</v>
      </c>
      <c r="E705" s="45">
        <v>37986</v>
      </c>
      <c r="F705" s="14">
        <f>(16000*3.25)-16000</f>
        <v>36000</v>
      </c>
      <c r="G705" s="14"/>
      <c r="H705" s="14"/>
      <c r="I705" s="31" t="s">
        <v>370</v>
      </c>
      <c r="J705" s="45">
        <v>38814</v>
      </c>
      <c r="K705" s="14">
        <v>15000</v>
      </c>
      <c r="L705" s="14">
        <f>+M705/K705</f>
        <v>31800</v>
      </c>
      <c r="M705" s="14">
        <v>477000000</v>
      </c>
      <c r="N705" s="14">
        <v>230760000</v>
      </c>
      <c r="O705" s="14">
        <f t="shared" si="48"/>
        <v>246240000</v>
      </c>
      <c r="P705" s="14"/>
      <c r="Q705" s="14"/>
      <c r="R705" s="402" t="s">
        <v>353</v>
      </c>
      <c r="S705" s="402"/>
      <c r="T705" s="320"/>
      <c r="U705" s="320"/>
    </row>
    <row r="706" spans="1:21" hidden="1">
      <c r="A706" s="31" t="s">
        <v>522</v>
      </c>
      <c r="B706" s="31" t="s">
        <v>367</v>
      </c>
      <c r="C706" s="31" t="s">
        <v>302</v>
      </c>
      <c r="D706" s="14" t="s">
        <v>369</v>
      </c>
      <c r="E706" s="45"/>
      <c r="F706" s="14"/>
      <c r="G706" s="14"/>
      <c r="H706" s="14"/>
      <c r="I706" s="31"/>
      <c r="J706" s="45">
        <v>38916</v>
      </c>
      <c r="K706" s="14">
        <v>12000</v>
      </c>
      <c r="L706" s="14">
        <f t="shared" ref="L706:L711" si="49">+M706/K706</f>
        <v>36923.42083333333</v>
      </c>
      <c r="M706" s="14">
        <v>443081050</v>
      </c>
      <c r="N706" s="14">
        <v>184618378</v>
      </c>
      <c r="O706" s="14">
        <f t="shared" si="48"/>
        <v>258462672</v>
      </c>
      <c r="P706" s="14"/>
      <c r="Q706" s="14"/>
      <c r="R706" s="402" t="s">
        <v>352</v>
      </c>
      <c r="S706" s="402"/>
      <c r="T706" s="320"/>
      <c r="U706" s="320"/>
    </row>
    <row r="707" spans="1:21" hidden="1">
      <c r="A707" s="31" t="s">
        <v>522</v>
      </c>
      <c r="B707" s="31" t="s">
        <v>367</v>
      </c>
      <c r="C707" s="31" t="s">
        <v>302</v>
      </c>
      <c r="D707" s="14" t="s">
        <v>369</v>
      </c>
      <c r="E707" s="45"/>
      <c r="F707" s="14"/>
      <c r="G707" s="14"/>
      <c r="H707" s="14"/>
      <c r="I707" s="31"/>
      <c r="J707" s="45">
        <v>38917</v>
      </c>
      <c r="K707" s="14">
        <v>5000</v>
      </c>
      <c r="L707" s="14">
        <f t="shared" si="49"/>
        <v>41047.08</v>
      </c>
      <c r="M707" s="14">
        <v>205235400</v>
      </c>
      <c r="N707" s="14">
        <v>76924324</v>
      </c>
      <c r="O707" s="14">
        <f t="shared" si="48"/>
        <v>128311076</v>
      </c>
      <c r="P707" s="14"/>
      <c r="Q707" s="14"/>
      <c r="R707" s="402" t="s">
        <v>352</v>
      </c>
      <c r="S707" s="402"/>
      <c r="T707" s="320"/>
      <c r="U707" s="320"/>
    </row>
    <row r="708" spans="1:21" hidden="1">
      <c r="A708" s="31" t="s">
        <v>522</v>
      </c>
      <c r="B708" s="31" t="s">
        <v>367</v>
      </c>
      <c r="C708" s="31" t="s">
        <v>302</v>
      </c>
      <c r="D708" s="14" t="s">
        <v>369</v>
      </c>
      <c r="E708" s="45"/>
      <c r="F708" s="14"/>
      <c r="G708" s="14"/>
      <c r="H708" s="14"/>
      <c r="I708" s="31"/>
      <c r="J708" s="45">
        <v>38919</v>
      </c>
      <c r="K708" s="14">
        <v>10000</v>
      </c>
      <c r="L708" s="14">
        <f t="shared" si="49"/>
        <v>40405.06</v>
      </c>
      <c r="M708" s="14">
        <v>404050600</v>
      </c>
      <c r="N708" s="14">
        <v>153848649</v>
      </c>
      <c r="O708" s="14">
        <f t="shared" si="48"/>
        <v>250201951</v>
      </c>
      <c r="P708" s="14"/>
      <c r="Q708" s="14"/>
      <c r="R708" s="402" t="s">
        <v>352</v>
      </c>
      <c r="S708" s="402"/>
      <c r="T708" s="320"/>
      <c r="U708" s="320"/>
    </row>
    <row r="709" spans="1:21" hidden="1">
      <c r="A709" s="31" t="s">
        <v>522</v>
      </c>
      <c r="B709" s="31" t="s">
        <v>367</v>
      </c>
      <c r="C709" s="31" t="s">
        <v>302</v>
      </c>
      <c r="D709" s="14" t="s">
        <v>369</v>
      </c>
      <c r="E709" s="45"/>
      <c r="F709" s="14"/>
      <c r="G709" s="14"/>
      <c r="H709" s="14"/>
      <c r="I709" s="31"/>
      <c r="J709" s="45">
        <v>38922</v>
      </c>
      <c r="K709" s="14">
        <v>1000</v>
      </c>
      <c r="L709" s="14">
        <f t="shared" si="49"/>
        <v>44000</v>
      </c>
      <c r="M709" s="14">
        <v>44000000</v>
      </c>
      <c r="N709" s="14">
        <v>15384865</v>
      </c>
      <c r="O709" s="14">
        <f t="shared" si="48"/>
        <v>28615135</v>
      </c>
      <c r="P709" s="14"/>
      <c r="Q709" s="14"/>
      <c r="R709" s="402" t="s">
        <v>352</v>
      </c>
      <c r="S709" s="402"/>
      <c r="T709" s="320"/>
      <c r="U709" s="320"/>
    </row>
    <row r="710" spans="1:21" hidden="1">
      <c r="A710" s="31" t="s">
        <v>522</v>
      </c>
      <c r="B710" s="31" t="s">
        <v>367</v>
      </c>
      <c r="C710" s="31" t="s">
        <v>302</v>
      </c>
      <c r="D710" s="14" t="s">
        <v>369</v>
      </c>
      <c r="E710" s="45"/>
      <c r="F710" s="14"/>
      <c r="G710" s="14"/>
      <c r="H710" s="14"/>
      <c r="I710" s="31"/>
      <c r="J710" s="45">
        <v>38929</v>
      </c>
      <c r="K710" s="14">
        <v>6000</v>
      </c>
      <c r="L710" s="14">
        <f t="shared" si="49"/>
        <v>41674.941666666666</v>
      </c>
      <c r="M710" s="14">
        <v>250049650</v>
      </c>
      <c r="N710" s="14">
        <v>92309189</v>
      </c>
      <c r="O710" s="14">
        <f t="shared" si="48"/>
        <v>157740461</v>
      </c>
      <c r="P710" s="14"/>
      <c r="Q710" s="14"/>
      <c r="R710" s="402" t="s">
        <v>352</v>
      </c>
      <c r="S710" s="402"/>
      <c r="T710" s="320"/>
      <c r="U710" s="320"/>
    </row>
    <row r="711" spans="1:21" hidden="1">
      <c r="A711" s="31" t="s">
        <v>522</v>
      </c>
      <c r="B711" s="31" t="s">
        <v>367</v>
      </c>
      <c r="C711" s="36" t="s">
        <v>302</v>
      </c>
      <c r="D711" s="11" t="s">
        <v>369</v>
      </c>
      <c r="E711" s="46"/>
      <c r="F711" s="11"/>
      <c r="G711" s="11"/>
      <c r="H711" s="11"/>
      <c r="I711" s="36"/>
      <c r="J711" s="46">
        <v>38966</v>
      </c>
      <c r="K711" s="11">
        <v>3000</v>
      </c>
      <c r="L711" s="11">
        <f t="shared" si="49"/>
        <v>30544.916666666668</v>
      </c>
      <c r="M711" s="11">
        <v>91634750</v>
      </c>
      <c r="N711" s="11">
        <v>46154595</v>
      </c>
      <c r="O711" s="11">
        <f t="shared" si="48"/>
        <v>45480155</v>
      </c>
      <c r="P711" s="11">
        <f>+SUM(H704:H711)-SUM(N704:N711)</f>
        <v>0</v>
      </c>
      <c r="Q711" s="11"/>
      <c r="R711" s="403" t="s">
        <v>352</v>
      </c>
      <c r="S711" s="403"/>
      <c r="T711" s="321"/>
      <c r="U711" s="321"/>
    </row>
    <row r="712" spans="1:21" hidden="1">
      <c r="A712" s="31" t="s">
        <v>522</v>
      </c>
      <c r="B712" s="31" t="s">
        <v>367</v>
      </c>
      <c r="C712" s="25" t="s">
        <v>309</v>
      </c>
      <c r="D712" s="20" t="s">
        <v>371</v>
      </c>
      <c r="E712" s="44">
        <v>37482</v>
      </c>
      <c r="F712" s="20"/>
      <c r="G712" s="20"/>
      <c r="H712" s="20">
        <v>400000000</v>
      </c>
      <c r="I712" s="25" t="s">
        <v>372</v>
      </c>
      <c r="J712" s="44">
        <v>37624</v>
      </c>
      <c r="K712" s="20"/>
      <c r="L712" s="20"/>
      <c r="M712" s="20">
        <v>1545205</v>
      </c>
      <c r="N712" s="20">
        <v>0</v>
      </c>
      <c r="O712" s="20">
        <f t="shared" si="48"/>
        <v>1545205</v>
      </c>
      <c r="P712" s="20"/>
      <c r="Q712" s="20"/>
      <c r="R712" s="401" t="s">
        <v>347</v>
      </c>
      <c r="S712" s="401"/>
      <c r="T712" s="319"/>
      <c r="U712" s="319"/>
    </row>
    <row r="713" spans="1:21" hidden="1">
      <c r="A713" s="31" t="s">
        <v>522</v>
      </c>
      <c r="B713" s="31" t="s">
        <v>367</v>
      </c>
      <c r="C713" s="31" t="s">
        <v>309</v>
      </c>
      <c r="D713" s="14" t="s">
        <v>371</v>
      </c>
      <c r="E713" s="45"/>
      <c r="F713" s="14"/>
      <c r="G713" s="14"/>
      <c r="H713" s="14"/>
      <c r="I713" s="31"/>
      <c r="J713" s="45">
        <v>37986</v>
      </c>
      <c r="K713" s="14"/>
      <c r="L713" s="14"/>
      <c r="M713" s="14">
        <v>4000000</v>
      </c>
      <c r="N713" s="14">
        <v>0</v>
      </c>
      <c r="O713" s="14">
        <f t="shared" si="48"/>
        <v>4000000</v>
      </c>
      <c r="P713" s="14"/>
      <c r="Q713" s="14"/>
      <c r="R713" s="402" t="s">
        <v>347</v>
      </c>
      <c r="S713" s="402"/>
      <c r="T713" s="320"/>
      <c r="U713" s="320"/>
    </row>
    <row r="714" spans="1:21" hidden="1">
      <c r="A714" s="31" t="s">
        <v>522</v>
      </c>
      <c r="B714" s="31" t="s">
        <v>367</v>
      </c>
      <c r="C714" s="36" t="s">
        <v>309</v>
      </c>
      <c r="D714" s="11" t="s">
        <v>371</v>
      </c>
      <c r="E714" s="46"/>
      <c r="F714" s="11"/>
      <c r="G714" s="11"/>
      <c r="H714" s="11"/>
      <c r="I714" s="36"/>
      <c r="J714" s="46">
        <v>38786</v>
      </c>
      <c r="K714" s="11"/>
      <c r="L714" s="11"/>
      <c r="M714" s="11">
        <v>414634147</v>
      </c>
      <c r="N714" s="11">
        <v>400000000</v>
      </c>
      <c r="O714" s="11">
        <f t="shared" si="48"/>
        <v>14634147</v>
      </c>
      <c r="P714" s="11">
        <f>+SUM(H712:H714)-SUM(N712:N714)</f>
        <v>0</v>
      </c>
      <c r="Q714" s="11"/>
      <c r="R714" s="403" t="s">
        <v>373</v>
      </c>
      <c r="S714" s="403"/>
      <c r="T714" s="321"/>
      <c r="U714" s="321"/>
    </row>
    <row r="715" spans="1:21" hidden="1">
      <c r="A715" s="31" t="s">
        <v>522</v>
      </c>
      <c r="B715" s="31" t="s">
        <v>367</v>
      </c>
      <c r="C715" s="25" t="s">
        <v>314</v>
      </c>
      <c r="D715" s="20" t="s">
        <v>374</v>
      </c>
      <c r="E715" s="44">
        <v>37320</v>
      </c>
      <c r="F715" s="20"/>
      <c r="G715" s="20"/>
      <c r="H715" s="20">
        <v>300000000</v>
      </c>
      <c r="I715" s="25" t="s">
        <v>375</v>
      </c>
      <c r="J715" s="44">
        <v>37526</v>
      </c>
      <c r="K715" s="20"/>
      <c r="L715" s="20"/>
      <c r="M715" s="20">
        <v>7000000</v>
      </c>
      <c r="N715" s="20">
        <v>7000000</v>
      </c>
      <c r="O715" s="20">
        <f t="shared" si="48"/>
        <v>0</v>
      </c>
      <c r="P715" s="20"/>
      <c r="Q715" s="20"/>
      <c r="R715" s="401" t="s">
        <v>306</v>
      </c>
      <c r="S715" s="401"/>
      <c r="T715" s="319"/>
      <c r="U715" s="319"/>
    </row>
    <row r="716" spans="1:21" hidden="1">
      <c r="A716" s="31" t="s">
        <v>522</v>
      </c>
      <c r="B716" s="31" t="s">
        <v>367</v>
      </c>
      <c r="C716" s="31" t="s">
        <v>314</v>
      </c>
      <c r="D716" s="14" t="s">
        <v>374</v>
      </c>
      <c r="E716" s="45"/>
      <c r="F716" s="14"/>
      <c r="G716" s="14"/>
      <c r="H716" s="14"/>
      <c r="I716" s="31"/>
      <c r="J716" s="45">
        <v>37553</v>
      </c>
      <c r="K716" s="14"/>
      <c r="L716" s="14"/>
      <c r="M716" s="14">
        <v>10000000</v>
      </c>
      <c r="N716" s="14">
        <v>10000000</v>
      </c>
      <c r="O716" s="14">
        <f t="shared" si="48"/>
        <v>0</v>
      </c>
      <c r="P716" s="14"/>
      <c r="Q716" s="14"/>
      <c r="R716" s="402" t="s">
        <v>306</v>
      </c>
      <c r="S716" s="402"/>
      <c r="T716" s="320"/>
      <c r="U716" s="320"/>
    </row>
    <row r="717" spans="1:21" hidden="1">
      <c r="A717" s="31" t="s">
        <v>522</v>
      </c>
      <c r="B717" s="31" t="s">
        <v>367</v>
      </c>
      <c r="C717" s="31" t="s">
        <v>314</v>
      </c>
      <c r="D717" s="14" t="s">
        <v>374</v>
      </c>
      <c r="E717" s="45"/>
      <c r="F717" s="14"/>
      <c r="G717" s="14"/>
      <c r="H717" s="14"/>
      <c r="I717" s="31"/>
      <c r="J717" s="45">
        <v>37582</v>
      </c>
      <c r="K717" s="14"/>
      <c r="L717" s="14"/>
      <c r="M717" s="14">
        <v>7000000</v>
      </c>
      <c r="N717" s="14">
        <v>7000000</v>
      </c>
      <c r="O717" s="14">
        <f t="shared" si="48"/>
        <v>0</v>
      </c>
      <c r="P717" s="14"/>
      <c r="Q717" s="14"/>
      <c r="R717" s="402" t="s">
        <v>306</v>
      </c>
      <c r="S717" s="402"/>
      <c r="T717" s="320"/>
      <c r="U717" s="320"/>
    </row>
    <row r="718" spans="1:21" hidden="1">
      <c r="A718" s="31" t="s">
        <v>522</v>
      </c>
      <c r="B718" s="31" t="s">
        <v>367</v>
      </c>
      <c r="C718" s="31" t="s">
        <v>314</v>
      </c>
      <c r="D718" s="14" t="s">
        <v>374</v>
      </c>
      <c r="E718" s="45"/>
      <c r="F718" s="14"/>
      <c r="G718" s="14"/>
      <c r="H718" s="14"/>
      <c r="I718" s="31"/>
      <c r="J718" s="45">
        <v>37613</v>
      </c>
      <c r="K718" s="14"/>
      <c r="L718" s="14"/>
      <c r="M718" s="14">
        <v>14000000</v>
      </c>
      <c r="N718" s="14">
        <v>14000000</v>
      </c>
      <c r="O718" s="14">
        <f t="shared" si="48"/>
        <v>0</v>
      </c>
      <c r="P718" s="14"/>
      <c r="Q718" s="14"/>
      <c r="R718" s="402" t="s">
        <v>306</v>
      </c>
      <c r="S718" s="402"/>
      <c r="T718" s="320"/>
      <c r="U718" s="320"/>
    </row>
    <row r="719" spans="1:21" hidden="1">
      <c r="A719" s="31" t="s">
        <v>522</v>
      </c>
      <c r="B719" s="31" t="s">
        <v>367</v>
      </c>
      <c r="C719" s="31" t="s">
        <v>314</v>
      </c>
      <c r="D719" s="14" t="s">
        <v>374</v>
      </c>
      <c r="E719" s="45"/>
      <c r="F719" s="14"/>
      <c r="G719" s="14"/>
      <c r="H719" s="14"/>
      <c r="I719" s="31"/>
      <c r="J719" s="45">
        <v>37621</v>
      </c>
      <c r="K719" s="14"/>
      <c r="L719" s="14"/>
      <c r="M719" s="14">
        <v>0</v>
      </c>
      <c r="N719" s="14">
        <v>211000000</v>
      </c>
      <c r="O719" s="14">
        <f t="shared" si="48"/>
        <v>-211000000</v>
      </c>
      <c r="P719" s="14"/>
      <c r="Q719" s="14"/>
      <c r="R719" s="402" t="s">
        <v>376</v>
      </c>
      <c r="S719" s="402"/>
      <c r="T719" s="320"/>
      <c r="U719" s="320"/>
    </row>
    <row r="720" spans="1:21" hidden="1">
      <c r="A720" s="31" t="s">
        <v>522</v>
      </c>
      <c r="B720" s="31" t="s">
        <v>367</v>
      </c>
      <c r="C720" s="31" t="s">
        <v>314</v>
      </c>
      <c r="D720" s="14" t="s">
        <v>374</v>
      </c>
      <c r="E720" s="45"/>
      <c r="F720" s="14"/>
      <c r="G720" s="14"/>
      <c r="H720" s="14"/>
      <c r="I720" s="31"/>
      <c r="J720" s="45">
        <v>37986</v>
      </c>
      <c r="K720" s="14"/>
      <c r="L720" s="14"/>
      <c r="M720" s="14">
        <f>13000000+1000000</f>
        <v>14000000</v>
      </c>
      <c r="N720" s="14">
        <v>14000000</v>
      </c>
      <c r="O720" s="14">
        <f t="shared" si="48"/>
        <v>0</v>
      </c>
      <c r="P720" s="14"/>
      <c r="Q720" s="14"/>
      <c r="R720" s="402" t="s">
        <v>306</v>
      </c>
      <c r="S720" s="402"/>
      <c r="T720" s="320"/>
      <c r="U720" s="320"/>
    </row>
    <row r="721" spans="1:21" hidden="1">
      <c r="A721" s="31" t="s">
        <v>522</v>
      </c>
      <c r="B721" s="31" t="s">
        <v>367</v>
      </c>
      <c r="C721" s="31" t="s">
        <v>314</v>
      </c>
      <c r="D721" s="14" t="s">
        <v>374</v>
      </c>
      <c r="E721" s="45"/>
      <c r="F721" s="14"/>
      <c r="G721" s="14"/>
      <c r="H721" s="14"/>
      <c r="I721" s="31"/>
      <c r="J721" s="45">
        <v>38019</v>
      </c>
      <c r="K721" s="14"/>
      <c r="L721" s="14"/>
      <c r="M721" s="14">
        <f>5000000+7000000</f>
        <v>12000000</v>
      </c>
      <c r="N721" s="14">
        <v>7000000</v>
      </c>
      <c r="O721" s="14">
        <f t="shared" si="48"/>
        <v>5000000</v>
      </c>
      <c r="P721" s="14"/>
      <c r="Q721" s="14"/>
      <c r="R721" s="402" t="s">
        <v>306</v>
      </c>
      <c r="S721" s="402"/>
      <c r="T721" s="320"/>
      <c r="U721" s="320"/>
    </row>
    <row r="722" spans="1:21" hidden="1">
      <c r="A722" s="31" t="s">
        <v>522</v>
      </c>
      <c r="B722" s="31" t="s">
        <v>367</v>
      </c>
      <c r="C722" s="31" t="s">
        <v>314</v>
      </c>
      <c r="D722" s="14" t="s">
        <v>374</v>
      </c>
      <c r="E722" s="45"/>
      <c r="F722" s="14"/>
      <c r="G722" s="14"/>
      <c r="H722" s="14"/>
      <c r="I722" s="31"/>
      <c r="J722" s="45">
        <v>38352</v>
      </c>
      <c r="K722" s="14"/>
      <c r="L722" s="14"/>
      <c r="M722" s="14">
        <v>0</v>
      </c>
      <c r="N722" s="14">
        <v>30000000</v>
      </c>
      <c r="O722" s="14">
        <f t="shared" si="48"/>
        <v>-30000000</v>
      </c>
      <c r="P722" s="14"/>
      <c r="Q722" s="14"/>
      <c r="R722" s="402" t="s">
        <v>376</v>
      </c>
      <c r="S722" s="402"/>
      <c r="T722" s="320"/>
      <c r="U722" s="320"/>
    </row>
    <row r="723" spans="1:21" hidden="1">
      <c r="A723" s="31" t="s">
        <v>522</v>
      </c>
      <c r="B723" s="31" t="s">
        <v>367</v>
      </c>
      <c r="C723" s="36" t="s">
        <v>314</v>
      </c>
      <c r="D723" s="11" t="s">
        <v>374</v>
      </c>
      <c r="E723" s="46"/>
      <c r="F723" s="11"/>
      <c r="G723" s="11"/>
      <c r="H723" s="11"/>
      <c r="I723" s="36"/>
      <c r="J723" s="46">
        <v>39444</v>
      </c>
      <c r="K723" s="11"/>
      <c r="L723" s="11"/>
      <c r="M723" s="11">
        <f>5827916+1910534</f>
        <v>7738450</v>
      </c>
      <c r="N723" s="11">
        <v>0</v>
      </c>
      <c r="O723" s="11">
        <f t="shared" si="48"/>
        <v>7738450</v>
      </c>
      <c r="P723" s="11">
        <f>+SUM(H715:H723)-SUM(N715:N723)</f>
        <v>0</v>
      </c>
      <c r="Q723" s="11"/>
      <c r="R723" s="403" t="s">
        <v>353</v>
      </c>
      <c r="S723" s="403"/>
      <c r="T723" s="321"/>
      <c r="U723" s="321"/>
    </row>
    <row r="724" spans="1:21" hidden="1">
      <c r="A724" s="31" t="s">
        <v>522</v>
      </c>
      <c r="B724" s="31" t="s">
        <v>367</v>
      </c>
      <c r="C724" s="3" t="s">
        <v>314</v>
      </c>
      <c r="D724" s="20" t="s">
        <v>377</v>
      </c>
      <c r="E724" s="44">
        <v>37323</v>
      </c>
      <c r="F724" s="20"/>
      <c r="G724" s="20"/>
      <c r="H724" s="20">
        <v>700000000</v>
      </c>
      <c r="I724" s="25" t="s">
        <v>375</v>
      </c>
      <c r="J724" s="44">
        <v>38717</v>
      </c>
      <c r="K724" s="20"/>
      <c r="L724" s="20"/>
      <c r="M724" s="20">
        <v>0</v>
      </c>
      <c r="N724" s="20">
        <v>200000000</v>
      </c>
      <c r="O724" s="20">
        <f t="shared" si="48"/>
        <v>-200000000</v>
      </c>
      <c r="P724" s="20"/>
      <c r="Q724" s="20"/>
      <c r="R724" s="401" t="s">
        <v>376</v>
      </c>
      <c r="S724" s="401"/>
      <c r="T724" s="319"/>
      <c r="U724" s="319"/>
    </row>
    <row r="725" spans="1:21" hidden="1">
      <c r="A725" s="31" t="s">
        <v>522</v>
      </c>
      <c r="B725" s="31" t="s">
        <v>367</v>
      </c>
      <c r="C725" s="3" t="s">
        <v>314</v>
      </c>
      <c r="D725" s="14" t="s">
        <v>377</v>
      </c>
      <c r="E725" s="45"/>
      <c r="F725" s="14"/>
      <c r="G725" s="14"/>
      <c r="H725" s="14"/>
      <c r="I725" s="31"/>
      <c r="J725" s="45">
        <v>39245</v>
      </c>
      <c r="K725" s="14"/>
      <c r="L725" s="14"/>
      <c r="M725" s="14">
        <f>200000000+427068492</f>
        <v>627068492</v>
      </c>
      <c r="N725" s="14">
        <v>427068492</v>
      </c>
      <c r="O725" s="14">
        <f t="shared" si="48"/>
        <v>200000000</v>
      </c>
      <c r="P725" s="14"/>
      <c r="Q725" s="14"/>
      <c r="R725" s="91" t="s">
        <v>378</v>
      </c>
      <c r="S725" s="91"/>
      <c r="T725" s="91"/>
      <c r="U725" s="91"/>
    </row>
    <row r="726" spans="1:21" hidden="1">
      <c r="A726" s="31" t="s">
        <v>522</v>
      </c>
      <c r="B726" s="31" t="s">
        <v>367</v>
      </c>
      <c r="C726" s="3" t="s">
        <v>314</v>
      </c>
      <c r="D726" s="11" t="s">
        <v>377</v>
      </c>
      <c r="E726" s="46"/>
      <c r="F726" s="11"/>
      <c r="G726" s="11"/>
      <c r="H726" s="11"/>
      <c r="I726" s="36"/>
      <c r="J726" s="46">
        <v>39475</v>
      </c>
      <c r="K726" s="11"/>
      <c r="L726" s="11"/>
      <c r="M726" s="11">
        <v>1000</v>
      </c>
      <c r="N726" s="11">
        <v>72931508</v>
      </c>
      <c r="O726" s="11">
        <f t="shared" si="48"/>
        <v>-72930508</v>
      </c>
      <c r="P726" s="11">
        <f>+SUM(H724:H726)-SUM(N724:N726)</f>
        <v>0</v>
      </c>
      <c r="Q726" s="11"/>
      <c r="R726" s="403" t="s">
        <v>379</v>
      </c>
      <c r="S726" s="403"/>
      <c r="T726" s="321"/>
      <c r="U726" s="321"/>
    </row>
    <row r="727" spans="1:21" hidden="1">
      <c r="A727" s="31" t="s">
        <v>522</v>
      </c>
      <c r="B727" s="31" t="s">
        <v>367</v>
      </c>
      <c r="C727" s="25" t="s">
        <v>314</v>
      </c>
      <c r="D727" s="20" t="s">
        <v>380</v>
      </c>
      <c r="E727" s="44">
        <v>37356</v>
      </c>
      <c r="F727" s="20"/>
      <c r="G727" s="20"/>
      <c r="H727" s="20">
        <v>100000000</v>
      </c>
      <c r="I727" s="25" t="s">
        <v>375</v>
      </c>
      <c r="J727" s="44">
        <v>37736</v>
      </c>
      <c r="K727" s="20"/>
      <c r="L727" s="20"/>
      <c r="M727" s="20">
        <v>238441360</v>
      </c>
      <c r="N727" s="20">
        <v>124306440</v>
      </c>
      <c r="O727" s="20">
        <f>+M727-N727</f>
        <v>114134920</v>
      </c>
      <c r="P727" s="20"/>
      <c r="Q727" s="20"/>
      <c r="R727" s="401" t="s">
        <v>306</v>
      </c>
      <c r="S727" s="401"/>
      <c r="T727" s="319"/>
      <c r="U727" s="319"/>
    </row>
    <row r="728" spans="1:21" hidden="1">
      <c r="A728" s="31" t="s">
        <v>522</v>
      </c>
      <c r="B728" s="31" t="s">
        <v>367</v>
      </c>
      <c r="C728" s="31" t="s">
        <v>314</v>
      </c>
      <c r="D728" s="14" t="s">
        <v>380</v>
      </c>
      <c r="E728" s="45">
        <v>37461</v>
      </c>
      <c r="F728" s="14"/>
      <c r="G728" s="14"/>
      <c r="H728" s="14">
        <v>24306440</v>
      </c>
      <c r="I728" s="31" t="s">
        <v>375</v>
      </c>
      <c r="J728" s="45">
        <v>37771</v>
      </c>
      <c r="K728" s="14"/>
      <c r="L728" s="14"/>
      <c r="M728" s="14">
        <v>16726492</v>
      </c>
      <c r="N728" s="14">
        <v>0</v>
      </c>
      <c r="O728" s="14">
        <f t="shared" si="48"/>
        <v>16726492</v>
      </c>
      <c r="P728" s="14"/>
      <c r="Q728" s="14"/>
      <c r="R728" s="402" t="s">
        <v>306</v>
      </c>
      <c r="S728" s="402"/>
      <c r="T728" s="320"/>
      <c r="U728" s="320"/>
    </row>
    <row r="729" spans="1:21" hidden="1">
      <c r="A729" s="31" t="s">
        <v>522</v>
      </c>
      <c r="B729" s="31" t="s">
        <v>367</v>
      </c>
      <c r="C729" s="31" t="s">
        <v>314</v>
      </c>
      <c r="D729" s="14" t="s">
        <v>380</v>
      </c>
      <c r="E729" s="45"/>
      <c r="F729" s="14"/>
      <c r="G729" s="14"/>
      <c r="H729" s="14"/>
      <c r="I729" s="31"/>
      <c r="J729" s="45">
        <v>37862</v>
      </c>
      <c r="K729" s="14"/>
      <c r="L729" s="14"/>
      <c r="M729" s="14">
        <v>2337707</v>
      </c>
      <c r="N729" s="14">
        <v>0</v>
      </c>
      <c r="O729" s="14">
        <f t="shared" si="48"/>
        <v>2337707</v>
      </c>
      <c r="P729" s="14"/>
      <c r="Q729" s="14"/>
      <c r="R729" s="402" t="s">
        <v>306</v>
      </c>
      <c r="S729" s="402"/>
      <c r="T729" s="320"/>
      <c r="U729" s="320"/>
    </row>
    <row r="730" spans="1:21" hidden="1">
      <c r="A730" s="31" t="s">
        <v>522</v>
      </c>
      <c r="B730" s="31" t="s">
        <v>367</v>
      </c>
      <c r="C730" s="31" t="s">
        <v>314</v>
      </c>
      <c r="D730" s="14" t="s">
        <v>380</v>
      </c>
      <c r="E730" s="45"/>
      <c r="F730" s="14"/>
      <c r="G730" s="14"/>
      <c r="H730" s="14"/>
      <c r="I730" s="31"/>
      <c r="J730" s="45">
        <v>37924</v>
      </c>
      <c r="K730" s="14"/>
      <c r="L730" s="14"/>
      <c r="M730" s="14">
        <v>8107549</v>
      </c>
      <c r="N730" s="14">
        <v>0</v>
      </c>
      <c r="O730" s="14">
        <f t="shared" si="48"/>
        <v>8107549</v>
      </c>
      <c r="P730" s="14"/>
      <c r="Q730" s="14"/>
      <c r="R730" s="402" t="s">
        <v>306</v>
      </c>
      <c r="S730" s="402"/>
      <c r="T730" s="320"/>
      <c r="U730" s="320"/>
    </row>
    <row r="731" spans="1:21" hidden="1">
      <c r="A731" s="31" t="s">
        <v>522</v>
      </c>
      <c r="B731" s="31" t="s">
        <v>367</v>
      </c>
      <c r="C731" s="31" t="s">
        <v>314</v>
      </c>
      <c r="D731" s="14" t="s">
        <v>380</v>
      </c>
      <c r="E731" s="45"/>
      <c r="F731" s="14"/>
      <c r="G731" s="14"/>
      <c r="H731" s="14"/>
      <c r="I731" s="31"/>
      <c r="J731" s="45">
        <v>38042</v>
      </c>
      <c r="K731" s="14"/>
      <c r="L731" s="14"/>
      <c r="M731" s="14">
        <v>614810</v>
      </c>
      <c r="N731" s="14">
        <v>0</v>
      </c>
      <c r="O731" s="14">
        <f t="shared" si="48"/>
        <v>614810</v>
      </c>
      <c r="P731" s="14"/>
      <c r="Q731" s="14"/>
      <c r="R731" s="402" t="s">
        <v>306</v>
      </c>
      <c r="S731" s="402"/>
      <c r="T731" s="320"/>
      <c r="U731" s="320"/>
    </row>
    <row r="732" spans="1:21" hidden="1">
      <c r="A732" s="31" t="s">
        <v>522</v>
      </c>
      <c r="B732" s="31" t="s">
        <v>367</v>
      </c>
      <c r="C732" s="36" t="s">
        <v>314</v>
      </c>
      <c r="D732" s="11" t="s">
        <v>380</v>
      </c>
      <c r="E732" s="46"/>
      <c r="F732" s="11"/>
      <c r="G732" s="11"/>
      <c r="H732" s="11"/>
      <c r="I732" s="36"/>
      <c r="J732" s="46">
        <v>39451</v>
      </c>
      <c r="K732" s="11"/>
      <c r="L732" s="11"/>
      <c r="M732" s="11">
        <v>20341883</v>
      </c>
      <c r="N732" s="11">
        <v>0</v>
      </c>
      <c r="O732" s="11">
        <f t="shared" si="48"/>
        <v>20341883</v>
      </c>
      <c r="P732" s="11">
        <f>+SUM(H727:H732)-SUM(N727:N732)</f>
        <v>0</v>
      </c>
      <c r="Q732" s="11"/>
      <c r="R732" s="403" t="s">
        <v>353</v>
      </c>
      <c r="S732" s="403"/>
      <c r="T732" s="321"/>
      <c r="U732" s="321"/>
    </row>
    <row r="733" spans="1:21" hidden="1">
      <c r="A733" s="31" t="s">
        <v>522</v>
      </c>
      <c r="B733" s="31" t="s">
        <v>367</v>
      </c>
      <c r="C733" s="3" t="s">
        <v>314</v>
      </c>
      <c r="D733" s="20" t="s">
        <v>381</v>
      </c>
      <c r="E733" s="44">
        <v>37356</v>
      </c>
      <c r="F733" s="20"/>
      <c r="G733" s="20"/>
      <c r="H733" s="20">
        <v>400000000</v>
      </c>
      <c r="I733" s="25" t="s">
        <v>375</v>
      </c>
      <c r="J733" s="44">
        <v>37621</v>
      </c>
      <c r="K733" s="20"/>
      <c r="L733" s="20"/>
      <c r="M733" s="20">
        <v>0</v>
      </c>
      <c r="N733" s="20">
        <v>400000000</v>
      </c>
      <c r="O733" s="20">
        <f t="shared" si="48"/>
        <v>-400000000</v>
      </c>
      <c r="P733" s="20"/>
      <c r="Q733" s="20"/>
      <c r="R733" s="401" t="s">
        <v>376</v>
      </c>
      <c r="S733" s="401"/>
      <c r="T733" s="319"/>
      <c r="U733" s="319"/>
    </row>
    <row r="734" spans="1:21" hidden="1">
      <c r="A734" s="31" t="s">
        <v>522</v>
      </c>
      <c r="B734" s="31" t="s">
        <v>367</v>
      </c>
      <c r="C734" s="3" t="s">
        <v>314</v>
      </c>
      <c r="D734" s="11" t="s">
        <v>381</v>
      </c>
      <c r="E734" s="46"/>
      <c r="F734" s="11"/>
      <c r="G734" s="11"/>
      <c r="H734" s="11"/>
      <c r="I734" s="36"/>
      <c r="J734" s="46">
        <v>39475</v>
      </c>
      <c r="K734" s="11"/>
      <c r="L734" s="11"/>
      <c r="M734" s="11">
        <v>1000</v>
      </c>
      <c r="N734" s="11">
        <v>0</v>
      </c>
      <c r="O734" s="11">
        <f t="shared" si="48"/>
        <v>1000</v>
      </c>
      <c r="P734" s="11">
        <f>+SUM(H733:H734)-SUM(N733:N734)</f>
        <v>0</v>
      </c>
      <c r="Q734" s="11"/>
      <c r="R734" s="403" t="s">
        <v>379</v>
      </c>
      <c r="S734" s="403"/>
      <c r="T734" s="321"/>
      <c r="U734" s="321"/>
    </row>
    <row r="735" spans="1:21" hidden="1">
      <c r="A735" s="31" t="s">
        <v>522</v>
      </c>
      <c r="B735" s="31" t="s">
        <v>367</v>
      </c>
      <c r="C735" s="25" t="s">
        <v>314</v>
      </c>
      <c r="D735" s="20" t="s">
        <v>382</v>
      </c>
      <c r="E735" s="44">
        <v>37419</v>
      </c>
      <c r="F735" s="20"/>
      <c r="G735" s="20"/>
      <c r="H735" s="20">
        <v>100000000</v>
      </c>
      <c r="I735" s="25" t="s">
        <v>375</v>
      </c>
      <c r="J735" s="44">
        <v>37613</v>
      </c>
      <c r="K735" s="20"/>
      <c r="L735" s="20"/>
      <c r="M735" s="20">
        <v>12000000</v>
      </c>
      <c r="N735" s="20">
        <v>12000000</v>
      </c>
      <c r="O735" s="20">
        <f t="shared" si="48"/>
        <v>0</v>
      </c>
      <c r="P735" s="20"/>
      <c r="Q735" s="20"/>
      <c r="R735" s="401" t="s">
        <v>306</v>
      </c>
      <c r="S735" s="401"/>
      <c r="T735" s="319"/>
      <c r="U735" s="319"/>
    </row>
    <row r="736" spans="1:21" hidden="1">
      <c r="A736" s="31" t="s">
        <v>522</v>
      </c>
      <c r="B736" s="31" t="s">
        <v>367</v>
      </c>
      <c r="C736" s="31" t="s">
        <v>314</v>
      </c>
      <c r="D736" s="14" t="s">
        <v>382</v>
      </c>
      <c r="E736" s="45"/>
      <c r="F736" s="14"/>
      <c r="G736" s="14"/>
      <c r="H736" s="14"/>
      <c r="I736" s="31"/>
      <c r="J736" s="45">
        <v>37621</v>
      </c>
      <c r="K736" s="14"/>
      <c r="L736" s="14"/>
      <c r="M736" s="14">
        <v>0</v>
      </c>
      <c r="N736" s="14">
        <v>60000000</v>
      </c>
      <c r="O736" s="14">
        <f t="shared" si="48"/>
        <v>-60000000</v>
      </c>
      <c r="P736" s="14"/>
      <c r="Q736" s="14"/>
      <c r="R736" s="402" t="s">
        <v>376</v>
      </c>
      <c r="S736" s="402"/>
      <c r="T736" s="320"/>
      <c r="U736" s="320"/>
    </row>
    <row r="737" spans="1:21" hidden="1">
      <c r="A737" s="31" t="s">
        <v>522</v>
      </c>
      <c r="B737" s="31" t="s">
        <v>367</v>
      </c>
      <c r="C737" s="31" t="s">
        <v>314</v>
      </c>
      <c r="D737" s="14" t="s">
        <v>382</v>
      </c>
      <c r="E737" s="45"/>
      <c r="F737" s="14"/>
      <c r="G737" s="14"/>
      <c r="H737" s="14"/>
      <c r="I737" s="31"/>
      <c r="J737" s="45">
        <v>37645</v>
      </c>
      <c r="K737" s="14"/>
      <c r="L737" s="14"/>
      <c r="M737" s="14">
        <v>8000000</v>
      </c>
      <c r="N737" s="14">
        <v>8000000</v>
      </c>
      <c r="O737" s="14">
        <f t="shared" si="48"/>
        <v>0</v>
      </c>
      <c r="P737" s="14"/>
      <c r="Q737" s="14"/>
      <c r="R737" s="402" t="s">
        <v>306</v>
      </c>
      <c r="S737" s="402"/>
      <c r="T737" s="320"/>
      <c r="U737" s="320"/>
    </row>
    <row r="738" spans="1:21" hidden="1">
      <c r="A738" s="31" t="s">
        <v>522</v>
      </c>
      <c r="B738" s="31" t="s">
        <v>367</v>
      </c>
      <c r="C738" s="31" t="s">
        <v>314</v>
      </c>
      <c r="D738" s="14" t="s">
        <v>382</v>
      </c>
      <c r="E738" s="45"/>
      <c r="F738" s="14"/>
      <c r="G738" s="14"/>
      <c r="H738" s="14"/>
      <c r="I738" s="31"/>
      <c r="J738" s="45">
        <v>37704</v>
      </c>
      <c r="K738" s="14"/>
      <c r="L738" s="14"/>
      <c r="M738" s="14">
        <v>1500000</v>
      </c>
      <c r="N738" s="14">
        <v>1500000</v>
      </c>
      <c r="O738" s="14">
        <f t="shared" si="48"/>
        <v>0</v>
      </c>
      <c r="P738" s="14"/>
      <c r="Q738" s="14"/>
      <c r="R738" s="402" t="s">
        <v>306</v>
      </c>
      <c r="S738" s="402"/>
      <c r="T738" s="320"/>
      <c r="U738" s="320"/>
    </row>
    <row r="739" spans="1:21" hidden="1">
      <c r="A739" s="31" t="s">
        <v>522</v>
      </c>
      <c r="B739" s="31" t="s">
        <v>367</v>
      </c>
      <c r="C739" s="31" t="s">
        <v>314</v>
      </c>
      <c r="D739" s="14" t="s">
        <v>382</v>
      </c>
      <c r="E739" s="45"/>
      <c r="F739" s="14"/>
      <c r="G739" s="14"/>
      <c r="H739" s="14"/>
      <c r="I739" s="31"/>
      <c r="J739" s="45">
        <v>37833</v>
      </c>
      <c r="K739" s="14"/>
      <c r="L739" s="14"/>
      <c r="M739" s="14">
        <v>5000000</v>
      </c>
      <c r="N739" s="14">
        <v>5000000</v>
      </c>
      <c r="O739" s="14">
        <f t="shared" si="48"/>
        <v>0</v>
      </c>
      <c r="P739" s="14"/>
      <c r="Q739" s="14"/>
      <c r="R739" s="402" t="s">
        <v>306</v>
      </c>
      <c r="S739" s="402"/>
      <c r="T739" s="320"/>
      <c r="U739" s="320"/>
    </row>
    <row r="740" spans="1:21" hidden="1">
      <c r="A740" s="31" t="s">
        <v>522</v>
      </c>
      <c r="B740" s="31" t="s">
        <v>367</v>
      </c>
      <c r="C740" s="31" t="s">
        <v>314</v>
      </c>
      <c r="D740" s="14" t="s">
        <v>382</v>
      </c>
      <c r="E740" s="45"/>
      <c r="F740" s="14"/>
      <c r="G740" s="14"/>
      <c r="H740" s="14"/>
      <c r="I740" s="31"/>
      <c r="J740" s="45">
        <v>37894</v>
      </c>
      <c r="K740" s="14"/>
      <c r="L740" s="14"/>
      <c r="M740" s="14">
        <v>2000000</v>
      </c>
      <c r="N740" s="14">
        <v>2000000</v>
      </c>
      <c r="O740" s="14">
        <f t="shared" si="48"/>
        <v>0</v>
      </c>
      <c r="P740" s="14"/>
      <c r="Q740" s="14"/>
      <c r="R740" s="402" t="s">
        <v>306</v>
      </c>
      <c r="S740" s="402"/>
      <c r="T740" s="320"/>
      <c r="U740" s="320"/>
    </row>
    <row r="741" spans="1:21" hidden="1">
      <c r="A741" s="31" t="s">
        <v>522</v>
      </c>
      <c r="B741" s="31" t="s">
        <v>367</v>
      </c>
      <c r="C741" s="31" t="s">
        <v>314</v>
      </c>
      <c r="D741" s="14" t="s">
        <v>382</v>
      </c>
      <c r="E741" s="45"/>
      <c r="F741" s="14"/>
      <c r="G741" s="14"/>
      <c r="H741" s="14"/>
      <c r="I741" s="31"/>
      <c r="J741" s="45">
        <v>37925</v>
      </c>
      <c r="K741" s="14"/>
      <c r="L741" s="14"/>
      <c r="M741" s="14">
        <v>1000000</v>
      </c>
      <c r="N741" s="14">
        <v>1000000</v>
      </c>
      <c r="O741" s="14">
        <f t="shared" si="48"/>
        <v>0</v>
      </c>
      <c r="P741" s="14"/>
      <c r="Q741" s="14"/>
      <c r="R741" s="402" t="s">
        <v>306</v>
      </c>
      <c r="S741" s="402"/>
      <c r="T741" s="320"/>
      <c r="U741" s="320"/>
    </row>
    <row r="742" spans="1:21" hidden="1">
      <c r="A742" s="31" t="s">
        <v>522</v>
      </c>
      <c r="B742" s="31" t="s">
        <v>367</v>
      </c>
      <c r="C742" s="31" t="s">
        <v>314</v>
      </c>
      <c r="D742" s="14" t="s">
        <v>382</v>
      </c>
      <c r="E742" s="45"/>
      <c r="F742" s="14"/>
      <c r="G742" s="14"/>
      <c r="H742" s="14"/>
      <c r="I742" s="31"/>
      <c r="J742" s="45">
        <v>37953</v>
      </c>
      <c r="K742" s="14"/>
      <c r="L742" s="14"/>
      <c r="M742" s="14">
        <v>1000000</v>
      </c>
      <c r="N742" s="14">
        <v>1000000</v>
      </c>
      <c r="O742" s="14">
        <f t="shared" si="48"/>
        <v>0</v>
      </c>
      <c r="P742" s="14"/>
      <c r="Q742" s="14"/>
      <c r="R742" s="402" t="s">
        <v>306</v>
      </c>
      <c r="S742" s="402"/>
      <c r="T742" s="320"/>
      <c r="U742" s="320"/>
    </row>
    <row r="743" spans="1:21" hidden="1">
      <c r="A743" s="31" t="s">
        <v>522</v>
      </c>
      <c r="B743" s="31" t="s">
        <v>367</v>
      </c>
      <c r="C743" s="31" t="s">
        <v>314</v>
      </c>
      <c r="D743" s="14" t="s">
        <v>382</v>
      </c>
      <c r="E743" s="45"/>
      <c r="F743" s="14"/>
      <c r="G743" s="14"/>
      <c r="H743" s="14"/>
      <c r="I743" s="31"/>
      <c r="J743" s="45">
        <v>38019</v>
      </c>
      <c r="K743" s="14"/>
      <c r="L743" s="14"/>
      <c r="M743" s="14">
        <v>2500000</v>
      </c>
      <c r="N743" s="14">
        <v>2500000</v>
      </c>
      <c r="O743" s="14">
        <f t="shared" si="48"/>
        <v>0</v>
      </c>
      <c r="P743" s="14"/>
      <c r="Q743" s="14"/>
      <c r="R743" s="402" t="s">
        <v>306</v>
      </c>
      <c r="S743" s="402"/>
      <c r="T743" s="320"/>
      <c r="U743" s="320"/>
    </row>
    <row r="744" spans="1:21" hidden="1">
      <c r="A744" s="31" t="s">
        <v>522</v>
      </c>
      <c r="B744" s="31" t="s">
        <v>367</v>
      </c>
      <c r="C744" s="31" t="s">
        <v>314</v>
      </c>
      <c r="D744" s="14" t="s">
        <v>382</v>
      </c>
      <c r="E744" s="45"/>
      <c r="F744" s="14"/>
      <c r="G744" s="14"/>
      <c r="H744" s="14"/>
      <c r="I744" s="31"/>
      <c r="J744" s="45">
        <v>38079</v>
      </c>
      <c r="K744" s="14"/>
      <c r="L744" s="14"/>
      <c r="M744" s="14">
        <v>1000000</v>
      </c>
      <c r="N744" s="14">
        <v>1000000</v>
      </c>
      <c r="O744" s="14">
        <f t="shared" si="48"/>
        <v>0</v>
      </c>
      <c r="P744" s="14"/>
      <c r="Q744" s="14"/>
      <c r="R744" s="402" t="s">
        <v>306</v>
      </c>
      <c r="S744" s="402"/>
      <c r="T744" s="320"/>
      <c r="U744" s="320"/>
    </row>
    <row r="745" spans="1:21" hidden="1">
      <c r="A745" s="31" t="s">
        <v>522</v>
      </c>
      <c r="B745" s="31" t="s">
        <v>367</v>
      </c>
      <c r="C745" s="31" t="s">
        <v>314</v>
      </c>
      <c r="D745" s="14" t="s">
        <v>382</v>
      </c>
      <c r="E745" s="45"/>
      <c r="F745" s="14"/>
      <c r="G745" s="14"/>
      <c r="H745" s="14"/>
      <c r="I745" s="31"/>
      <c r="J745" s="45">
        <v>38352</v>
      </c>
      <c r="K745" s="14"/>
      <c r="L745" s="14"/>
      <c r="M745" s="14">
        <v>0</v>
      </c>
      <c r="N745" s="14">
        <v>6000000</v>
      </c>
      <c r="O745" s="14">
        <f t="shared" si="48"/>
        <v>-6000000</v>
      </c>
      <c r="P745" s="14"/>
      <c r="Q745" s="14"/>
      <c r="R745" s="402" t="s">
        <v>376</v>
      </c>
      <c r="S745" s="402"/>
      <c r="T745" s="320"/>
      <c r="U745" s="320"/>
    </row>
    <row r="746" spans="1:21" hidden="1">
      <c r="A746" s="31" t="s">
        <v>522</v>
      </c>
      <c r="B746" s="31" t="s">
        <v>367</v>
      </c>
      <c r="C746" s="36" t="s">
        <v>314</v>
      </c>
      <c r="D746" s="11" t="s">
        <v>382</v>
      </c>
      <c r="E746" s="46"/>
      <c r="F746" s="11"/>
      <c r="G746" s="11"/>
      <c r="H746" s="11"/>
      <c r="I746" s="36"/>
      <c r="J746" s="46">
        <v>39444</v>
      </c>
      <c r="K746" s="11"/>
      <c r="L746" s="11"/>
      <c r="M746" s="11">
        <v>4958296</v>
      </c>
      <c r="N746" s="11">
        <v>0</v>
      </c>
      <c r="O746" s="11">
        <f t="shared" si="48"/>
        <v>4958296</v>
      </c>
      <c r="P746" s="11">
        <f>+SUM(H735:H746)-SUM(N735:N746)</f>
        <v>0</v>
      </c>
      <c r="Q746" s="11"/>
      <c r="R746" s="403" t="s">
        <v>353</v>
      </c>
      <c r="S746" s="403"/>
      <c r="T746" s="321"/>
      <c r="U746" s="321"/>
    </row>
    <row r="747" spans="1:21" hidden="1">
      <c r="A747" s="31" t="s">
        <v>522</v>
      </c>
      <c r="B747" s="31" t="s">
        <v>367</v>
      </c>
      <c r="C747" s="25" t="s">
        <v>314</v>
      </c>
      <c r="D747" s="20" t="s">
        <v>383</v>
      </c>
      <c r="E747" s="44">
        <v>37419</v>
      </c>
      <c r="F747" s="20"/>
      <c r="G747" s="20"/>
      <c r="H747" s="20">
        <v>200000000</v>
      </c>
      <c r="I747" s="25" t="s">
        <v>375</v>
      </c>
      <c r="J747" s="44">
        <v>37621</v>
      </c>
      <c r="K747" s="20"/>
      <c r="L747" s="20"/>
      <c r="M747" s="20">
        <v>0</v>
      </c>
      <c r="N747" s="20">
        <v>148000000</v>
      </c>
      <c r="O747" s="20">
        <f t="shared" si="48"/>
        <v>-148000000</v>
      </c>
      <c r="P747" s="20"/>
      <c r="Q747" s="20"/>
      <c r="R747" s="401" t="s">
        <v>376</v>
      </c>
      <c r="S747" s="401"/>
      <c r="T747" s="319"/>
      <c r="U747" s="319"/>
    </row>
    <row r="748" spans="1:21" hidden="1">
      <c r="A748" s="31" t="s">
        <v>522</v>
      </c>
      <c r="B748" s="31" t="s">
        <v>367</v>
      </c>
      <c r="C748" s="31" t="s">
        <v>314</v>
      </c>
      <c r="D748" s="14" t="s">
        <v>383</v>
      </c>
      <c r="E748" s="45"/>
      <c r="F748" s="14"/>
      <c r="G748" s="14"/>
      <c r="H748" s="14"/>
      <c r="I748" s="31"/>
      <c r="J748" s="45">
        <v>37704</v>
      </c>
      <c r="K748" s="14"/>
      <c r="L748" s="14"/>
      <c r="M748" s="14">
        <v>20000000</v>
      </c>
      <c r="N748" s="14">
        <v>20000000</v>
      </c>
      <c r="O748" s="14">
        <f t="shared" si="48"/>
        <v>0</v>
      </c>
      <c r="P748" s="14"/>
      <c r="Q748" s="14"/>
      <c r="R748" s="402" t="s">
        <v>306</v>
      </c>
      <c r="S748" s="402"/>
      <c r="T748" s="320"/>
      <c r="U748" s="320"/>
    </row>
    <row r="749" spans="1:21" hidden="1">
      <c r="A749" s="31" t="s">
        <v>522</v>
      </c>
      <c r="B749" s="31" t="s">
        <v>367</v>
      </c>
      <c r="C749" s="31" t="s">
        <v>314</v>
      </c>
      <c r="D749" s="14" t="s">
        <v>383</v>
      </c>
      <c r="E749" s="45"/>
      <c r="F749" s="14"/>
      <c r="G749" s="14"/>
      <c r="H749" s="14"/>
      <c r="I749" s="31"/>
      <c r="J749" s="45">
        <v>37740</v>
      </c>
      <c r="K749" s="14"/>
      <c r="L749" s="14"/>
      <c r="M749" s="14">
        <f>20000000</f>
        <v>20000000</v>
      </c>
      <c r="N749" s="14">
        <v>20000000</v>
      </c>
      <c r="O749" s="14">
        <f t="shared" si="48"/>
        <v>0</v>
      </c>
      <c r="P749" s="14"/>
      <c r="Q749" s="14"/>
      <c r="R749" s="402" t="s">
        <v>306</v>
      </c>
      <c r="S749" s="402"/>
      <c r="T749" s="320"/>
      <c r="U749" s="320"/>
    </row>
    <row r="750" spans="1:21" hidden="1">
      <c r="A750" s="31" t="s">
        <v>522</v>
      </c>
      <c r="B750" s="31" t="s">
        <v>367</v>
      </c>
      <c r="C750" s="31" t="s">
        <v>314</v>
      </c>
      <c r="D750" s="14" t="s">
        <v>383</v>
      </c>
      <c r="E750" s="45"/>
      <c r="F750" s="14"/>
      <c r="G750" s="14"/>
      <c r="H750" s="14"/>
      <c r="I750" s="31"/>
      <c r="J750" s="45">
        <v>37770</v>
      </c>
      <c r="K750" s="14"/>
      <c r="L750" s="14"/>
      <c r="M750" s="14">
        <v>8000000</v>
      </c>
      <c r="N750" s="14">
        <v>8000000</v>
      </c>
      <c r="O750" s="14">
        <f t="shared" si="48"/>
        <v>0</v>
      </c>
      <c r="P750" s="14"/>
      <c r="Q750" s="14"/>
      <c r="R750" s="402" t="s">
        <v>306</v>
      </c>
      <c r="S750" s="402"/>
      <c r="T750" s="320"/>
      <c r="U750" s="320"/>
    </row>
    <row r="751" spans="1:21" hidden="1">
      <c r="A751" s="31" t="s">
        <v>522</v>
      </c>
      <c r="B751" s="31" t="s">
        <v>367</v>
      </c>
      <c r="C751" s="31" t="s">
        <v>314</v>
      </c>
      <c r="D751" s="14" t="s">
        <v>383</v>
      </c>
      <c r="E751" s="45"/>
      <c r="F751" s="14"/>
      <c r="G751" s="14"/>
      <c r="H751" s="14"/>
      <c r="I751" s="31"/>
      <c r="J751" s="45">
        <v>38111</v>
      </c>
      <c r="K751" s="14"/>
      <c r="L751" s="14"/>
      <c r="M751" s="14">
        <f>4000000+13000000</f>
        <v>17000000</v>
      </c>
      <c r="N751" s="14">
        <f>4000000</f>
        <v>4000000</v>
      </c>
      <c r="O751" s="14">
        <f t="shared" si="48"/>
        <v>13000000</v>
      </c>
      <c r="P751" s="14"/>
      <c r="Q751" s="14"/>
      <c r="R751" s="402" t="s">
        <v>306</v>
      </c>
      <c r="S751" s="402"/>
      <c r="T751" s="320"/>
      <c r="U751" s="320"/>
    </row>
    <row r="752" spans="1:21" hidden="1">
      <c r="A752" s="31" t="s">
        <v>522</v>
      </c>
      <c r="B752" s="31" t="s">
        <v>367</v>
      </c>
      <c r="C752" s="31" t="s">
        <v>314</v>
      </c>
      <c r="D752" s="14" t="s">
        <v>383</v>
      </c>
      <c r="E752" s="45"/>
      <c r="F752" s="14"/>
      <c r="G752" s="14"/>
      <c r="H752" s="14"/>
      <c r="I752" s="31"/>
      <c r="J752" s="45">
        <v>38295</v>
      </c>
      <c r="K752" s="14"/>
      <c r="L752" s="14"/>
      <c r="M752" s="14">
        <v>1000000</v>
      </c>
      <c r="N752" s="14">
        <v>0</v>
      </c>
      <c r="O752" s="14">
        <f t="shared" si="48"/>
        <v>1000000</v>
      </c>
      <c r="P752" s="14"/>
      <c r="Q752" s="14"/>
      <c r="R752" s="402" t="s">
        <v>306</v>
      </c>
      <c r="S752" s="402"/>
      <c r="T752" s="320"/>
      <c r="U752" s="320"/>
    </row>
    <row r="753" spans="1:21" hidden="1">
      <c r="A753" s="31" t="s">
        <v>522</v>
      </c>
      <c r="B753" s="31" t="s">
        <v>367</v>
      </c>
      <c r="C753" s="31" t="s">
        <v>314</v>
      </c>
      <c r="D753" s="14" t="s">
        <v>383</v>
      </c>
      <c r="E753" s="45"/>
      <c r="F753" s="14"/>
      <c r="G753" s="14"/>
      <c r="H753" s="14"/>
      <c r="I753" s="31"/>
      <c r="J753" s="45">
        <v>39283</v>
      </c>
      <c r="K753" s="14"/>
      <c r="L753" s="14"/>
      <c r="M753" s="14">
        <v>5711253</v>
      </c>
      <c r="N753" s="14">
        <v>0</v>
      </c>
      <c r="O753" s="14">
        <f t="shared" si="48"/>
        <v>5711253</v>
      </c>
      <c r="P753" s="14"/>
      <c r="Q753" s="14"/>
      <c r="R753" s="402" t="s">
        <v>306</v>
      </c>
      <c r="S753" s="402"/>
      <c r="T753" s="320"/>
      <c r="U753" s="320"/>
    </row>
    <row r="754" spans="1:21" hidden="1">
      <c r="A754" s="31" t="s">
        <v>522</v>
      </c>
      <c r="B754" s="31" t="s">
        <v>367</v>
      </c>
      <c r="C754" s="36" t="s">
        <v>314</v>
      </c>
      <c r="D754" s="11" t="s">
        <v>383</v>
      </c>
      <c r="E754" s="46"/>
      <c r="F754" s="11"/>
      <c r="G754" s="11"/>
      <c r="H754" s="11"/>
      <c r="I754" s="36"/>
      <c r="J754" s="46">
        <v>39444</v>
      </c>
      <c r="K754" s="11"/>
      <c r="L754" s="11"/>
      <c r="M754" s="11">
        <v>4496559</v>
      </c>
      <c r="N754" s="11">
        <v>0</v>
      </c>
      <c r="O754" s="11">
        <f t="shared" si="48"/>
        <v>4496559</v>
      </c>
      <c r="P754" s="11">
        <f>+SUM(H747:H754)-SUM(N747:N754)</f>
        <v>0</v>
      </c>
      <c r="Q754" s="11"/>
      <c r="R754" s="403" t="s">
        <v>353</v>
      </c>
      <c r="S754" s="403"/>
      <c r="T754" s="321"/>
      <c r="U754" s="321"/>
    </row>
    <row r="755" spans="1:21" hidden="1">
      <c r="A755" s="31" t="s">
        <v>522</v>
      </c>
      <c r="B755" s="31" t="s">
        <v>367</v>
      </c>
      <c r="C755" s="25" t="s">
        <v>314</v>
      </c>
      <c r="D755" s="20" t="s">
        <v>384</v>
      </c>
      <c r="E755" s="44">
        <v>37526</v>
      </c>
      <c r="F755" s="20"/>
      <c r="G755" s="20"/>
      <c r="H755" s="20">
        <v>413280000</v>
      </c>
      <c r="I755" s="25" t="s">
        <v>375</v>
      </c>
      <c r="J755" s="44">
        <v>37802</v>
      </c>
      <c r="K755" s="20"/>
      <c r="L755" s="20"/>
      <c r="M755" s="20">
        <v>191675159</v>
      </c>
      <c r="N755" s="20">
        <v>191675159</v>
      </c>
      <c r="O755" s="20">
        <f t="shared" si="48"/>
        <v>0</v>
      </c>
      <c r="P755" s="20"/>
      <c r="Q755" s="20"/>
      <c r="R755" s="401" t="s">
        <v>306</v>
      </c>
      <c r="S755" s="401"/>
      <c r="T755" s="319"/>
      <c r="U755" s="319"/>
    </row>
    <row r="756" spans="1:21" hidden="1">
      <c r="A756" s="31" t="s">
        <v>522</v>
      </c>
      <c r="B756" s="31" t="s">
        <v>367</v>
      </c>
      <c r="C756" s="31" t="s">
        <v>314</v>
      </c>
      <c r="D756" s="14" t="s">
        <v>384</v>
      </c>
      <c r="E756" s="45"/>
      <c r="F756" s="14"/>
      <c r="G756" s="14"/>
      <c r="H756" s="14"/>
      <c r="I756" s="31"/>
      <c r="J756" s="45">
        <v>37868</v>
      </c>
      <c r="K756" s="14"/>
      <c r="L756" s="14"/>
      <c r="M756" s="14">
        <v>51750075</v>
      </c>
      <c r="N756" s="14">
        <v>51750075</v>
      </c>
      <c r="O756" s="14">
        <f t="shared" si="48"/>
        <v>0</v>
      </c>
      <c r="P756" s="14"/>
      <c r="Q756" s="14"/>
      <c r="R756" s="402" t="s">
        <v>306</v>
      </c>
      <c r="S756" s="402"/>
      <c r="T756" s="320"/>
      <c r="U756" s="320"/>
    </row>
    <row r="757" spans="1:21" hidden="1">
      <c r="A757" s="31" t="s">
        <v>522</v>
      </c>
      <c r="B757" s="31" t="s">
        <v>367</v>
      </c>
      <c r="C757" s="31" t="s">
        <v>314</v>
      </c>
      <c r="D757" s="14" t="s">
        <v>384</v>
      </c>
      <c r="E757" s="45"/>
      <c r="F757" s="14"/>
      <c r="G757" s="14"/>
      <c r="H757" s="14"/>
      <c r="I757" s="31"/>
      <c r="J757" s="45">
        <v>37938</v>
      </c>
      <c r="K757" s="14"/>
      <c r="L757" s="14"/>
      <c r="M757" s="14">
        <v>20742940</v>
      </c>
      <c r="N757" s="14">
        <v>20742940</v>
      </c>
      <c r="O757" s="14">
        <f t="shared" si="48"/>
        <v>0</v>
      </c>
      <c r="P757" s="14"/>
      <c r="Q757" s="14"/>
      <c r="R757" s="402" t="s">
        <v>306</v>
      </c>
      <c r="S757" s="402"/>
      <c r="T757" s="320"/>
      <c r="U757" s="320"/>
    </row>
    <row r="758" spans="1:21" hidden="1">
      <c r="A758" s="31" t="s">
        <v>522</v>
      </c>
      <c r="B758" s="31" t="s">
        <v>367</v>
      </c>
      <c r="C758" s="31" t="s">
        <v>314</v>
      </c>
      <c r="D758" s="14" t="s">
        <v>384</v>
      </c>
      <c r="E758" s="45"/>
      <c r="F758" s="14"/>
      <c r="G758" s="14"/>
      <c r="H758" s="14"/>
      <c r="I758" s="31"/>
      <c r="J758" s="45">
        <v>38289</v>
      </c>
      <c r="K758" s="14"/>
      <c r="L758" s="14"/>
      <c r="M758" s="14">
        <v>21897089</v>
      </c>
      <c r="N758" s="14">
        <v>21897089</v>
      </c>
      <c r="O758" s="14">
        <f t="shared" si="48"/>
        <v>0</v>
      </c>
      <c r="P758" s="14"/>
      <c r="Q758" s="14"/>
      <c r="R758" s="402" t="s">
        <v>306</v>
      </c>
      <c r="S758" s="402"/>
      <c r="T758" s="320"/>
      <c r="U758" s="320"/>
    </row>
    <row r="759" spans="1:21" hidden="1">
      <c r="A759" s="31" t="s">
        <v>522</v>
      </c>
      <c r="B759" s="31" t="s">
        <v>367</v>
      </c>
      <c r="C759" s="31" t="s">
        <v>314</v>
      </c>
      <c r="D759" s="14" t="s">
        <v>384</v>
      </c>
      <c r="E759" s="45"/>
      <c r="F759" s="14"/>
      <c r="G759" s="14"/>
      <c r="H759" s="14"/>
      <c r="I759" s="31"/>
      <c r="J759" s="45">
        <v>38548</v>
      </c>
      <c r="K759" s="14"/>
      <c r="L759" s="14"/>
      <c r="M759" s="14">
        <v>294005</v>
      </c>
      <c r="N759" s="14">
        <v>294005</v>
      </c>
      <c r="O759" s="14">
        <f t="shared" si="48"/>
        <v>0</v>
      </c>
      <c r="P759" s="14"/>
      <c r="Q759" s="14"/>
      <c r="R759" s="402" t="s">
        <v>306</v>
      </c>
      <c r="S759" s="402"/>
      <c r="T759" s="320"/>
      <c r="U759" s="320"/>
    </row>
    <row r="760" spans="1:21" hidden="1">
      <c r="A760" s="31" t="s">
        <v>522</v>
      </c>
      <c r="B760" s="31" t="s">
        <v>367</v>
      </c>
      <c r="C760" s="31" t="s">
        <v>314</v>
      </c>
      <c r="D760" s="14" t="s">
        <v>384</v>
      </c>
      <c r="E760" s="45"/>
      <c r="F760" s="14"/>
      <c r="G760" s="14"/>
      <c r="H760" s="14"/>
      <c r="I760" s="31"/>
      <c r="J760" s="45">
        <v>39066</v>
      </c>
      <c r="K760" s="14"/>
      <c r="L760" s="14"/>
      <c r="M760" s="14">
        <v>0</v>
      </c>
      <c r="N760" s="14">
        <v>126920732</v>
      </c>
      <c r="O760" s="14">
        <f t="shared" si="48"/>
        <v>-126920732</v>
      </c>
      <c r="P760" s="14"/>
      <c r="Q760" s="14"/>
      <c r="R760" s="402" t="s">
        <v>376</v>
      </c>
      <c r="S760" s="402"/>
      <c r="T760" s="320"/>
      <c r="U760" s="320"/>
    </row>
    <row r="761" spans="1:21" hidden="1">
      <c r="A761" s="31" t="s">
        <v>522</v>
      </c>
      <c r="B761" s="31" t="s">
        <v>367</v>
      </c>
      <c r="C761" s="31" t="s">
        <v>314</v>
      </c>
      <c r="D761" s="14" t="s">
        <v>384</v>
      </c>
      <c r="E761" s="45"/>
      <c r="F761" s="14"/>
      <c r="G761" s="14"/>
      <c r="H761" s="14"/>
      <c r="I761" s="31"/>
      <c r="J761" s="45">
        <v>39315</v>
      </c>
      <c r="K761" s="14"/>
      <c r="L761" s="14"/>
      <c r="M761" s="14">
        <v>16856344</v>
      </c>
      <c r="N761" s="14">
        <v>0</v>
      </c>
      <c r="O761" s="14">
        <f t="shared" si="48"/>
        <v>16856344</v>
      </c>
      <c r="P761" s="14"/>
      <c r="Q761" s="14"/>
      <c r="R761" s="402" t="s">
        <v>306</v>
      </c>
      <c r="S761" s="402"/>
      <c r="T761" s="320"/>
      <c r="U761" s="320"/>
    </row>
    <row r="762" spans="1:21" hidden="1">
      <c r="A762" s="31" t="s">
        <v>522</v>
      </c>
      <c r="B762" s="31" t="s">
        <v>367</v>
      </c>
      <c r="C762" s="36" t="s">
        <v>314</v>
      </c>
      <c r="D762" s="11" t="s">
        <v>384</v>
      </c>
      <c r="E762" s="46"/>
      <c r="F762" s="11"/>
      <c r="G762" s="11"/>
      <c r="H762" s="11"/>
      <c r="I762" s="36"/>
      <c r="J762" s="46">
        <v>39475</v>
      </c>
      <c r="K762" s="11"/>
      <c r="L762" s="11"/>
      <c r="M762" s="11">
        <v>1000</v>
      </c>
      <c r="N762" s="11">
        <v>0</v>
      </c>
      <c r="O762" s="11">
        <f t="shared" si="48"/>
        <v>1000</v>
      </c>
      <c r="P762" s="11">
        <f>+SUM(H755:H762)-SUM(N755:N762)</f>
        <v>0</v>
      </c>
      <c r="Q762" s="11"/>
      <c r="R762" s="403" t="s">
        <v>379</v>
      </c>
      <c r="S762" s="403"/>
      <c r="T762" s="321"/>
      <c r="U762" s="321"/>
    </row>
    <row r="763" spans="1:21" hidden="1">
      <c r="A763" s="31" t="s">
        <v>522</v>
      </c>
      <c r="B763" s="31" t="s">
        <v>367</v>
      </c>
      <c r="C763" s="25" t="s">
        <v>314</v>
      </c>
      <c r="D763" s="20" t="s">
        <v>385</v>
      </c>
      <c r="E763" s="44">
        <v>37529</v>
      </c>
      <c r="F763" s="20"/>
      <c r="G763" s="20"/>
      <c r="H763" s="20">
        <v>200000000</v>
      </c>
      <c r="I763" s="25" t="s">
        <v>375</v>
      </c>
      <c r="J763" s="44">
        <v>37621</v>
      </c>
      <c r="K763" s="20"/>
      <c r="L763" s="20"/>
      <c r="M763" s="20">
        <v>0</v>
      </c>
      <c r="N763" s="20">
        <v>16000000</v>
      </c>
      <c r="O763" s="20">
        <f t="shared" si="48"/>
        <v>-16000000</v>
      </c>
      <c r="P763" s="20"/>
      <c r="Q763" s="20"/>
      <c r="R763" s="401" t="s">
        <v>376</v>
      </c>
      <c r="S763" s="401"/>
      <c r="T763" s="319"/>
      <c r="U763" s="319"/>
    </row>
    <row r="764" spans="1:21" hidden="1">
      <c r="A764" s="31" t="s">
        <v>522</v>
      </c>
      <c r="B764" s="31" t="s">
        <v>367</v>
      </c>
      <c r="C764" s="31" t="s">
        <v>314</v>
      </c>
      <c r="D764" s="14" t="s">
        <v>385</v>
      </c>
      <c r="E764" s="45"/>
      <c r="F764" s="14"/>
      <c r="G764" s="14"/>
      <c r="H764" s="14"/>
      <c r="I764" s="31"/>
      <c r="J764" s="45">
        <v>37680</v>
      </c>
      <c r="K764" s="14"/>
      <c r="L764" s="14"/>
      <c r="M764" s="14">
        <v>97890102</v>
      </c>
      <c r="N764" s="14">
        <v>97890102</v>
      </c>
      <c r="O764" s="14">
        <f t="shared" si="48"/>
        <v>0</v>
      </c>
      <c r="P764" s="14"/>
      <c r="Q764" s="14"/>
      <c r="R764" s="402" t="s">
        <v>306</v>
      </c>
      <c r="S764" s="402"/>
      <c r="T764" s="320"/>
      <c r="U764" s="320"/>
    </row>
    <row r="765" spans="1:21" hidden="1">
      <c r="A765" s="31" t="s">
        <v>522</v>
      </c>
      <c r="B765" s="31" t="s">
        <v>367</v>
      </c>
      <c r="C765" s="31" t="s">
        <v>314</v>
      </c>
      <c r="D765" s="14" t="s">
        <v>385</v>
      </c>
      <c r="E765" s="45"/>
      <c r="F765" s="14"/>
      <c r="G765" s="14"/>
      <c r="H765" s="14"/>
      <c r="I765" s="31"/>
      <c r="J765" s="45">
        <v>37741</v>
      </c>
      <c r="K765" s="14"/>
      <c r="L765" s="14"/>
      <c r="M765" s="14">
        <v>19607843</v>
      </c>
      <c r="N765" s="14">
        <v>19607843</v>
      </c>
      <c r="O765" s="14">
        <f t="shared" si="48"/>
        <v>0</v>
      </c>
      <c r="P765" s="14"/>
      <c r="Q765" s="14"/>
      <c r="R765" s="402" t="s">
        <v>306</v>
      </c>
      <c r="S765" s="402"/>
      <c r="T765" s="320"/>
      <c r="U765" s="320"/>
    </row>
    <row r="766" spans="1:21" hidden="1">
      <c r="A766" s="31" t="s">
        <v>522</v>
      </c>
      <c r="B766" s="31" t="s">
        <v>367</v>
      </c>
      <c r="C766" s="31" t="s">
        <v>314</v>
      </c>
      <c r="D766" s="14" t="s">
        <v>385</v>
      </c>
      <c r="E766" s="45"/>
      <c r="F766" s="14"/>
      <c r="G766" s="14"/>
      <c r="H766" s="14"/>
      <c r="I766" s="31"/>
      <c r="J766" s="45">
        <v>37894</v>
      </c>
      <c r="K766" s="14"/>
      <c r="L766" s="14"/>
      <c r="M766" s="14">
        <v>2495544</v>
      </c>
      <c r="N766" s="14">
        <v>2495544</v>
      </c>
      <c r="O766" s="14">
        <f t="shared" si="48"/>
        <v>0</v>
      </c>
      <c r="P766" s="14"/>
      <c r="Q766" s="14"/>
      <c r="R766" s="402" t="s">
        <v>306</v>
      </c>
      <c r="S766" s="402"/>
      <c r="T766" s="320"/>
      <c r="U766" s="320"/>
    </row>
    <row r="767" spans="1:21" hidden="1">
      <c r="A767" s="31" t="s">
        <v>522</v>
      </c>
      <c r="B767" s="31" t="s">
        <v>367</v>
      </c>
      <c r="C767" s="31" t="s">
        <v>314</v>
      </c>
      <c r="D767" s="14" t="s">
        <v>385</v>
      </c>
      <c r="E767" s="45"/>
      <c r="F767" s="14"/>
      <c r="G767" s="14"/>
      <c r="H767" s="14"/>
      <c r="I767" s="31"/>
      <c r="J767" s="45">
        <v>38016</v>
      </c>
      <c r="K767" s="14"/>
      <c r="L767" s="14"/>
      <c r="M767" s="14">
        <v>891266</v>
      </c>
      <c r="N767" s="14">
        <v>891266</v>
      </c>
      <c r="O767" s="14">
        <f t="shared" si="48"/>
        <v>0</v>
      </c>
      <c r="P767" s="14"/>
      <c r="Q767" s="14"/>
      <c r="R767" s="402" t="s">
        <v>306</v>
      </c>
      <c r="S767" s="402"/>
      <c r="T767" s="320"/>
      <c r="U767" s="320"/>
    </row>
    <row r="768" spans="1:21" hidden="1">
      <c r="A768" s="31" t="s">
        <v>522</v>
      </c>
      <c r="B768" s="31" t="s">
        <v>367</v>
      </c>
      <c r="C768" s="31" t="s">
        <v>314</v>
      </c>
      <c r="D768" s="14" t="s">
        <v>385</v>
      </c>
      <c r="E768" s="45"/>
      <c r="F768" s="14"/>
      <c r="G768" s="14"/>
      <c r="H768" s="14"/>
      <c r="I768" s="31"/>
      <c r="J768" s="45">
        <v>38352</v>
      </c>
      <c r="K768" s="14"/>
      <c r="L768" s="14"/>
      <c r="M768" s="14">
        <v>0</v>
      </c>
      <c r="N768" s="14">
        <v>63115245</v>
      </c>
      <c r="O768" s="14">
        <f t="shared" si="48"/>
        <v>-63115245</v>
      </c>
      <c r="P768" s="14"/>
      <c r="Q768" s="14"/>
      <c r="R768" s="402" t="s">
        <v>376</v>
      </c>
      <c r="S768" s="402"/>
      <c r="T768" s="320"/>
      <c r="U768" s="320"/>
    </row>
    <row r="769" spans="1:21" hidden="1">
      <c r="A769" s="31" t="s">
        <v>522</v>
      </c>
      <c r="B769" s="31" t="s">
        <v>367</v>
      </c>
      <c r="C769" s="31" t="s">
        <v>314</v>
      </c>
      <c r="D769" s="14" t="s">
        <v>385</v>
      </c>
      <c r="E769" s="45"/>
      <c r="F769" s="14"/>
      <c r="G769" s="14"/>
      <c r="H769" s="14"/>
      <c r="I769" s="31"/>
      <c r="J769" s="45">
        <v>38379</v>
      </c>
      <c r="K769" s="14"/>
      <c r="L769" s="14"/>
      <c r="M769" s="14">
        <v>8663101</v>
      </c>
      <c r="N769" s="14">
        <v>0</v>
      </c>
      <c r="O769" s="14">
        <f t="shared" si="48"/>
        <v>8663101</v>
      </c>
      <c r="P769" s="14"/>
      <c r="Q769" s="14"/>
      <c r="R769" s="402" t="s">
        <v>306</v>
      </c>
      <c r="S769" s="402"/>
      <c r="T769" s="320"/>
      <c r="U769" s="320"/>
    </row>
    <row r="770" spans="1:21" hidden="1">
      <c r="A770" s="31" t="s">
        <v>522</v>
      </c>
      <c r="B770" s="31" t="s">
        <v>367</v>
      </c>
      <c r="C770" s="36" t="s">
        <v>314</v>
      </c>
      <c r="D770" s="11" t="s">
        <v>385</v>
      </c>
      <c r="E770" s="46"/>
      <c r="F770" s="11"/>
      <c r="G770" s="11"/>
      <c r="H770" s="11"/>
      <c r="I770" s="36"/>
      <c r="J770" s="46">
        <v>39444</v>
      </c>
      <c r="K770" s="11"/>
      <c r="L770" s="11"/>
      <c r="M770" s="11">
        <v>513555</v>
      </c>
      <c r="N770" s="11">
        <v>0</v>
      </c>
      <c r="O770" s="11">
        <f t="shared" si="48"/>
        <v>513555</v>
      </c>
      <c r="P770" s="11">
        <f>+SUM(H763:H770)-SUM(N763:N770)</f>
        <v>0</v>
      </c>
      <c r="Q770" s="11"/>
      <c r="R770" s="403" t="s">
        <v>353</v>
      </c>
      <c r="S770" s="403"/>
      <c r="T770" s="321"/>
      <c r="U770" s="321"/>
    </row>
    <row r="771" spans="1:21" hidden="1">
      <c r="A771" s="31" t="s">
        <v>522</v>
      </c>
      <c r="B771" s="31" t="s">
        <v>367</v>
      </c>
      <c r="C771" s="25" t="s">
        <v>314</v>
      </c>
      <c r="D771" s="20" t="s">
        <v>386</v>
      </c>
      <c r="E771" s="44">
        <v>37529</v>
      </c>
      <c r="F771" s="20"/>
      <c r="G771" s="20"/>
      <c r="H771" s="20">
        <v>100000000</v>
      </c>
      <c r="I771" s="25" t="s">
        <v>375</v>
      </c>
      <c r="J771" s="44">
        <v>37894</v>
      </c>
      <c r="K771" s="20"/>
      <c r="L771" s="20"/>
      <c r="M771" s="20">
        <v>15701137</v>
      </c>
      <c r="N771" s="20">
        <v>15701137</v>
      </c>
      <c r="O771" s="20">
        <f t="shared" si="48"/>
        <v>0</v>
      </c>
      <c r="P771" s="20"/>
      <c r="Q771" s="20"/>
      <c r="R771" s="401" t="s">
        <v>306</v>
      </c>
      <c r="S771" s="401"/>
      <c r="T771" s="319"/>
      <c r="U771" s="319"/>
    </row>
    <row r="772" spans="1:21" hidden="1">
      <c r="A772" s="31" t="s">
        <v>522</v>
      </c>
      <c r="B772" s="31" t="s">
        <v>367</v>
      </c>
      <c r="C772" s="31" t="s">
        <v>314</v>
      </c>
      <c r="D772" s="14" t="s">
        <v>386</v>
      </c>
      <c r="E772" s="45"/>
      <c r="F772" s="14"/>
      <c r="G772" s="14"/>
      <c r="H772" s="14"/>
      <c r="I772" s="31"/>
      <c r="J772" s="45">
        <v>38016</v>
      </c>
      <c r="K772" s="14"/>
      <c r="L772" s="14"/>
      <c r="M772" s="14">
        <v>2003249</v>
      </c>
      <c r="N772" s="14">
        <v>2003249</v>
      </c>
      <c r="O772" s="14">
        <f t="shared" si="48"/>
        <v>0</v>
      </c>
      <c r="P772" s="14"/>
      <c r="Q772" s="14"/>
      <c r="R772" s="402" t="s">
        <v>306</v>
      </c>
      <c r="S772" s="402"/>
      <c r="T772" s="320"/>
      <c r="U772" s="320"/>
    </row>
    <row r="773" spans="1:21" hidden="1">
      <c r="A773" s="31" t="s">
        <v>522</v>
      </c>
      <c r="B773" s="31" t="s">
        <v>367</v>
      </c>
      <c r="C773" s="31" t="s">
        <v>314</v>
      </c>
      <c r="D773" s="14" t="s">
        <v>386</v>
      </c>
      <c r="E773" s="45"/>
      <c r="F773" s="14"/>
      <c r="G773" s="14"/>
      <c r="H773" s="14"/>
      <c r="I773" s="31"/>
      <c r="J773" s="45">
        <v>38352</v>
      </c>
      <c r="K773" s="14"/>
      <c r="L773" s="14"/>
      <c r="M773" s="14">
        <v>0</v>
      </c>
      <c r="N773" s="14">
        <v>82295614</v>
      </c>
      <c r="O773" s="14">
        <f t="shared" si="48"/>
        <v>-82295614</v>
      </c>
      <c r="P773" s="14"/>
      <c r="Q773" s="14"/>
      <c r="R773" s="402" t="s">
        <v>376</v>
      </c>
      <c r="S773" s="402"/>
      <c r="T773" s="320"/>
      <c r="U773" s="320"/>
    </row>
    <row r="774" spans="1:21" hidden="1">
      <c r="A774" s="31" t="s">
        <v>522</v>
      </c>
      <c r="B774" s="31" t="s">
        <v>367</v>
      </c>
      <c r="C774" s="31" t="s">
        <v>314</v>
      </c>
      <c r="D774" s="14" t="s">
        <v>386</v>
      </c>
      <c r="E774" s="45"/>
      <c r="F774" s="14"/>
      <c r="G774" s="14"/>
      <c r="H774" s="14"/>
      <c r="I774" s="31"/>
      <c r="J774" s="45">
        <v>38379</v>
      </c>
      <c r="K774" s="14"/>
      <c r="L774" s="14"/>
      <c r="M774" s="14">
        <v>541418</v>
      </c>
      <c r="N774" s="14">
        <v>0</v>
      </c>
      <c r="O774" s="14">
        <f t="shared" si="48"/>
        <v>541418</v>
      </c>
      <c r="P774" s="14"/>
      <c r="Q774" s="14"/>
      <c r="R774" s="402" t="s">
        <v>306</v>
      </c>
      <c r="S774" s="402"/>
      <c r="T774" s="320"/>
      <c r="U774" s="320"/>
    </row>
    <row r="775" spans="1:21" hidden="1">
      <c r="A775" s="31" t="s">
        <v>522</v>
      </c>
      <c r="B775" s="31" t="s">
        <v>367</v>
      </c>
      <c r="C775" s="36" t="s">
        <v>314</v>
      </c>
      <c r="D775" s="11" t="s">
        <v>386</v>
      </c>
      <c r="E775" s="46"/>
      <c r="F775" s="11"/>
      <c r="G775" s="11"/>
      <c r="H775" s="11"/>
      <c r="I775" s="36"/>
      <c r="J775" s="46">
        <v>39444</v>
      </c>
      <c r="K775" s="11"/>
      <c r="L775" s="11"/>
      <c r="M775" s="11">
        <v>2522529</v>
      </c>
      <c r="N775" s="11">
        <v>0</v>
      </c>
      <c r="O775" s="11">
        <f t="shared" si="48"/>
        <v>2522529</v>
      </c>
      <c r="P775" s="11">
        <f>+SUM(H771:H775)-SUM(N771:N775)</f>
        <v>0</v>
      </c>
      <c r="Q775" s="11"/>
      <c r="R775" s="403" t="s">
        <v>353</v>
      </c>
      <c r="S775" s="403"/>
      <c r="T775" s="321"/>
      <c r="U775" s="321"/>
    </row>
    <row r="776" spans="1:21" hidden="1">
      <c r="A776" s="31" t="s">
        <v>522</v>
      </c>
      <c r="B776" s="31" t="s">
        <v>367</v>
      </c>
      <c r="C776" s="25" t="s">
        <v>314</v>
      </c>
      <c r="D776" s="20" t="s">
        <v>387</v>
      </c>
      <c r="E776" s="44">
        <v>37568</v>
      </c>
      <c r="F776" s="20"/>
      <c r="G776" s="20"/>
      <c r="H776" s="20">
        <v>500000000</v>
      </c>
      <c r="I776" s="25" t="s">
        <v>375</v>
      </c>
      <c r="J776" s="44">
        <v>38717</v>
      </c>
      <c r="K776" s="20"/>
      <c r="L776" s="20"/>
      <c r="M776" s="20">
        <v>0</v>
      </c>
      <c r="N776" s="20">
        <v>500000000</v>
      </c>
      <c r="O776" s="20">
        <f t="shared" si="48"/>
        <v>-500000000</v>
      </c>
      <c r="P776" s="20"/>
      <c r="Q776" s="20"/>
      <c r="R776" s="401" t="s">
        <v>376</v>
      </c>
      <c r="S776" s="401"/>
      <c r="T776" s="319"/>
      <c r="U776" s="319"/>
    </row>
    <row r="777" spans="1:21" hidden="1">
      <c r="A777" s="31" t="s">
        <v>522</v>
      </c>
      <c r="B777" s="31" t="s">
        <v>367</v>
      </c>
      <c r="C777" s="31" t="s">
        <v>314</v>
      </c>
      <c r="D777" s="14" t="s">
        <v>387</v>
      </c>
      <c r="E777" s="45"/>
      <c r="F777" s="14"/>
      <c r="G777" s="14"/>
      <c r="H777" s="14"/>
      <c r="I777" s="31"/>
      <c r="J777" s="45">
        <v>39154</v>
      </c>
      <c r="K777" s="14"/>
      <c r="L777" s="14"/>
      <c r="M777" s="14">
        <v>30123567</v>
      </c>
      <c r="N777" s="14">
        <v>0</v>
      </c>
      <c r="O777" s="14">
        <f>+M777-N777</f>
        <v>30123567</v>
      </c>
      <c r="P777" s="14"/>
      <c r="Q777" s="14"/>
      <c r="R777" s="402" t="s">
        <v>306</v>
      </c>
      <c r="S777" s="402"/>
      <c r="T777" s="320"/>
      <c r="U777" s="320"/>
    </row>
    <row r="778" spans="1:21" hidden="1">
      <c r="A778" s="31" t="s">
        <v>522</v>
      </c>
      <c r="B778" s="31" t="s">
        <v>367</v>
      </c>
      <c r="C778" s="36" t="s">
        <v>314</v>
      </c>
      <c r="D778" s="11" t="s">
        <v>387</v>
      </c>
      <c r="E778" s="46"/>
      <c r="F778" s="11"/>
      <c r="G778" s="11"/>
      <c r="H778" s="11"/>
      <c r="I778" s="36"/>
      <c r="J778" s="46">
        <v>39475</v>
      </c>
      <c r="K778" s="11"/>
      <c r="L778" s="11"/>
      <c r="M778" s="11">
        <v>1000</v>
      </c>
      <c r="N778" s="11">
        <v>0</v>
      </c>
      <c r="O778" s="11">
        <f t="shared" si="48"/>
        <v>1000</v>
      </c>
      <c r="P778" s="11">
        <f>+SUM(H776:H778)-SUM(N776:N778)</f>
        <v>0</v>
      </c>
      <c r="Q778" s="11"/>
      <c r="R778" s="403" t="s">
        <v>379</v>
      </c>
      <c r="S778" s="403"/>
      <c r="T778" s="321"/>
      <c r="U778" s="321"/>
    </row>
    <row r="779" spans="1:21" hidden="1">
      <c r="A779" s="31" t="s">
        <v>522</v>
      </c>
      <c r="B779" s="31" t="s">
        <v>367</v>
      </c>
      <c r="C779" s="25" t="s">
        <v>314</v>
      </c>
      <c r="D779" s="20" t="s">
        <v>388</v>
      </c>
      <c r="E779" s="44">
        <v>37569</v>
      </c>
      <c r="F779" s="20"/>
      <c r="G779" s="20"/>
      <c r="H779" s="20">
        <v>100000000</v>
      </c>
      <c r="I779" s="25" t="s">
        <v>375</v>
      </c>
      <c r="J779" s="44">
        <v>37741</v>
      </c>
      <c r="K779" s="20"/>
      <c r="L779" s="20"/>
      <c r="M779" s="20">
        <v>74918341</v>
      </c>
      <c r="N779" s="20">
        <v>74918341</v>
      </c>
      <c r="O779" s="20">
        <f t="shared" si="48"/>
        <v>0</v>
      </c>
      <c r="P779" s="20"/>
      <c r="Q779" s="20"/>
      <c r="R779" s="401" t="s">
        <v>306</v>
      </c>
      <c r="S779" s="401"/>
      <c r="T779" s="319"/>
      <c r="U779" s="319"/>
    </row>
    <row r="780" spans="1:21" hidden="1">
      <c r="A780" s="31" t="s">
        <v>522</v>
      </c>
      <c r="B780" s="31" t="s">
        <v>367</v>
      </c>
      <c r="C780" s="31" t="s">
        <v>314</v>
      </c>
      <c r="D780" s="14" t="s">
        <v>388</v>
      </c>
      <c r="E780" s="45"/>
      <c r="F780" s="14"/>
      <c r="G780" s="14"/>
      <c r="H780" s="14"/>
      <c r="I780" s="31"/>
      <c r="J780" s="45">
        <v>37986</v>
      </c>
      <c r="K780" s="14"/>
      <c r="L780" s="14"/>
      <c r="M780" s="14">
        <v>7984968</v>
      </c>
      <c r="N780" s="14">
        <v>7984968</v>
      </c>
      <c r="O780" s="14">
        <f t="shared" si="48"/>
        <v>0</v>
      </c>
      <c r="P780" s="14"/>
      <c r="Q780" s="14"/>
      <c r="R780" s="402" t="s">
        <v>306</v>
      </c>
      <c r="S780" s="402"/>
      <c r="T780" s="320"/>
      <c r="U780" s="320"/>
    </row>
    <row r="781" spans="1:21" hidden="1">
      <c r="A781" s="31" t="s">
        <v>522</v>
      </c>
      <c r="B781" s="31" t="s">
        <v>367</v>
      </c>
      <c r="C781" s="31" t="s">
        <v>314</v>
      </c>
      <c r="D781" s="14" t="s">
        <v>388</v>
      </c>
      <c r="E781" s="45"/>
      <c r="F781" s="14"/>
      <c r="G781" s="14"/>
      <c r="H781" s="14"/>
      <c r="I781" s="31"/>
      <c r="J781" s="45">
        <v>38352</v>
      </c>
      <c r="K781" s="14"/>
      <c r="L781" s="14"/>
      <c r="M781" s="14">
        <v>0</v>
      </c>
      <c r="N781" s="14">
        <v>17096691</v>
      </c>
      <c r="O781" s="14">
        <f t="shared" si="48"/>
        <v>-17096691</v>
      </c>
      <c r="P781" s="14"/>
      <c r="Q781" s="14"/>
      <c r="R781" s="402" t="s">
        <v>376</v>
      </c>
      <c r="S781" s="402"/>
      <c r="T781" s="320"/>
      <c r="U781" s="320"/>
    </row>
    <row r="782" spans="1:21" hidden="1">
      <c r="A782" s="31" t="s">
        <v>522</v>
      </c>
      <c r="B782" s="31" t="s">
        <v>367</v>
      </c>
      <c r="C782" s="31" t="s">
        <v>314</v>
      </c>
      <c r="D782" s="14" t="s">
        <v>388</v>
      </c>
      <c r="E782" s="45"/>
      <c r="F782" s="14"/>
      <c r="G782" s="14"/>
      <c r="H782" s="14"/>
      <c r="I782" s="31"/>
      <c r="J782" s="45">
        <v>38643</v>
      </c>
      <c r="K782" s="14"/>
      <c r="L782" s="14"/>
      <c r="M782" s="14">
        <v>313512</v>
      </c>
      <c r="N782" s="14">
        <v>0</v>
      </c>
      <c r="O782" s="14">
        <f t="shared" si="48"/>
        <v>313512</v>
      </c>
      <c r="P782" s="14"/>
      <c r="Q782" s="14"/>
      <c r="R782" s="402" t="s">
        <v>306</v>
      </c>
      <c r="S782" s="402"/>
      <c r="T782" s="320"/>
      <c r="U782" s="320"/>
    </row>
    <row r="783" spans="1:21" hidden="1">
      <c r="A783" s="31" t="s">
        <v>522</v>
      </c>
      <c r="B783" s="31" t="s">
        <v>367</v>
      </c>
      <c r="C783" s="31" t="s">
        <v>314</v>
      </c>
      <c r="D783" s="14" t="s">
        <v>388</v>
      </c>
      <c r="E783" s="45"/>
      <c r="F783" s="14"/>
      <c r="G783" s="14"/>
      <c r="H783" s="14"/>
      <c r="I783" s="31"/>
      <c r="J783" s="45">
        <v>38716</v>
      </c>
      <c r="K783" s="14"/>
      <c r="L783" s="14"/>
      <c r="M783" s="14">
        <v>13416569</v>
      </c>
      <c r="N783" s="14">
        <v>0</v>
      </c>
      <c r="O783" s="14">
        <f t="shared" si="48"/>
        <v>13416569</v>
      </c>
      <c r="P783" s="14"/>
      <c r="Q783" s="14"/>
      <c r="R783" s="402" t="s">
        <v>306</v>
      </c>
      <c r="S783" s="402"/>
      <c r="T783" s="320"/>
      <c r="U783" s="320"/>
    </row>
    <row r="784" spans="1:21" hidden="1">
      <c r="A784" s="31" t="s">
        <v>522</v>
      </c>
      <c r="B784" s="31" t="s">
        <v>367</v>
      </c>
      <c r="C784" s="36" t="s">
        <v>314</v>
      </c>
      <c r="D784" s="11" t="s">
        <v>388</v>
      </c>
      <c r="E784" s="46"/>
      <c r="F784" s="11"/>
      <c r="G784" s="11"/>
      <c r="H784" s="11"/>
      <c r="I784" s="36"/>
      <c r="J784" s="46">
        <v>39493</v>
      </c>
      <c r="K784" s="11"/>
      <c r="L784" s="11"/>
      <c r="M784" s="11">
        <v>5180597</v>
      </c>
      <c r="N784" s="11">
        <v>0</v>
      </c>
      <c r="O784" s="11">
        <f t="shared" si="48"/>
        <v>5180597</v>
      </c>
      <c r="P784" s="11">
        <f>SUM(H779:H784)-SUM(N779:N784)</f>
        <v>0</v>
      </c>
      <c r="Q784" s="11"/>
      <c r="R784" s="403" t="s">
        <v>306</v>
      </c>
      <c r="S784" s="403"/>
      <c r="T784" s="321"/>
      <c r="U784" s="321"/>
    </row>
    <row r="785" spans="1:21" hidden="1">
      <c r="A785" s="31" t="s">
        <v>522</v>
      </c>
      <c r="B785" s="31" t="s">
        <v>367</v>
      </c>
      <c r="C785" s="25" t="s">
        <v>314</v>
      </c>
      <c r="D785" s="20" t="s">
        <v>389</v>
      </c>
      <c r="E785" s="44">
        <v>37569</v>
      </c>
      <c r="F785" s="20"/>
      <c r="G785" s="20"/>
      <c r="H785" s="20">
        <v>200000000</v>
      </c>
      <c r="I785" s="25" t="s">
        <v>375</v>
      </c>
      <c r="J785" s="44">
        <v>37803</v>
      </c>
      <c r="K785" s="20"/>
      <c r="L785" s="20"/>
      <c r="M785" s="20">
        <v>93578008</v>
      </c>
      <c r="N785" s="20">
        <v>93578008</v>
      </c>
      <c r="O785" s="20">
        <f t="shared" si="48"/>
        <v>0</v>
      </c>
      <c r="P785" s="20"/>
      <c r="Q785" s="20"/>
      <c r="R785" s="401" t="s">
        <v>306</v>
      </c>
      <c r="S785" s="401"/>
      <c r="T785" s="319"/>
      <c r="U785" s="319"/>
    </row>
    <row r="786" spans="1:21" hidden="1">
      <c r="A786" s="31" t="s">
        <v>522</v>
      </c>
      <c r="B786" s="31" t="s">
        <v>367</v>
      </c>
      <c r="C786" s="31" t="s">
        <v>314</v>
      </c>
      <c r="D786" s="14" t="s">
        <v>389</v>
      </c>
      <c r="E786" s="45"/>
      <c r="F786" s="14"/>
      <c r="G786" s="14"/>
      <c r="H786" s="14"/>
      <c r="I786" s="31"/>
      <c r="J786" s="45">
        <v>37804</v>
      </c>
      <c r="K786" s="14"/>
      <c r="L786" s="14"/>
      <c r="M786" s="14">
        <v>31205624</v>
      </c>
      <c r="N786" s="14">
        <v>31205624</v>
      </c>
      <c r="O786" s="14">
        <f t="shared" si="48"/>
        <v>0</v>
      </c>
      <c r="P786" s="14"/>
      <c r="Q786" s="14"/>
      <c r="R786" s="402" t="s">
        <v>306</v>
      </c>
      <c r="S786" s="402"/>
      <c r="T786" s="320"/>
      <c r="U786" s="320"/>
    </row>
    <row r="787" spans="1:21" hidden="1">
      <c r="A787" s="31" t="s">
        <v>522</v>
      </c>
      <c r="B787" s="31" t="s">
        <v>367</v>
      </c>
      <c r="C787" s="31" t="s">
        <v>314</v>
      </c>
      <c r="D787" s="14" t="s">
        <v>389</v>
      </c>
      <c r="E787" s="45"/>
      <c r="F787" s="14"/>
      <c r="G787" s="14"/>
      <c r="H787" s="14"/>
      <c r="I787" s="31"/>
      <c r="J787" s="45">
        <v>37986</v>
      </c>
      <c r="K787" s="14"/>
      <c r="L787" s="14"/>
      <c r="M787" s="14">
        <v>7069492</v>
      </c>
      <c r="N787" s="14">
        <v>7069492</v>
      </c>
      <c r="O787" s="14">
        <f t="shared" si="48"/>
        <v>0</v>
      </c>
      <c r="P787" s="14"/>
      <c r="Q787" s="14"/>
      <c r="R787" s="402" t="s">
        <v>306</v>
      </c>
      <c r="S787" s="402"/>
      <c r="T787" s="320"/>
      <c r="U787" s="320"/>
    </row>
    <row r="788" spans="1:21" hidden="1">
      <c r="A788" s="31" t="s">
        <v>522</v>
      </c>
      <c r="B788" s="31" t="s">
        <v>367</v>
      </c>
      <c r="C788" s="31" t="s">
        <v>314</v>
      </c>
      <c r="D788" s="14" t="s">
        <v>389</v>
      </c>
      <c r="E788" s="45"/>
      <c r="F788" s="14"/>
      <c r="G788" s="14"/>
      <c r="H788" s="14"/>
      <c r="I788" s="31"/>
      <c r="J788" s="45">
        <v>38352</v>
      </c>
      <c r="K788" s="14"/>
      <c r="L788" s="14"/>
      <c r="M788" s="14">
        <v>0</v>
      </c>
      <c r="N788" s="14">
        <v>68146876</v>
      </c>
      <c r="O788" s="14">
        <f t="shared" si="48"/>
        <v>-68146876</v>
      </c>
      <c r="P788" s="14"/>
      <c r="Q788" s="14"/>
      <c r="R788" s="402" t="s">
        <v>376</v>
      </c>
      <c r="S788" s="402"/>
      <c r="T788" s="320"/>
      <c r="U788" s="320"/>
    </row>
    <row r="789" spans="1:21" hidden="1">
      <c r="A789" s="31" t="s">
        <v>522</v>
      </c>
      <c r="B789" s="31" t="s">
        <v>367</v>
      </c>
      <c r="C789" s="31" t="s">
        <v>314</v>
      </c>
      <c r="D789" s="14" t="s">
        <v>389</v>
      </c>
      <c r="E789" s="45"/>
      <c r="F789" s="14"/>
      <c r="G789" s="14"/>
      <c r="H789" s="14"/>
      <c r="I789" s="31"/>
      <c r="J789" s="45">
        <v>38643</v>
      </c>
      <c r="K789" s="14"/>
      <c r="L789" s="14"/>
      <c r="M789" s="14">
        <v>1068982</v>
      </c>
      <c r="N789" s="14">
        <v>0</v>
      </c>
      <c r="O789" s="14">
        <f t="shared" si="48"/>
        <v>1068982</v>
      </c>
      <c r="P789" s="14"/>
      <c r="Q789" s="14"/>
      <c r="R789" s="402" t="s">
        <v>306</v>
      </c>
      <c r="S789" s="402"/>
      <c r="T789" s="320"/>
      <c r="U789" s="320"/>
    </row>
    <row r="790" spans="1:21" hidden="1">
      <c r="A790" s="31" t="s">
        <v>522</v>
      </c>
      <c r="B790" s="31" t="s">
        <v>367</v>
      </c>
      <c r="C790" s="279" t="s">
        <v>314</v>
      </c>
      <c r="D790" s="14" t="s">
        <v>389</v>
      </c>
      <c r="E790" s="45"/>
      <c r="F790" s="14"/>
      <c r="G790" s="14"/>
      <c r="H790" s="14"/>
      <c r="I790" s="279"/>
      <c r="J790" s="45">
        <v>39493</v>
      </c>
      <c r="K790" s="14"/>
      <c r="L790" s="14"/>
      <c r="M790" s="14">
        <v>402367</v>
      </c>
      <c r="N790" s="14">
        <v>0</v>
      </c>
      <c r="O790" s="14">
        <f t="shared" si="48"/>
        <v>402367</v>
      </c>
      <c r="P790" s="14"/>
      <c r="Q790" s="14"/>
      <c r="R790" s="402" t="s">
        <v>306</v>
      </c>
      <c r="S790" s="402"/>
      <c r="T790" s="320"/>
      <c r="U790" s="320"/>
    </row>
    <row r="791" spans="1:21" hidden="1">
      <c r="A791" s="279" t="s">
        <v>522</v>
      </c>
      <c r="B791" s="279" t="s">
        <v>367</v>
      </c>
      <c r="C791" s="280" t="s">
        <v>314</v>
      </c>
      <c r="D791" s="11" t="s">
        <v>389</v>
      </c>
      <c r="E791" s="46"/>
      <c r="F791" s="11"/>
      <c r="G791" s="11"/>
      <c r="H791" s="11"/>
      <c r="I791" s="280"/>
      <c r="J791" s="46">
        <v>40358</v>
      </c>
      <c r="K791" s="11"/>
      <c r="L791" s="11"/>
      <c r="M791" s="11">
        <v>40817494</v>
      </c>
      <c r="N791" s="11">
        <v>0</v>
      </c>
      <c r="O791" s="14">
        <f t="shared" si="48"/>
        <v>40817494</v>
      </c>
      <c r="P791" s="11">
        <f>+H785-SUM(N785:N791)</f>
        <v>0</v>
      </c>
      <c r="Q791" s="11"/>
      <c r="R791" s="403"/>
      <c r="S791" s="403"/>
      <c r="T791" s="321"/>
      <c r="U791" s="321"/>
    </row>
    <row r="792" spans="1:21" hidden="1">
      <c r="A792" s="31" t="s">
        <v>522</v>
      </c>
      <c r="B792" s="31" t="s">
        <v>367</v>
      </c>
      <c r="C792" s="25" t="s">
        <v>314</v>
      </c>
      <c r="D792" s="20" t="s">
        <v>390</v>
      </c>
      <c r="E792" s="44">
        <v>37569</v>
      </c>
      <c r="F792" s="20"/>
      <c r="G792" s="20"/>
      <c r="H792" s="20">
        <v>200000000</v>
      </c>
      <c r="I792" s="25" t="s">
        <v>375</v>
      </c>
      <c r="J792" s="44">
        <v>38352</v>
      </c>
      <c r="K792" s="20"/>
      <c r="L792" s="20"/>
      <c r="M792" s="20">
        <v>0</v>
      </c>
      <c r="N792" s="20">
        <v>200000000</v>
      </c>
      <c r="O792" s="20">
        <f t="shared" si="48"/>
        <v>-200000000</v>
      </c>
      <c r="P792" s="20"/>
      <c r="Q792" s="20"/>
      <c r="R792" s="401" t="s">
        <v>376</v>
      </c>
      <c r="S792" s="401"/>
      <c r="T792" s="319"/>
      <c r="U792" s="319"/>
    </row>
    <row r="793" spans="1:21" hidden="1">
      <c r="A793" s="31" t="s">
        <v>522</v>
      </c>
      <c r="B793" s="31" t="s">
        <v>367</v>
      </c>
      <c r="C793" s="31" t="s">
        <v>314</v>
      </c>
      <c r="D793" s="14" t="s">
        <v>390</v>
      </c>
      <c r="E793" s="45"/>
      <c r="F793" s="14"/>
      <c r="G793" s="14"/>
      <c r="H793" s="14"/>
      <c r="I793" s="31"/>
      <c r="J793" s="45">
        <v>38643</v>
      </c>
      <c r="K793" s="14"/>
      <c r="L793" s="14"/>
      <c r="M793" s="14">
        <v>6565477</v>
      </c>
      <c r="N793" s="14">
        <v>0</v>
      </c>
      <c r="O793" s="14">
        <f t="shared" si="48"/>
        <v>6565477</v>
      </c>
      <c r="P793" s="14"/>
      <c r="Q793" s="14"/>
      <c r="R793" s="402" t="s">
        <v>306</v>
      </c>
      <c r="S793" s="402"/>
      <c r="T793" s="320"/>
      <c r="U793" s="320"/>
    </row>
    <row r="794" spans="1:21" hidden="1">
      <c r="A794" s="31" t="s">
        <v>522</v>
      </c>
      <c r="B794" s="31" t="s">
        <v>367</v>
      </c>
      <c r="C794" s="31" t="s">
        <v>314</v>
      </c>
      <c r="D794" s="14" t="s">
        <v>390</v>
      </c>
      <c r="E794" s="45"/>
      <c r="F794" s="14"/>
      <c r="G794" s="14"/>
      <c r="H794" s="14"/>
      <c r="I794" s="31"/>
      <c r="J794" s="45">
        <v>38929</v>
      </c>
      <c r="K794" s="14"/>
      <c r="L794" s="14"/>
      <c r="M794" s="14">
        <v>4688048</v>
      </c>
      <c r="N794" s="14">
        <v>0</v>
      </c>
      <c r="O794" s="14">
        <f t="shared" si="48"/>
        <v>4688048</v>
      </c>
      <c r="P794" s="14"/>
      <c r="Q794" s="14"/>
      <c r="R794" s="402" t="s">
        <v>306</v>
      </c>
      <c r="S794" s="402"/>
      <c r="T794" s="320"/>
      <c r="U794" s="320"/>
    </row>
    <row r="795" spans="1:21" hidden="1">
      <c r="A795" s="31" t="s">
        <v>522</v>
      </c>
      <c r="B795" s="31" t="s">
        <v>367</v>
      </c>
      <c r="C795" s="31" t="s">
        <v>314</v>
      </c>
      <c r="D795" s="14" t="s">
        <v>390</v>
      </c>
      <c r="E795" s="45"/>
      <c r="F795" s="14"/>
      <c r="G795" s="14"/>
      <c r="H795" s="14"/>
      <c r="I795" s="31"/>
      <c r="J795" s="45">
        <v>39493</v>
      </c>
      <c r="K795" s="14"/>
      <c r="L795" s="14"/>
      <c r="M795" s="14">
        <v>2141870</v>
      </c>
      <c r="N795" s="14">
        <v>0</v>
      </c>
      <c r="O795" s="14">
        <f t="shared" si="48"/>
        <v>2141870</v>
      </c>
      <c r="P795" s="14"/>
      <c r="Q795" s="14"/>
      <c r="R795" s="402" t="s">
        <v>306</v>
      </c>
      <c r="S795" s="402"/>
      <c r="T795" s="320"/>
      <c r="U795" s="320"/>
    </row>
    <row r="796" spans="1:21" hidden="1">
      <c r="A796" s="279" t="s">
        <v>522</v>
      </c>
      <c r="B796" s="279" t="s">
        <v>367</v>
      </c>
      <c r="C796" s="279" t="s">
        <v>314</v>
      </c>
      <c r="D796" s="14" t="s">
        <v>390</v>
      </c>
      <c r="E796" s="45"/>
      <c r="F796" s="14"/>
      <c r="G796" s="14"/>
      <c r="H796" s="14"/>
      <c r="I796" s="279"/>
      <c r="J796" s="45">
        <v>40358</v>
      </c>
      <c r="K796" s="14"/>
      <c r="L796" s="14"/>
      <c r="M796" s="14">
        <v>40817495</v>
      </c>
      <c r="N796" s="14">
        <v>0</v>
      </c>
      <c r="O796" s="14">
        <f t="shared" si="48"/>
        <v>40817495</v>
      </c>
      <c r="P796" s="14">
        <f>+H792-SUM(N792:N796)</f>
        <v>0</v>
      </c>
      <c r="Q796" s="14"/>
      <c r="R796" s="402"/>
      <c r="S796" s="402"/>
      <c r="T796" s="320"/>
      <c r="U796" s="320"/>
    </row>
    <row r="797" spans="1:21" hidden="1">
      <c r="A797" s="31" t="s">
        <v>522</v>
      </c>
      <c r="B797" s="31" t="s">
        <v>367</v>
      </c>
      <c r="C797" s="25" t="s">
        <v>302</v>
      </c>
      <c r="D797" s="20" t="s">
        <v>147</v>
      </c>
      <c r="E797" s="44">
        <v>37747</v>
      </c>
      <c r="F797" s="20">
        <v>96000</v>
      </c>
      <c r="G797" s="20">
        <v>25000</v>
      </c>
      <c r="H797" s="20">
        <f>+F797*G797</f>
        <v>2400000000</v>
      </c>
      <c r="I797" s="25" t="s">
        <v>350</v>
      </c>
      <c r="J797" s="44">
        <v>38352</v>
      </c>
      <c r="K797" s="20">
        <v>0</v>
      </c>
      <c r="L797" s="20">
        <v>0</v>
      </c>
      <c r="M797" s="20">
        <v>0</v>
      </c>
      <c r="N797" s="20">
        <v>-947740900</v>
      </c>
      <c r="O797" s="20">
        <v>947740900</v>
      </c>
      <c r="P797" s="20"/>
      <c r="Q797" s="20"/>
      <c r="R797" s="401" t="s">
        <v>391</v>
      </c>
      <c r="S797" s="401"/>
      <c r="T797" s="319"/>
      <c r="U797" s="319"/>
    </row>
    <row r="798" spans="1:21" hidden="1">
      <c r="A798" s="31" t="s">
        <v>522</v>
      </c>
      <c r="B798" s="31" t="s">
        <v>367</v>
      </c>
      <c r="C798" s="31" t="s">
        <v>302</v>
      </c>
      <c r="D798" s="14" t="s">
        <v>147</v>
      </c>
      <c r="E798" s="45">
        <v>38336</v>
      </c>
      <c r="F798" s="14">
        <v>901622</v>
      </c>
      <c r="G798" s="14">
        <v>0</v>
      </c>
      <c r="H798" s="14">
        <v>0</v>
      </c>
      <c r="I798" s="31" t="s">
        <v>370</v>
      </c>
      <c r="J798" s="45">
        <v>38352</v>
      </c>
      <c r="K798" s="14">
        <v>0</v>
      </c>
      <c r="L798" s="14">
        <v>0</v>
      </c>
      <c r="M798" s="14">
        <v>0</v>
      </c>
      <c r="N798" s="14">
        <v>813781020</v>
      </c>
      <c r="O798" s="14">
        <v>-813781020</v>
      </c>
      <c r="P798" s="14"/>
      <c r="Q798" s="14"/>
      <c r="R798" s="402" t="s">
        <v>392</v>
      </c>
      <c r="S798" s="402"/>
      <c r="T798" s="320"/>
      <c r="U798" s="320"/>
    </row>
    <row r="799" spans="1:21" hidden="1">
      <c r="A799" s="31" t="s">
        <v>522</v>
      </c>
      <c r="B799" s="31" t="s">
        <v>367</v>
      </c>
      <c r="C799" s="31" t="s">
        <v>337</v>
      </c>
      <c r="D799" s="14" t="s">
        <v>147</v>
      </c>
      <c r="E799" s="45">
        <v>38336</v>
      </c>
      <c r="F799" s="14">
        <v>997622</v>
      </c>
      <c r="G799" s="14">
        <f>+H799/F799</f>
        <v>640</v>
      </c>
      <c r="H799" s="14">
        <v>638478080</v>
      </c>
      <c r="I799" s="31" t="s">
        <v>393</v>
      </c>
      <c r="J799" s="45">
        <v>38380</v>
      </c>
      <c r="K799" s="14">
        <v>30000</v>
      </c>
      <c r="L799" s="14">
        <f>+M799/K799</f>
        <v>2031.7249999999999</v>
      </c>
      <c r="M799" s="14">
        <v>60951750</v>
      </c>
      <c r="N799" s="14">
        <v>47700000</v>
      </c>
      <c r="O799" s="14">
        <f>+M799-N799</f>
        <v>13251750</v>
      </c>
      <c r="P799" s="14"/>
      <c r="Q799" s="14"/>
      <c r="R799" s="402" t="s">
        <v>352</v>
      </c>
      <c r="S799" s="402"/>
      <c r="T799" s="320"/>
      <c r="U799" s="320"/>
    </row>
    <row r="800" spans="1:21" hidden="1">
      <c r="A800" s="31" t="s">
        <v>522</v>
      </c>
      <c r="B800" s="31" t="s">
        <v>367</v>
      </c>
      <c r="C800" s="31" t="s">
        <v>337</v>
      </c>
      <c r="D800" s="14" t="s">
        <v>147</v>
      </c>
      <c r="E800" s="45"/>
      <c r="F800" s="14"/>
      <c r="G800" s="14"/>
      <c r="H800" s="14"/>
      <c r="I800" s="31"/>
      <c r="J800" s="45">
        <v>38383</v>
      </c>
      <c r="K800" s="14">
        <v>213000</v>
      </c>
      <c r="L800" s="14">
        <f t="shared" ref="L800:L828" si="50">+M800/K800</f>
        <v>2157.1485915492958</v>
      </c>
      <c r="M800" s="14">
        <v>459472650</v>
      </c>
      <c r="N800" s="14">
        <v>338670000</v>
      </c>
      <c r="O800" s="14">
        <f t="shared" ref="O800:O828" si="51">+M800-N800</f>
        <v>120802650</v>
      </c>
      <c r="P800" s="14"/>
      <c r="Q800" s="14"/>
      <c r="R800" s="402" t="s">
        <v>352</v>
      </c>
      <c r="S800" s="402"/>
      <c r="T800" s="320"/>
      <c r="U800" s="320"/>
    </row>
    <row r="801" spans="1:21" hidden="1">
      <c r="A801" s="31" t="s">
        <v>522</v>
      </c>
      <c r="B801" s="31" t="s">
        <v>367</v>
      </c>
      <c r="C801" s="31" t="s">
        <v>337</v>
      </c>
      <c r="D801" s="14" t="s">
        <v>147</v>
      </c>
      <c r="E801" s="45"/>
      <c r="F801" s="14"/>
      <c r="G801" s="14"/>
      <c r="H801" s="14"/>
      <c r="I801" s="31"/>
      <c r="J801" s="45">
        <v>38384</v>
      </c>
      <c r="K801" s="14">
        <v>600000</v>
      </c>
      <c r="L801" s="14">
        <f t="shared" si="50"/>
        <v>2026.45625</v>
      </c>
      <c r="M801" s="14">
        <v>1215873750</v>
      </c>
      <c r="N801" s="14">
        <v>954000000</v>
      </c>
      <c r="O801" s="14">
        <f t="shared" si="51"/>
        <v>261873750</v>
      </c>
      <c r="P801" s="14"/>
      <c r="Q801" s="14"/>
      <c r="R801" s="402" t="s">
        <v>352</v>
      </c>
      <c r="S801" s="402"/>
      <c r="T801" s="320"/>
      <c r="U801" s="320"/>
    </row>
    <row r="802" spans="1:21" hidden="1">
      <c r="A802" s="31" t="s">
        <v>522</v>
      </c>
      <c r="B802" s="31" t="s">
        <v>367</v>
      </c>
      <c r="C802" s="31" t="s">
        <v>337</v>
      </c>
      <c r="D802" s="14" t="s">
        <v>147</v>
      </c>
      <c r="E802" s="45"/>
      <c r="F802" s="14"/>
      <c r="G802" s="14"/>
      <c r="H802" s="14"/>
      <c r="I802" s="31"/>
      <c r="J802" s="45">
        <v>38385</v>
      </c>
      <c r="K802" s="14">
        <v>104622</v>
      </c>
      <c r="L802" s="14">
        <f t="shared" si="50"/>
        <v>2251.5074267362506</v>
      </c>
      <c r="M802" s="14">
        <v>235557210</v>
      </c>
      <c r="N802" s="14">
        <v>166348980</v>
      </c>
      <c r="O802" s="14">
        <f t="shared" si="51"/>
        <v>69208230</v>
      </c>
      <c r="P802" s="14"/>
      <c r="Q802" s="14"/>
      <c r="R802" s="402" t="s">
        <v>352</v>
      </c>
      <c r="S802" s="402"/>
      <c r="T802" s="320"/>
      <c r="U802" s="320"/>
    </row>
    <row r="803" spans="1:21" hidden="1">
      <c r="A803" s="31" t="s">
        <v>522</v>
      </c>
      <c r="B803" s="31" t="s">
        <v>367</v>
      </c>
      <c r="C803" s="31" t="s">
        <v>337</v>
      </c>
      <c r="D803" s="14" t="s">
        <v>147</v>
      </c>
      <c r="E803" s="45"/>
      <c r="F803" s="14"/>
      <c r="G803" s="14"/>
      <c r="H803" s="14"/>
      <c r="I803" s="31"/>
      <c r="J803" s="45">
        <v>38387</v>
      </c>
      <c r="K803" s="14">
        <v>50000</v>
      </c>
      <c r="L803" s="14">
        <f t="shared" si="50"/>
        <v>2904.9639999999999</v>
      </c>
      <c r="M803" s="14">
        <v>145248200</v>
      </c>
      <c r="N803" s="14">
        <v>79500000</v>
      </c>
      <c r="O803" s="14">
        <f t="shared" si="51"/>
        <v>65748200</v>
      </c>
      <c r="P803" s="14"/>
      <c r="Q803" s="14"/>
      <c r="R803" s="402" t="s">
        <v>352</v>
      </c>
      <c r="S803" s="402"/>
      <c r="T803" s="320"/>
      <c r="U803" s="320"/>
    </row>
    <row r="804" spans="1:21" hidden="1">
      <c r="A804" s="31" t="s">
        <v>522</v>
      </c>
      <c r="B804" s="31" t="s">
        <v>367</v>
      </c>
      <c r="C804" s="31" t="s">
        <v>337</v>
      </c>
      <c r="D804" s="14" t="s">
        <v>147</v>
      </c>
      <c r="E804" s="45"/>
      <c r="F804" s="14"/>
      <c r="G804" s="14"/>
      <c r="H804" s="14"/>
      <c r="I804" s="31"/>
      <c r="J804" s="45">
        <v>38523</v>
      </c>
      <c r="K804" s="14">
        <v>22000</v>
      </c>
      <c r="L804" s="14">
        <f t="shared" si="50"/>
        <v>5710.6090909090908</v>
      </c>
      <c r="M804" s="14">
        <v>125633400</v>
      </c>
      <c r="N804" s="14">
        <v>34980000</v>
      </c>
      <c r="O804" s="14">
        <f t="shared" si="51"/>
        <v>90653400</v>
      </c>
      <c r="P804" s="14"/>
      <c r="Q804" s="14"/>
      <c r="R804" s="402" t="s">
        <v>352</v>
      </c>
      <c r="S804" s="402"/>
      <c r="T804" s="320"/>
      <c r="U804" s="320"/>
    </row>
    <row r="805" spans="1:21" hidden="1">
      <c r="A805" s="31" t="s">
        <v>522</v>
      </c>
      <c r="B805" s="31" t="s">
        <v>367</v>
      </c>
      <c r="C805" s="31" t="s">
        <v>337</v>
      </c>
      <c r="D805" s="14" t="s">
        <v>147</v>
      </c>
      <c r="E805" s="45"/>
      <c r="F805" s="14"/>
      <c r="G805" s="14"/>
      <c r="H805" s="14"/>
      <c r="I805" s="31"/>
      <c r="J805" s="45">
        <v>38527</v>
      </c>
      <c r="K805" s="14">
        <v>100000</v>
      </c>
      <c r="L805" s="14">
        <f t="shared" si="50"/>
        <v>5779.9369999999999</v>
      </c>
      <c r="M805" s="14">
        <v>577993700</v>
      </c>
      <c r="N805" s="14">
        <v>159000000</v>
      </c>
      <c r="O805" s="14">
        <f t="shared" si="51"/>
        <v>418993700</v>
      </c>
      <c r="P805" s="14"/>
      <c r="Q805" s="14"/>
      <c r="R805" s="402" t="s">
        <v>352</v>
      </c>
      <c r="S805" s="402"/>
      <c r="T805" s="320"/>
      <c r="U805" s="320"/>
    </row>
    <row r="806" spans="1:21" hidden="1">
      <c r="A806" s="31" t="s">
        <v>522</v>
      </c>
      <c r="B806" s="31" t="s">
        <v>367</v>
      </c>
      <c r="C806" s="31" t="s">
        <v>337</v>
      </c>
      <c r="D806" s="14" t="s">
        <v>147</v>
      </c>
      <c r="E806" s="45"/>
      <c r="F806" s="14"/>
      <c r="G806" s="14"/>
      <c r="H806" s="14"/>
      <c r="I806" s="31"/>
      <c r="J806" s="45">
        <v>38530</v>
      </c>
      <c r="K806" s="14">
        <v>100000</v>
      </c>
      <c r="L806" s="14">
        <f t="shared" si="50"/>
        <v>6392.76</v>
      </c>
      <c r="M806" s="14">
        <v>639276000</v>
      </c>
      <c r="N806" s="14">
        <v>159000000</v>
      </c>
      <c r="O806" s="14">
        <f t="shared" si="51"/>
        <v>480276000</v>
      </c>
      <c r="P806" s="14"/>
      <c r="Q806" s="14"/>
      <c r="R806" s="402" t="s">
        <v>352</v>
      </c>
      <c r="S806" s="402"/>
      <c r="T806" s="320"/>
      <c r="U806" s="320"/>
    </row>
    <row r="807" spans="1:21" hidden="1">
      <c r="A807" s="31" t="s">
        <v>522</v>
      </c>
      <c r="B807" s="31" t="s">
        <v>367</v>
      </c>
      <c r="C807" s="31" t="s">
        <v>337</v>
      </c>
      <c r="D807" s="14" t="s">
        <v>147</v>
      </c>
      <c r="E807" s="45"/>
      <c r="F807" s="14"/>
      <c r="G807" s="14"/>
      <c r="H807" s="14"/>
      <c r="I807" s="31"/>
      <c r="J807" s="45">
        <v>38532</v>
      </c>
      <c r="K807" s="14">
        <v>113790</v>
      </c>
      <c r="L807" s="14">
        <f t="shared" si="50"/>
        <v>6614.9644081202214</v>
      </c>
      <c r="M807" s="14">
        <v>752716800</v>
      </c>
      <c r="N807" s="14">
        <v>180926100</v>
      </c>
      <c r="O807" s="14">
        <f t="shared" si="51"/>
        <v>571790700</v>
      </c>
      <c r="P807" s="14"/>
      <c r="Q807" s="14"/>
      <c r="R807" s="402" t="s">
        <v>352</v>
      </c>
      <c r="S807" s="402"/>
      <c r="T807" s="320"/>
      <c r="U807" s="320"/>
    </row>
    <row r="808" spans="1:21" hidden="1">
      <c r="A808" s="31" t="s">
        <v>522</v>
      </c>
      <c r="B808" s="31" t="s">
        <v>367</v>
      </c>
      <c r="C808" s="31" t="s">
        <v>337</v>
      </c>
      <c r="D808" s="14" t="s">
        <v>147</v>
      </c>
      <c r="E808" s="45"/>
      <c r="F808" s="14"/>
      <c r="G808" s="14"/>
      <c r="H808" s="14"/>
      <c r="I808" s="31"/>
      <c r="J808" s="45">
        <v>38621</v>
      </c>
      <c r="K808" s="14">
        <v>30000</v>
      </c>
      <c r="L808" s="14">
        <f t="shared" si="50"/>
        <v>7278.67</v>
      </c>
      <c r="M808" s="14">
        <v>218360100</v>
      </c>
      <c r="N808" s="14">
        <v>47700000</v>
      </c>
      <c r="O808" s="14">
        <f t="shared" si="51"/>
        <v>170660100</v>
      </c>
      <c r="P808" s="14"/>
      <c r="Q808" s="14"/>
      <c r="R808" s="402" t="s">
        <v>352</v>
      </c>
      <c r="S808" s="402"/>
      <c r="T808" s="320"/>
      <c r="U808" s="320"/>
    </row>
    <row r="809" spans="1:21" hidden="1">
      <c r="A809" s="31" t="s">
        <v>522</v>
      </c>
      <c r="B809" s="31" t="s">
        <v>367</v>
      </c>
      <c r="C809" s="31" t="s">
        <v>337</v>
      </c>
      <c r="D809" s="14" t="s">
        <v>147</v>
      </c>
      <c r="E809" s="45"/>
      <c r="F809" s="14"/>
      <c r="G809" s="14"/>
      <c r="H809" s="14"/>
      <c r="I809" s="31"/>
      <c r="J809" s="45">
        <v>38638</v>
      </c>
      <c r="K809" s="14">
        <v>40000</v>
      </c>
      <c r="L809" s="14">
        <f t="shared" si="50"/>
        <v>8292.9174999999996</v>
      </c>
      <c r="M809" s="14">
        <v>331716700</v>
      </c>
      <c r="N809" s="14">
        <v>63600000</v>
      </c>
      <c r="O809" s="14">
        <f t="shared" si="51"/>
        <v>268116700</v>
      </c>
      <c r="P809" s="14"/>
      <c r="Q809" s="14"/>
      <c r="R809" s="402" t="s">
        <v>352</v>
      </c>
      <c r="S809" s="402"/>
      <c r="T809" s="320"/>
      <c r="U809" s="320"/>
    </row>
    <row r="810" spans="1:21" hidden="1">
      <c r="A810" s="31" t="s">
        <v>522</v>
      </c>
      <c r="B810" s="31" t="s">
        <v>367</v>
      </c>
      <c r="C810" s="31" t="s">
        <v>337</v>
      </c>
      <c r="D810" s="14" t="s">
        <v>147</v>
      </c>
      <c r="E810" s="45"/>
      <c r="F810" s="14"/>
      <c r="G810" s="14"/>
      <c r="H810" s="14"/>
      <c r="I810" s="31"/>
      <c r="J810" s="45">
        <v>38666</v>
      </c>
      <c r="K810" s="14">
        <v>41830</v>
      </c>
      <c r="L810" s="14">
        <f t="shared" si="50"/>
        <v>9150.6741573033705</v>
      </c>
      <c r="M810" s="14">
        <v>382772700</v>
      </c>
      <c r="N810" s="14">
        <v>66509700</v>
      </c>
      <c r="O810" s="14">
        <f t="shared" si="51"/>
        <v>316263000</v>
      </c>
      <c r="P810" s="14"/>
      <c r="Q810" s="14"/>
      <c r="R810" s="402" t="s">
        <v>352</v>
      </c>
      <c r="S810" s="402"/>
      <c r="T810" s="320"/>
      <c r="U810" s="320"/>
    </row>
    <row r="811" spans="1:21" hidden="1">
      <c r="A811" s="31" t="s">
        <v>522</v>
      </c>
      <c r="B811" s="31" t="s">
        <v>367</v>
      </c>
      <c r="C811" s="31" t="s">
        <v>337</v>
      </c>
      <c r="D811" s="14" t="s">
        <v>147</v>
      </c>
      <c r="E811" s="45"/>
      <c r="F811" s="14"/>
      <c r="G811" s="14"/>
      <c r="H811" s="14"/>
      <c r="I811" s="31"/>
      <c r="J811" s="45">
        <v>38717</v>
      </c>
      <c r="K811" s="14">
        <v>0</v>
      </c>
      <c r="L811" s="14">
        <v>0</v>
      </c>
      <c r="M811" s="14">
        <v>0</v>
      </c>
      <c r="N811" s="14">
        <v>-4196515260</v>
      </c>
      <c r="O811" s="14">
        <v>4196515260</v>
      </c>
      <c r="P811" s="14"/>
      <c r="Q811" s="14"/>
      <c r="R811" s="402" t="s">
        <v>394</v>
      </c>
      <c r="S811" s="402"/>
      <c r="T811" s="320"/>
      <c r="U811" s="320"/>
    </row>
    <row r="812" spans="1:21" hidden="1">
      <c r="A812" s="31" t="s">
        <v>522</v>
      </c>
      <c r="B812" s="31" t="s">
        <v>367</v>
      </c>
      <c r="C812" s="31" t="s">
        <v>337</v>
      </c>
      <c r="D812" s="14" t="s">
        <v>147</v>
      </c>
      <c r="E812" s="45"/>
      <c r="F812" s="14"/>
      <c r="G812" s="14"/>
      <c r="H812" s="14"/>
      <c r="I812" s="31"/>
      <c r="J812" s="45">
        <v>38980</v>
      </c>
      <c r="K812" s="14">
        <v>5500</v>
      </c>
      <c r="L812" s="14">
        <f t="shared" si="50"/>
        <v>8226.4</v>
      </c>
      <c r="M812" s="14">
        <v>45245200</v>
      </c>
      <c r="N812" s="14">
        <v>50710000</v>
      </c>
      <c r="O812" s="14">
        <f t="shared" si="51"/>
        <v>-5464800</v>
      </c>
      <c r="P812" s="14"/>
      <c r="Q812" s="14"/>
      <c r="R812" s="402" t="s">
        <v>352</v>
      </c>
      <c r="S812" s="402"/>
      <c r="T812" s="320"/>
      <c r="U812" s="320"/>
    </row>
    <row r="813" spans="1:21" hidden="1">
      <c r="A813" s="31" t="s">
        <v>522</v>
      </c>
      <c r="B813" s="31" t="s">
        <v>367</v>
      </c>
      <c r="C813" s="31" t="s">
        <v>337</v>
      </c>
      <c r="D813" s="14" t="s">
        <v>147</v>
      </c>
      <c r="E813" s="45"/>
      <c r="F813" s="14"/>
      <c r="G813" s="14"/>
      <c r="H813" s="14"/>
      <c r="I813" s="31"/>
      <c r="J813" s="45">
        <v>38981</v>
      </c>
      <c r="K813" s="14">
        <v>20000</v>
      </c>
      <c r="L813" s="14">
        <f t="shared" si="50"/>
        <v>8345.83</v>
      </c>
      <c r="M813" s="14">
        <v>166916600</v>
      </c>
      <c r="N813" s="14">
        <v>184400000</v>
      </c>
      <c r="O813" s="14">
        <f t="shared" si="51"/>
        <v>-17483400</v>
      </c>
      <c r="P813" s="14"/>
      <c r="Q813" s="14"/>
      <c r="R813" s="402" t="s">
        <v>352</v>
      </c>
      <c r="S813" s="402"/>
      <c r="T813" s="320"/>
      <c r="U813" s="320"/>
    </row>
    <row r="814" spans="1:21" hidden="1">
      <c r="A814" s="31" t="s">
        <v>522</v>
      </c>
      <c r="B814" s="31" t="s">
        <v>367</v>
      </c>
      <c r="C814" s="31" t="s">
        <v>337</v>
      </c>
      <c r="D814" s="14" t="s">
        <v>147</v>
      </c>
      <c r="E814" s="45"/>
      <c r="F814" s="14"/>
      <c r="G814" s="14"/>
      <c r="H814" s="14"/>
      <c r="I814" s="31"/>
      <c r="J814" s="45">
        <v>39082</v>
      </c>
      <c r="K814" s="14">
        <v>0</v>
      </c>
      <c r="L814" s="14">
        <v>0</v>
      </c>
      <c r="M814" s="14">
        <v>0</v>
      </c>
      <c r="N814" s="14">
        <v>1248314760</v>
      </c>
      <c r="O814" s="14">
        <v>-1248314760</v>
      </c>
      <c r="P814" s="14"/>
      <c r="Q814" s="14"/>
      <c r="R814" s="402" t="s">
        <v>395</v>
      </c>
      <c r="S814" s="402"/>
      <c r="T814" s="320"/>
      <c r="U814" s="320"/>
    </row>
    <row r="815" spans="1:21" hidden="1">
      <c r="A815" s="31" t="s">
        <v>522</v>
      </c>
      <c r="B815" s="31" t="s">
        <v>367</v>
      </c>
      <c r="C815" s="31" t="s">
        <v>337</v>
      </c>
      <c r="D815" s="14" t="s">
        <v>147</v>
      </c>
      <c r="E815" s="45"/>
      <c r="F815" s="14"/>
      <c r="G815" s="14"/>
      <c r="H815" s="14"/>
      <c r="I815" s="31"/>
      <c r="J815" s="45">
        <v>39260</v>
      </c>
      <c r="K815" s="14">
        <v>25350</v>
      </c>
      <c r="L815" s="14">
        <f t="shared" si="50"/>
        <v>5230.9704142011833</v>
      </c>
      <c r="M815" s="14">
        <v>132605100</v>
      </c>
      <c r="N815" s="14">
        <v>173394000</v>
      </c>
      <c r="O815" s="14">
        <f t="shared" si="51"/>
        <v>-40788900</v>
      </c>
      <c r="P815" s="14"/>
      <c r="Q815" s="14"/>
      <c r="R815" s="402" t="s">
        <v>352</v>
      </c>
      <c r="S815" s="402"/>
      <c r="T815" s="320"/>
      <c r="U815" s="320"/>
    </row>
    <row r="816" spans="1:21" hidden="1">
      <c r="A816" s="31" t="s">
        <v>522</v>
      </c>
      <c r="B816" s="31" t="s">
        <v>367</v>
      </c>
      <c r="C816" s="31" t="s">
        <v>337</v>
      </c>
      <c r="D816" s="14" t="s">
        <v>147</v>
      </c>
      <c r="E816" s="45"/>
      <c r="F816" s="14"/>
      <c r="G816" s="14"/>
      <c r="H816" s="14"/>
      <c r="I816" s="31"/>
      <c r="J816" s="45">
        <v>39261</v>
      </c>
      <c r="K816" s="14">
        <v>27160</v>
      </c>
      <c r="L816" s="14">
        <f t="shared" si="50"/>
        <v>5230.684830633284</v>
      </c>
      <c r="M816" s="14">
        <v>142065400</v>
      </c>
      <c r="N816" s="14">
        <v>185774400</v>
      </c>
      <c r="O816" s="14">
        <f t="shared" si="51"/>
        <v>-43709000</v>
      </c>
      <c r="P816" s="14"/>
      <c r="Q816" s="14"/>
      <c r="R816" s="402" t="s">
        <v>352</v>
      </c>
      <c r="S816" s="402"/>
      <c r="T816" s="320"/>
      <c r="U816" s="320"/>
    </row>
    <row r="817" spans="1:21" hidden="1">
      <c r="A817" s="31" t="s">
        <v>522</v>
      </c>
      <c r="B817" s="31" t="s">
        <v>367</v>
      </c>
      <c r="C817" s="31" t="s">
        <v>337</v>
      </c>
      <c r="D817" s="14" t="s">
        <v>147</v>
      </c>
      <c r="E817" s="45"/>
      <c r="F817" s="14"/>
      <c r="G817" s="14"/>
      <c r="H817" s="14"/>
      <c r="I817" s="31"/>
      <c r="J817" s="45">
        <v>39262</v>
      </c>
      <c r="K817" s="14">
        <v>48300</v>
      </c>
      <c r="L817" s="14">
        <f t="shared" si="50"/>
        <v>5337.5693581780542</v>
      </c>
      <c r="M817" s="14">
        <v>257804600</v>
      </c>
      <c r="N817" s="14">
        <v>330372000</v>
      </c>
      <c r="O817" s="14">
        <f t="shared" si="51"/>
        <v>-72567400</v>
      </c>
      <c r="P817" s="14"/>
      <c r="Q817" s="14"/>
      <c r="R817" s="402" t="s">
        <v>352</v>
      </c>
      <c r="S817" s="402"/>
      <c r="T817" s="320"/>
      <c r="U817" s="320"/>
    </row>
    <row r="818" spans="1:21" hidden="1">
      <c r="A818" s="31" t="s">
        <v>522</v>
      </c>
      <c r="B818" s="31" t="s">
        <v>367</v>
      </c>
      <c r="C818" s="31" t="s">
        <v>337</v>
      </c>
      <c r="D818" s="14" t="s">
        <v>147</v>
      </c>
      <c r="E818" s="45"/>
      <c r="F818" s="14"/>
      <c r="G818" s="14"/>
      <c r="H818" s="14"/>
      <c r="I818" s="31"/>
      <c r="J818" s="45">
        <v>39265</v>
      </c>
      <c r="K818" s="14">
        <v>6000</v>
      </c>
      <c r="L818" s="14">
        <f t="shared" si="50"/>
        <v>5429.8666666666668</v>
      </c>
      <c r="M818" s="14">
        <v>32579200</v>
      </c>
      <c r="N818" s="14">
        <v>41040000</v>
      </c>
      <c r="O818" s="14">
        <f t="shared" si="51"/>
        <v>-8460800</v>
      </c>
      <c r="P818" s="14"/>
      <c r="Q818" s="14"/>
      <c r="R818" s="402" t="s">
        <v>352</v>
      </c>
      <c r="S818" s="402"/>
      <c r="T818" s="320"/>
      <c r="U818" s="320"/>
    </row>
    <row r="819" spans="1:21" hidden="1">
      <c r="A819" s="31" t="s">
        <v>522</v>
      </c>
      <c r="B819" s="31" t="s">
        <v>367</v>
      </c>
      <c r="C819" s="31" t="s">
        <v>337</v>
      </c>
      <c r="D819" s="14" t="s">
        <v>147</v>
      </c>
      <c r="E819" s="45"/>
      <c r="F819" s="14"/>
      <c r="G819" s="14"/>
      <c r="H819" s="14"/>
      <c r="I819" s="31"/>
      <c r="J819" s="45">
        <v>39384</v>
      </c>
      <c r="K819" s="14">
        <v>47560</v>
      </c>
      <c r="L819" s="14">
        <f t="shared" si="50"/>
        <v>4075.2617746005049</v>
      </c>
      <c r="M819" s="14">
        <v>193819450</v>
      </c>
      <c r="N819" s="14">
        <v>325310400</v>
      </c>
      <c r="O819" s="14">
        <f t="shared" si="51"/>
        <v>-131490950</v>
      </c>
      <c r="P819" s="14"/>
      <c r="Q819" s="14"/>
      <c r="R819" s="402" t="s">
        <v>352</v>
      </c>
      <c r="S819" s="402"/>
      <c r="T819" s="320"/>
      <c r="U819" s="320"/>
    </row>
    <row r="820" spans="1:21" hidden="1">
      <c r="A820" s="31" t="s">
        <v>522</v>
      </c>
      <c r="B820" s="31" t="s">
        <v>367</v>
      </c>
      <c r="C820" s="31" t="s">
        <v>337</v>
      </c>
      <c r="D820" s="14" t="s">
        <v>147</v>
      </c>
      <c r="E820" s="45"/>
      <c r="F820" s="14"/>
      <c r="G820" s="14"/>
      <c r="H820" s="14"/>
      <c r="I820" s="31"/>
      <c r="J820" s="45">
        <v>39385</v>
      </c>
      <c r="K820" s="14">
        <v>9632</v>
      </c>
      <c r="L820" s="14">
        <f t="shared" si="50"/>
        <v>4019.3054401993354</v>
      </c>
      <c r="M820" s="14">
        <v>38713950</v>
      </c>
      <c r="N820" s="14">
        <v>65882880</v>
      </c>
      <c r="O820" s="14">
        <f t="shared" si="51"/>
        <v>-27168930</v>
      </c>
      <c r="P820" s="14"/>
      <c r="Q820" s="14"/>
      <c r="R820" s="402" t="s">
        <v>352</v>
      </c>
      <c r="S820" s="402"/>
      <c r="T820" s="320"/>
      <c r="U820" s="320"/>
    </row>
    <row r="821" spans="1:21" hidden="1">
      <c r="A821" s="31" t="s">
        <v>522</v>
      </c>
      <c r="B821" s="31" t="s">
        <v>367</v>
      </c>
      <c r="C821" s="31" t="s">
        <v>337</v>
      </c>
      <c r="D821" s="14" t="s">
        <v>147</v>
      </c>
      <c r="E821" s="45"/>
      <c r="F821" s="14"/>
      <c r="G821" s="14"/>
      <c r="H821" s="14"/>
      <c r="I821" s="31"/>
      <c r="J821" s="45">
        <v>39386</v>
      </c>
      <c r="K821" s="14">
        <v>36790</v>
      </c>
      <c r="L821" s="14">
        <f t="shared" si="50"/>
        <v>4015.3384071758628</v>
      </c>
      <c r="M821" s="14">
        <v>147724300</v>
      </c>
      <c r="N821" s="14">
        <v>251643600</v>
      </c>
      <c r="O821" s="14">
        <f t="shared" si="51"/>
        <v>-103919300</v>
      </c>
      <c r="P821" s="14"/>
      <c r="Q821" s="14"/>
      <c r="R821" s="402" t="s">
        <v>352</v>
      </c>
      <c r="S821" s="402"/>
      <c r="T821" s="320"/>
      <c r="U821" s="320"/>
    </row>
    <row r="822" spans="1:21" hidden="1">
      <c r="A822" s="31" t="s">
        <v>522</v>
      </c>
      <c r="B822" s="31" t="s">
        <v>367</v>
      </c>
      <c r="C822" s="31" t="s">
        <v>337</v>
      </c>
      <c r="D822" s="14" t="s">
        <v>147</v>
      </c>
      <c r="E822" s="45"/>
      <c r="F822" s="14"/>
      <c r="G822" s="14"/>
      <c r="H822" s="14"/>
      <c r="I822" s="31"/>
      <c r="J822" s="45">
        <v>39387</v>
      </c>
      <c r="K822" s="14">
        <v>4480</v>
      </c>
      <c r="L822" s="14">
        <f t="shared" si="50"/>
        <v>4025.4799107142858</v>
      </c>
      <c r="M822" s="14">
        <v>18034150</v>
      </c>
      <c r="N822" s="14">
        <v>30643200</v>
      </c>
      <c r="O822" s="14">
        <f t="shared" si="51"/>
        <v>-12609050</v>
      </c>
      <c r="P822" s="14"/>
      <c r="Q822" s="14"/>
      <c r="R822" s="402" t="s">
        <v>352</v>
      </c>
      <c r="S822" s="402"/>
      <c r="T822" s="320"/>
      <c r="U822" s="320"/>
    </row>
    <row r="823" spans="1:21" hidden="1">
      <c r="A823" s="31" t="s">
        <v>522</v>
      </c>
      <c r="B823" s="31" t="s">
        <v>367</v>
      </c>
      <c r="C823" s="31" t="s">
        <v>337</v>
      </c>
      <c r="D823" s="14" t="s">
        <v>147</v>
      </c>
      <c r="E823" s="45"/>
      <c r="F823" s="14"/>
      <c r="G823" s="14"/>
      <c r="H823" s="14"/>
      <c r="I823" s="31"/>
      <c r="J823" s="45">
        <v>39398</v>
      </c>
      <c r="K823" s="14">
        <v>159950</v>
      </c>
      <c r="L823" s="14">
        <f t="shared" si="50"/>
        <v>4100.8155673648016</v>
      </c>
      <c r="M823" s="14">
        <v>655925450</v>
      </c>
      <c r="N823" s="14">
        <v>1094058000</v>
      </c>
      <c r="O823" s="14">
        <f t="shared" si="51"/>
        <v>-438132550</v>
      </c>
      <c r="P823" s="14"/>
      <c r="Q823" s="14"/>
      <c r="R823" s="402" t="s">
        <v>352</v>
      </c>
      <c r="S823" s="402"/>
      <c r="T823" s="320"/>
      <c r="U823" s="320"/>
    </row>
    <row r="824" spans="1:21" hidden="1">
      <c r="A824" s="31" t="s">
        <v>522</v>
      </c>
      <c r="B824" s="31" t="s">
        <v>367</v>
      </c>
      <c r="C824" s="31" t="s">
        <v>337</v>
      </c>
      <c r="D824" s="14" t="s">
        <v>147</v>
      </c>
      <c r="E824" s="45"/>
      <c r="F824" s="14"/>
      <c r="G824" s="14"/>
      <c r="H824" s="14"/>
      <c r="I824" s="31"/>
      <c r="J824" s="45">
        <v>39399</v>
      </c>
      <c r="K824" s="14">
        <v>31480</v>
      </c>
      <c r="L824" s="14">
        <f t="shared" si="50"/>
        <v>4064.2900254129604</v>
      </c>
      <c r="M824" s="14">
        <v>127943850</v>
      </c>
      <c r="N824" s="14">
        <v>215323200</v>
      </c>
      <c r="O824" s="14">
        <f t="shared" si="51"/>
        <v>-87379350</v>
      </c>
      <c r="P824" s="14"/>
      <c r="Q824" s="14"/>
      <c r="R824" s="402" t="s">
        <v>352</v>
      </c>
      <c r="S824" s="402"/>
      <c r="T824" s="320"/>
      <c r="U824" s="320"/>
    </row>
    <row r="825" spans="1:21" hidden="1">
      <c r="A825" s="31" t="s">
        <v>522</v>
      </c>
      <c r="B825" s="31" t="s">
        <v>367</v>
      </c>
      <c r="C825" s="31" t="s">
        <v>337</v>
      </c>
      <c r="D825" s="14" t="s">
        <v>147</v>
      </c>
      <c r="E825" s="45"/>
      <c r="F825" s="14"/>
      <c r="G825" s="14"/>
      <c r="H825" s="14"/>
      <c r="I825" s="31"/>
      <c r="J825" s="45">
        <v>39400</v>
      </c>
      <c r="K825" s="14">
        <v>17580</v>
      </c>
      <c r="L825" s="14">
        <f t="shared" si="50"/>
        <v>4068.3390216154721</v>
      </c>
      <c r="M825" s="14">
        <v>71521400</v>
      </c>
      <c r="N825" s="14">
        <v>120247200</v>
      </c>
      <c r="O825" s="14">
        <f t="shared" si="51"/>
        <v>-48725800</v>
      </c>
      <c r="P825" s="14"/>
      <c r="Q825" s="14"/>
      <c r="R825" s="402" t="s">
        <v>352</v>
      </c>
      <c r="S825" s="402"/>
      <c r="T825" s="320"/>
      <c r="U825" s="320"/>
    </row>
    <row r="826" spans="1:21" hidden="1">
      <c r="A826" s="31" t="s">
        <v>522</v>
      </c>
      <c r="B826" s="31" t="s">
        <v>367</v>
      </c>
      <c r="C826" s="31" t="s">
        <v>337</v>
      </c>
      <c r="D826" s="14" t="s">
        <v>147</v>
      </c>
      <c r="E826" s="45"/>
      <c r="F826" s="14"/>
      <c r="G826" s="14"/>
      <c r="H826" s="14"/>
      <c r="I826" s="31"/>
      <c r="J826" s="45">
        <v>39405</v>
      </c>
      <c r="K826" s="14">
        <v>20010</v>
      </c>
      <c r="L826" s="14">
        <f t="shared" si="50"/>
        <v>4017.2188905547227</v>
      </c>
      <c r="M826" s="14">
        <v>80384550</v>
      </c>
      <c r="N826" s="14">
        <v>136868400</v>
      </c>
      <c r="O826" s="14">
        <f t="shared" si="51"/>
        <v>-56483850</v>
      </c>
      <c r="P826" s="14"/>
      <c r="Q826" s="14"/>
      <c r="R826" s="402" t="s">
        <v>352</v>
      </c>
      <c r="S826" s="402"/>
      <c r="T826" s="320"/>
      <c r="U826" s="320"/>
    </row>
    <row r="827" spans="1:21" hidden="1">
      <c r="A827" s="31" t="s">
        <v>522</v>
      </c>
      <c r="B827" s="31" t="s">
        <v>367</v>
      </c>
      <c r="C827" s="31" t="s">
        <v>337</v>
      </c>
      <c r="D827" s="14" t="s">
        <v>147</v>
      </c>
      <c r="E827" s="45"/>
      <c r="F827" s="14"/>
      <c r="G827" s="14"/>
      <c r="H827" s="14"/>
      <c r="I827" s="31"/>
      <c r="J827" s="45">
        <v>39447</v>
      </c>
      <c r="K827" s="14">
        <v>0</v>
      </c>
      <c r="L827" s="14">
        <v>0</v>
      </c>
      <c r="M827" s="14">
        <v>0</v>
      </c>
      <c r="N827" s="14">
        <v>314381850</v>
      </c>
      <c r="O827" s="14">
        <v>-314381850</v>
      </c>
      <c r="P827" s="14"/>
      <c r="Q827" s="14"/>
      <c r="R827" s="402" t="s">
        <v>396</v>
      </c>
      <c r="S827" s="402"/>
      <c r="T827" s="320"/>
      <c r="U827" s="320"/>
    </row>
    <row r="828" spans="1:21" hidden="1">
      <c r="A828" s="31" t="s">
        <v>522</v>
      </c>
      <c r="B828" s="31" t="s">
        <v>367</v>
      </c>
      <c r="C828" s="36" t="s">
        <v>337</v>
      </c>
      <c r="D828" s="11" t="s">
        <v>147</v>
      </c>
      <c r="E828" s="46"/>
      <c r="F828" s="11"/>
      <c r="G828" s="11"/>
      <c r="H828" s="11"/>
      <c r="I828" s="36"/>
      <c r="J828" s="45">
        <v>39464</v>
      </c>
      <c r="K828" s="11">
        <v>90210</v>
      </c>
      <c r="L828" s="11">
        <f t="shared" si="50"/>
        <v>3501.6960425673428</v>
      </c>
      <c r="M828" s="11">
        <v>315888000</v>
      </c>
      <c r="N828" s="11">
        <v>302654550</v>
      </c>
      <c r="O828" s="11">
        <f t="shared" si="51"/>
        <v>13233450</v>
      </c>
      <c r="P828" s="11">
        <f>+SUM(H797:H828)-SUM(N797:N828)</f>
        <v>0</v>
      </c>
      <c r="Q828" s="11"/>
      <c r="R828" s="403" t="s">
        <v>352</v>
      </c>
      <c r="S828" s="403"/>
      <c r="T828" s="321"/>
      <c r="U828" s="321"/>
    </row>
    <row r="829" spans="1:21" hidden="1">
      <c r="A829" s="31" t="s">
        <v>522</v>
      </c>
      <c r="B829" s="31" t="s">
        <v>367</v>
      </c>
      <c r="C829" s="25" t="s">
        <v>314</v>
      </c>
      <c r="D829" s="20" t="s">
        <v>397</v>
      </c>
      <c r="E829" s="44">
        <v>37641</v>
      </c>
      <c r="F829" s="20"/>
      <c r="G829" s="20"/>
      <c r="H829" s="20">
        <v>1000000000</v>
      </c>
      <c r="I829" s="25" t="s">
        <v>375</v>
      </c>
      <c r="J829" s="44">
        <v>38636</v>
      </c>
      <c r="K829" s="20"/>
      <c r="L829" s="20"/>
      <c r="M829" s="20">
        <v>1109041096</v>
      </c>
      <c r="N829" s="20">
        <v>1000000000</v>
      </c>
      <c r="O829" s="20">
        <f t="shared" si="48"/>
        <v>109041096</v>
      </c>
      <c r="P829" s="20"/>
      <c r="Q829" s="20"/>
      <c r="R829" s="401" t="s">
        <v>306</v>
      </c>
      <c r="S829" s="401"/>
      <c r="T829" s="319"/>
      <c r="U829" s="319"/>
    </row>
    <row r="830" spans="1:21" hidden="1">
      <c r="A830" s="31" t="s">
        <v>522</v>
      </c>
      <c r="B830" s="31" t="s">
        <v>367</v>
      </c>
      <c r="C830" s="36" t="s">
        <v>314</v>
      </c>
      <c r="D830" s="11" t="s">
        <v>397</v>
      </c>
      <c r="E830" s="46"/>
      <c r="F830" s="11"/>
      <c r="G830" s="11"/>
      <c r="H830" s="11"/>
      <c r="I830" s="36"/>
      <c r="J830" s="46">
        <v>39475</v>
      </c>
      <c r="K830" s="11"/>
      <c r="L830" s="11"/>
      <c r="M830" s="11">
        <v>1000</v>
      </c>
      <c r="N830" s="11">
        <v>0</v>
      </c>
      <c r="O830" s="11"/>
      <c r="P830" s="11">
        <f>+H829-SUM(N829:N830)</f>
        <v>0</v>
      </c>
      <c r="Q830" s="11"/>
      <c r="R830" s="403" t="s">
        <v>379</v>
      </c>
      <c r="S830" s="403"/>
      <c r="T830" s="321"/>
      <c r="U830" s="321"/>
    </row>
    <row r="831" spans="1:21" hidden="1">
      <c r="A831" s="31" t="s">
        <v>522</v>
      </c>
      <c r="B831" s="31" t="s">
        <v>367</v>
      </c>
      <c r="C831" s="25" t="s">
        <v>314</v>
      </c>
      <c r="D831" s="20" t="s">
        <v>398</v>
      </c>
      <c r="E831" s="44">
        <v>37666</v>
      </c>
      <c r="F831" s="20"/>
      <c r="G831" s="20"/>
      <c r="H831" s="20">
        <v>200000000</v>
      </c>
      <c r="I831" s="25" t="s">
        <v>375</v>
      </c>
      <c r="J831" s="44">
        <v>37833</v>
      </c>
      <c r="K831" s="20"/>
      <c r="L831" s="20"/>
      <c r="M831" s="20">
        <v>351000000</v>
      </c>
      <c r="N831" s="20">
        <v>200000000</v>
      </c>
      <c r="O831" s="20">
        <f t="shared" si="48"/>
        <v>151000000</v>
      </c>
      <c r="P831" s="20"/>
      <c r="Q831" s="20"/>
      <c r="R831" s="401" t="s">
        <v>306</v>
      </c>
      <c r="S831" s="401"/>
      <c r="T831" s="319"/>
      <c r="U831" s="319"/>
    </row>
    <row r="832" spans="1:21" hidden="1">
      <c r="A832" s="31" t="s">
        <v>522</v>
      </c>
      <c r="B832" s="31" t="s">
        <v>367</v>
      </c>
      <c r="C832" s="31" t="s">
        <v>314</v>
      </c>
      <c r="D832" s="14" t="s">
        <v>398</v>
      </c>
      <c r="E832" s="45"/>
      <c r="F832" s="14"/>
      <c r="G832" s="14"/>
      <c r="H832" s="14"/>
      <c r="I832" s="31"/>
      <c r="J832" s="45">
        <v>37862</v>
      </c>
      <c r="K832" s="14"/>
      <c r="L832" s="14"/>
      <c r="M832" s="14">
        <v>67950000</v>
      </c>
      <c r="N832" s="14">
        <v>0</v>
      </c>
      <c r="O832" s="14">
        <f t="shared" si="48"/>
        <v>67950000</v>
      </c>
      <c r="P832" s="14"/>
      <c r="Q832" s="14"/>
      <c r="R832" s="402" t="s">
        <v>306</v>
      </c>
      <c r="S832" s="402"/>
      <c r="T832" s="320"/>
      <c r="U832" s="320"/>
    </row>
    <row r="833" spans="1:21" hidden="1">
      <c r="A833" s="31" t="s">
        <v>522</v>
      </c>
      <c r="B833" s="31" t="s">
        <v>367</v>
      </c>
      <c r="C833" s="31" t="s">
        <v>314</v>
      </c>
      <c r="D833" s="14" t="s">
        <v>398</v>
      </c>
      <c r="E833" s="45"/>
      <c r="F833" s="14"/>
      <c r="G833" s="14"/>
      <c r="H833" s="14"/>
      <c r="I833" s="31"/>
      <c r="J833" s="45">
        <v>37894</v>
      </c>
      <c r="K833" s="14"/>
      <c r="L833" s="14"/>
      <c r="M833" s="14">
        <v>7550000</v>
      </c>
      <c r="N833" s="14">
        <v>0</v>
      </c>
      <c r="O833" s="14">
        <f t="shared" si="48"/>
        <v>7550000</v>
      </c>
      <c r="P833" s="14"/>
      <c r="Q833" s="14"/>
      <c r="R833" s="402" t="s">
        <v>306</v>
      </c>
      <c r="S833" s="402"/>
      <c r="T833" s="320"/>
      <c r="U833" s="320"/>
    </row>
    <row r="834" spans="1:21" hidden="1">
      <c r="A834" s="31" t="s">
        <v>522</v>
      </c>
      <c r="B834" s="31" t="s">
        <v>367</v>
      </c>
      <c r="C834" s="31" t="s">
        <v>314</v>
      </c>
      <c r="D834" s="14" t="s">
        <v>398</v>
      </c>
      <c r="E834" s="45"/>
      <c r="F834" s="14"/>
      <c r="G834" s="14"/>
      <c r="H834" s="14"/>
      <c r="I834" s="31"/>
      <c r="J834" s="45">
        <v>38019</v>
      </c>
      <c r="K834" s="14"/>
      <c r="L834" s="14"/>
      <c r="M834" s="14">
        <v>22500000</v>
      </c>
      <c r="N834" s="14">
        <v>0</v>
      </c>
      <c r="O834" s="14">
        <f t="shared" si="48"/>
        <v>22500000</v>
      </c>
      <c r="P834" s="14"/>
      <c r="Q834" s="14"/>
      <c r="R834" s="402" t="s">
        <v>306</v>
      </c>
      <c r="S834" s="402"/>
      <c r="T834" s="320"/>
      <c r="U834" s="320"/>
    </row>
    <row r="835" spans="1:21" hidden="1">
      <c r="A835" s="31" t="s">
        <v>522</v>
      </c>
      <c r="B835" s="31" t="s">
        <v>367</v>
      </c>
      <c r="C835" s="31" t="s">
        <v>314</v>
      </c>
      <c r="D835" s="14" t="s">
        <v>398</v>
      </c>
      <c r="E835" s="45"/>
      <c r="F835" s="14"/>
      <c r="G835" s="14"/>
      <c r="H835" s="14"/>
      <c r="I835" s="31"/>
      <c r="J835" s="45">
        <v>38049</v>
      </c>
      <c r="K835" s="14"/>
      <c r="L835" s="14"/>
      <c r="M835" s="14">
        <v>9815000</v>
      </c>
      <c r="N835" s="14">
        <v>0</v>
      </c>
      <c r="O835" s="14">
        <f t="shared" si="48"/>
        <v>9815000</v>
      </c>
      <c r="P835" s="14"/>
      <c r="Q835" s="14"/>
      <c r="R835" s="402" t="s">
        <v>306</v>
      </c>
      <c r="S835" s="402"/>
      <c r="T835" s="320"/>
      <c r="U835" s="320"/>
    </row>
    <row r="836" spans="1:21" hidden="1">
      <c r="A836" s="31" t="s">
        <v>522</v>
      </c>
      <c r="B836" s="31" t="s">
        <v>367</v>
      </c>
      <c r="C836" s="31" t="s">
        <v>314</v>
      </c>
      <c r="D836" s="14" t="s">
        <v>398</v>
      </c>
      <c r="E836" s="45"/>
      <c r="F836" s="14"/>
      <c r="G836" s="14"/>
      <c r="H836" s="14"/>
      <c r="I836" s="31"/>
      <c r="J836" s="45">
        <v>38085</v>
      </c>
      <c r="K836" s="14"/>
      <c r="L836" s="14"/>
      <c r="M836" s="14">
        <v>2265000</v>
      </c>
      <c r="N836" s="14">
        <v>0</v>
      </c>
      <c r="O836" s="14">
        <f t="shared" si="48"/>
        <v>2265000</v>
      </c>
      <c r="P836" s="14"/>
      <c r="Q836" s="14"/>
      <c r="R836" s="402" t="s">
        <v>306</v>
      </c>
      <c r="S836" s="402"/>
      <c r="T836" s="320"/>
      <c r="U836" s="320"/>
    </row>
    <row r="837" spans="1:21" hidden="1">
      <c r="A837" s="31" t="s">
        <v>522</v>
      </c>
      <c r="B837" s="31" t="s">
        <v>367</v>
      </c>
      <c r="C837" s="31" t="s">
        <v>314</v>
      </c>
      <c r="D837" s="14" t="s">
        <v>398</v>
      </c>
      <c r="E837" s="45"/>
      <c r="F837" s="14"/>
      <c r="G837" s="14"/>
      <c r="H837" s="14"/>
      <c r="I837" s="31"/>
      <c r="J837" s="45">
        <v>38111</v>
      </c>
      <c r="K837" s="14"/>
      <c r="L837" s="14"/>
      <c r="M837" s="14">
        <v>755000</v>
      </c>
      <c r="N837" s="14">
        <v>0</v>
      </c>
      <c r="O837" s="14">
        <f t="shared" si="48"/>
        <v>755000</v>
      </c>
      <c r="P837" s="14"/>
      <c r="Q837" s="14"/>
      <c r="R837" s="402" t="s">
        <v>306</v>
      </c>
      <c r="S837" s="402"/>
      <c r="T837" s="320"/>
      <c r="U837" s="320"/>
    </row>
    <row r="838" spans="1:21" hidden="1">
      <c r="A838" s="31" t="s">
        <v>522</v>
      </c>
      <c r="B838" s="31" t="s">
        <v>367</v>
      </c>
      <c r="C838" s="31" t="s">
        <v>314</v>
      </c>
      <c r="D838" s="14" t="s">
        <v>398</v>
      </c>
      <c r="E838" s="45"/>
      <c r="F838" s="14"/>
      <c r="G838" s="14"/>
      <c r="H838" s="14"/>
      <c r="I838" s="31"/>
      <c r="J838" s="45">
        <v>38180</v>
      </c>
      <c r="K838" s="14"/>
      <c r="L838" s="14"/>
      <c r="M838" s="14">
        <v>5285000</v>
      </c>
      <c r="N838" s="14">
        <v>0</v>
      </c>
      <c r="O838" s="14">
        <f t="shared" si="48"/>
        <v>5285000</v>
      </c>
      <c r="P838" s="14"/>
      <c r="Q838" s="14"/>
      <c r="R838" s="402" t="s">
        <v>306</v>
      </c>
      <c r="S838" s="402"/>
      <c r="T838" s="320"/>
      <c r="U838" s="320"/>
    </row>
    <row r="839" spans="1:21" hidden="1">
      <c r="A839" s="31" t="s">
        <v>522</v>
      </c>
      <c r="B839" s="31" t="s">
        <v>367</v>
      </c>
      <c r="C839" s="31" t="s">
        <v>314</v>
      </c>
      <c r="D839" s="14" t="s">
        <v>398</v>
      </c>
      <c r="E839" s="45"/>
      <c r="F839" s="14"/>
      <c r="G839" s="14"/>
      <c r="H839" s="14"/>
      <c r="I839" s="31"/>
      <c r="J839" s="45">
        <v>38202</v>
      </c>
      <c r="K839" s="14"/>
      <c r="L839" s="14"/>
      <c r="M839" s="14">
        <v>755000</v>
      </c>
      <c r="N839" s="14">
        <v>0</v>
      </c>
      <c r="O839" s="14">
        <f t="shared" si="48"/>
        <v>755000</v>
      </c>
      <c r="P839" s="14"/>
      <c r="Q839" s="14"/>
      <c r="R839" s="402" t="s">
        <v>306</v>
      </c>
      <c r="S839" s="402"/>
      <c r="T839" s="320"/>
      <c r="U839" s="320"/>
    </row>
    <row r="840" spans="1:21" hidden="1">
      <c r="A840" s="31" t="s">
        <v>522</v>
      </c>
      <c r="B840" s="31" t="s">
        <v>367</v>
      </c>
      <c r="C840" s="31" t="s">
        <v>314</v>
      </c>
      <c r="D840" s="14" t="s">
        <v>398</v>
      </c>
      <c r="E840" s="45"/>
      <c r="F840" s="14"/>
      <c r="G840" s="14"/>
      <c r="H840" s="14"/>
      <c r="I840" s="31"/>
      <c r="J840" s="45">
        <v>38294</v>
      </c>
      <c r="K840" s="14"/>
      <c r="L840" s="14"/>
      <c r="M840" s="14">
        <v>2265000</v>
      </c>
      <c r="N840" s="14">
        <v>0</v>
      </c>
      <c r="O840" s="14">
        <f t="shared" si="48"/>
        <v>2265000</v>
      </c>
      <c r="P840" s="14"/>
      <c r="Q840" s="14"/>
      <c r="R840" s="402" t="s">
        <v>306</v>
      </c>
      <c r="S840" s="402"/>
      <c r="T840" s="320"/>
      <c r="U840" s="320"/>
    </row>
    <row r="841" spans="1:21" hidden="1">
      <c r="A841" s="31" t="s">
        <v>522</v>
      </c>
      <c r="B841" s="31" t="s">
        <v>367</v>
      </c>
      <c r="C841" s="31" t="s">
        <v>314</v>
      </c>
      <c r="D841" s="14" t="s">
        <v>398</v>
      </c>
      <c r="E841" s="45"/>
      <c r="F841" s="14"/>
      <c r="G841" s="14"/>
      <c r="H841" s="14"/>
      <c r="I841" s="31"/>
      <c r="J841" s="45">
        <v>38331</v>
      </c>
      <c r="K841" s="14"/>
      <c r="L841" s="14"/>
      <c r="M841" s="14">
        <v>755000</v>
      </c>
      <c r="N841" s="14">
        <v>0</v>
      </c>
      <c r="O841" s="14">
        <f t="shared" si="48"/>
        <v>755000</v>
      </c>
      <c r="P841" s="14"/>
      <c r="Q841" s="14"/>
      <c r="R841" s="402" t="s">
        <v>306</v>
      </c>
      <c r="S841" s="402"/>
      <c r="T841" s="320"/>
      <c r="U841" s="320"/>
    </row>
    <row r="842" spans="1:21" hidden="1">
      <c r="A842" s="31" t="s">
        <v>522</v>
      </c>
      <c r="B842" s="31" t="s">
        <v>367</v>
      </c>
      <c r="C842" s="31" t="s">
        <v>314</v>
      </c>
      <c r="D842" s="14" t="s">
        <v>398</v>
      </c>
      <c r="E842" s="45"/>
      <c r="F842" s="14"/>
      <c r="G842" s="14"/>
      <c r="H842" s="14"/>
      <c r="I842" s="31"/>
      <c r="J842" s="45">
        <v>38421</v>
      </c>
      <c r="K842" s="14"/>
      <c r="L842" s="14"/>
      <c r="M842" s="14">
        <v>3000000</v>
      </c>
      <c r="N842" s="14">
        <v>0</v>
      </c>
      <c r="O842" s="14">
        <f t="shared" si="48"/>
        <v>3000000</v>
      </c>
      <c r="P842" s="14"/>
      <c r="Q842" s="14"/>
      <c r="R842" s="402" t="s">
        <v>306</v>
      </c>
      <c r="S842" s="402"/>
      <c r="T842" s="320"/>
      <c r="U842" s="320"/>
    </row>
    <row r="843" spans="1:21" hidden="1">
      <c r="A843" s="31" t="s">
        <v>522</v>
      </c>
      <c r="B843" s="31" t="s">
        <v>367</v>
      </c>
      <c r="C843" s="31" t="s">
        <v>314</v>
      </c>
      <c r="D843" s="14" t="s">
        <v>398</v>
      </c>
      <c r="E843" s="45"/>
      <c r="F843" s="14"/>
      <c r="G843" s="14"/>
      <c r="H843" s="14"/>
      <c r="I843" s="31"/>
      <c r="J843" s="45">
        <v>38512</v>
      </c>
      <c r="K843" s="14"/>
      <c r="L843" s="14"/>
      <c r="M843" s="14">
        <v>364281</v>
      </c>
      <c r="N843" s="14">
        <v>0</v>
      </c>
      <c r="O843" s="14">
        <f t="shared" si="48"/>
        <v>364281</v>
      </c>
      <c r="P843" s="14"/>
      <c r="Q843" s="14"/>
      <c r="R843" s="402" t="s">
        <v>306</v>
      </c>
      <c r="S843" s="402"/>
      <c r="T843" s="320"/>
      <c r="U843" s="320"/>
    </row>
    <row r="844" spans="1:21" hidden="1">
      <c r="A844" s="31" t="s">
        <v>522</v>
      </c>
      <c r="B844" s="31" t="s">
        <v>367</v>
      </c>
      <c r="C844" s="31" t="s">
        <v>314</v>
      </c>
      <c r="D844" s="14" t="s">
        <v>398</v>
      </c>
      <c r="E844" s="45"/>
      <c r="F844" s="14"/>
      <c r="G844" s="14"/>
      <c r="H844" s="14"/>
      <c r="I844" s="31"/>
      <c r="J844" s="45">
        <v>38527</v>
      </c>
      <c r="K844" s="14"/>
      <c r="L844" s="14"/>
      <c r="M844" s="14">
        <v>690573</v>
      </c>
      <c r="N844" s="14">
        <v>0</v>
      </c>
      <c r="O844" s="14">
        <f t="shared" si="48"/>
        <v>690573</v>
      </c>
      <c r="P844" s="14"/>
      <c r="Q844" s="14"/>
      <c r="R844" s="402" t="s">
        <v>306</v>
      </c>
      <c r="S844" s="402"/>
      <c r="T844" s="320"/>
      <c r="U844" s="320"/>
    </row>
    <row r="845" spans="1:21" hidden="1">
      <c r="A845" s="31" t="s">
        <v>522</v>
      </c>
      <c r="B845" s="31" t="s">
        <v>367</v>
      </c>
      <c r="C845" s="36" t="s">
        <v>314</v>
      </c>
      <c r="D845" s="11" t="s">
        <v>398</v>
      </c>
      <c r="E845" s="46"/>
      <c r="F845" s="11"/>
      <c r="G845" s="11"/>
      <c r="H845" s="11"/>
      <c r="I845" s="36"/>
      <c r="J845" s="46">
        <v>39444</v>
      </c>
      <c r="K845" s="11"/>
      <c r="L845" s="11"/>
      <c r="M845" s="11">
        <v>35683206</v>
      </c>
      <c r="N845" s="11">
        <v>0</v>
      </c>
      <c r="O845" s="11">
        <f t="shared" si="48"/>
        <v>35683206</v>
      </c>
      <c r="P845" s="11">
        <f>+SUM(H831:H845)-SUM(N831:N845)</f>
        <v>0</v>
      </c>
      <c r="Q845" s="11"/>
      <c r="R845" s="403" t="s">
        <v>353</v>
      </c>
      <c r="S845" s="403"/>
      <c r="T845" s="321"/>
      <c r="U845" s="321"/>
    </row>
    <row r="846" spans="1:21" hidden="1">
      <c r="A846" s="31" t="s">
        <v>522</v>
      </c>
      <c r="B846" s="31" t="s">
        <v>367</v>
      </c>
      <c r="C846" s="25" t="s">
        <v>314</v>
      </c>
      <c r="D846" s="20" t="s">
        <v>804</v>
      </c>
      <c r="E846" s="44">
        <v>37700</v>
      </c>
      <c r="F846" s="20"/>
      <c r="G846" s="20"/>
      <c r="H846" s="20">
        <v>200000000</v>
      </c>
      <c r="I846" s="25" t="s">
        <v>375</v>
      </c>
      <c r="J846" s="44">
        <v>38117</v>
      </c>
      <c r="K846" s="20"/>
      <c r="L846" s="20"/>
      <c r="M846" s="20">
        <v>234748000</v>
      </c>
      <c r="N846" s="20">
        <v>200000000</v>
      </c>
      <c r="O846" s="20">
        <f t="shared" si="48"/>
        <v>34748000</v>
      </c>
      <c r="P846" s="20"/>
      <c r="Q846" s="20"/>
      <c r="R846" s="401" t="s">
        <v>306</v>
      </c>
      <c r="S846" s="401"/>
      <c r="T846" s="319"/>
      <c r="U846" s="319"/>
    </row>
    <row r="847" spans="1:21" hidden="1">
      <c r="A847" s="31" t="s">
        <v>522</v>
      </c>
      <c r="B847" s="31" t="s">
        <v>367</v>
      </c>
      <c r="C847" s="31" t="s">
        <v>314</v>
      </c>
      <c r="D847" s="14" t="s">
        <v>399</v>
      </c>
      <c r="E847" s="45"/>
      <c r="F847" s="14"/>
      <c r="G847" s="14"/>
      <c r="H847" s="14"/>
      <c r="I847" s="31"/>
      <c r="J847" s="45">
        <v>38153</v>
      </c>
      <c r="K847" s="14"/>
      <c r="L847" s="14"/>
      <c r="M847" s="14">
        <v>56957380</v>
      </c>
      <c r="N847" s="14">
        <v>0</v>
      </c>
      <c r="O847" s="14">
        <f t="shared" si="48"/>
        <v>56957380</v>
      </c>
      <c r="P847" s="14"/>
      <c r="Q847" s="14"/>
      <c r="R847" s="402" t="s">
        <v>306</v>
      </c>
      <c r="S847" s="402"/>
      <c r="T847" s="320"/>
      <c r="U847" s="320"/>
    </row>
    <row r="848" spans="1:21" hidden="1">
      <c r="A848" s="31" t="s">
        <v>522</v>
      </c>
      <c r="B848" s="31" t="s">
        <v>367</v>
      </c>
      <c r="C848" s="31" t="s">
        <v>314</v>
      </c>
      <c r="D848" s="14" t="s">
        <v>399</v>
      </c>
      <c r="E848" s="45"/>
      <c r="F848" s="14"/>
      <c r="G848" s="14"/>
      <c r="H848" s="14"/>
      <c r="I848" s="31"/>
      <c r="J848" s="45">
        <v>38166</v>
      </c>
      <c r="K848" s="14"/>
      <c r="L848" s="14"/>
      <c r="M848" s="14">
        <v>28902960</v>
      </c>
      <c r="N848" s="14">
        <v>0</v>
      </c>
      <c r="O848" s="14">
        <f t="shared" si="48"/>
        <v>28902960</v>
      </c>
      <c r="P848" s="14"/>
      <c r="Q848" s="14"/>
      <c r="R848" s="402" t="s">
        <v>306</v>
      </c>
      <c r="S848" s="402"/>
      <c r="T848" s="320"/>
      <c r="U848" s="320"/>
    </row>
    <row r="849" spans="1:21" hidden="1">
      <c r="A849" s="31" t="s">
        <v>522</v>
      </c>
      <c r="B849" s="31" t="s">
        <v>367</v>
      </c>
      <c r="C849" s="31" t="s">
        <v>314</v>
      </c>
      <c r="D849" s="14" t="s">
        <v>399</v>
      </c>
      <c r="E849" s="45"/>
      <c r="F849" s="14"/>
      <c r="G849" s="14"/>
      <c r="H849" s="14"/>
      <c r="I849" s="31"/>
      <c r="J849" s="45">
        <v>38190</v>
      </c>
      <c r="K849" s="14"/>
      <c r="L849" s="14"/>
      <c r="M849" s="14">
        <v>19056027</v>
      </c>
      <c r="N849" s="14">
        <v>0</v>
      </c>
      <c r="O849" s="14">
        <f t="shared" si="48"/>
        <v>19056027</v>
      </c>
      <c r="P849" s="14"/>
      <c r="Q849" s="14"/>
      <c r="R849" s="402" t="s">
        <v>306</v>
      </c>
      <c r="S849" s="402"/>
      <c r="T849" s="320"/>
      <c r="U849" s="320"/>
    </row>
    <row r="850" spans="1:21" hidden="1">
      <c r="A850" s="31" t="s">
        <v>522</v>
      </c>
      <c r="B850" s="31" t="s">
        <v>367</v>
      </c>
      <c r="C850" s="31" t="s">
        <v>314</v>
      </c>
      <c r="D850" s="14" t="s">
        <v>399</v>
      </c>
      <c r="E850" s="45"/>
      <c r="F850" s="14"/>
      <c r="G850" s="14"/>
      <c r="H850" s="14"/>
      <c r="I850" s="31"/>
      <c r="J850" s="45">
        <v>38216</v>
      </c>
      <c r="K850" s="14"/>
      <c r="L850" s="14"/>
      <c r="M850" s="14">
        <v>14565760</v>
      </c>
      <c r="N850" s="14">
        <v>0</v>
      </c>
      <c r="O850" s="14">
        <f t="shared" si="48"/>
        <v>14565760</v>
      </c>
      <c r="P850" s="14"/>
      <c r="Q850" s="14"/>
      <c r="R850" s="402" t="s">
        <v>306</v>
      </c>
      <c r="S850" s="402"/>
      <c r="T850" s="320"/>
      <c r="U850" s="320"/>
    </row>
    <row r="851" spans="1:21" hidden="1">
      <c r="A851" s="31" t="s">
        <v>522</v>
      </c>
      <c r="B851" s="31" t="s">
        <v>367</v>
      </c>
      <c r="C851" s="31" t="s">
        <v>314</v>
      </c>
      <c r="D851" s="14" t="s">
        <v>399</v>
      </c>
      <c r="E851" s="45"/>
      <c r="F851" s="14"/>
      <c r="G851" s="14"/>
      <c r="H851" s="14"/>
      <c r="I851" s="31"/>
      <c r="J851" s="45">
        <v>38246</v>
      </c>
      <c r="K851" s="14"/>
      <c r="L851" s="14"/>
      <c r="M851" s="14">
        <v>12314660</v>
      </c>
      <c r="N851" s="14">
        <v>0</v>
      </c>
      <c r="O851" s="14">
        <f t="shared" si="48"/>
        <v>12314660</v>
      </c>
      <c r="P851" s="14"/>
      <c r="Q851" s="14"/>
      <c r="R851" s="402" t="s">
        <v>306</v>
      </c>
      <c r="S851" s="402"/>
      <c r="T851" s="320"/>
      <c r="U851" s="320"/>
    </row>
    <row r="852" spans="1:21" hidden="1">
      <c r="A852" s="31" t="s">
        <v>522</v>
      </c>
      <c r="B852" s="31" t="s">
        <v>367</v>
      </c>
      <c r="C852" s="31" t="s">
        <v>314</v>
      </c>
      <c r="D852" s="14" t="s">
        <v>399</v>
      </c>
      <c r="E852" s="45"/>
      <c r="F852" s="14"/>
      <c r="G852" s="14"/>
      <c r="H852" s="14"/>
      <c r="I852" s="31"/>
      <c r="J852" s="45">
        <v>38278</v>
      </c>
      <c r="K852" s="14"/>
      <c r="L852" s="14"/>
      <c r="M852" s="14">
        <v>7161830</v>
      </c>
      <c r="N852" s="14">
        <v>0</v>
      </c>
      <c r="O852" s="14">
        <f t="shared" si="48"/>
        <v>7161830</v>
      </c>
      <c r="P852" s="14"/>
      <c r="Q852" s="14"/>
      <c r="R852" s="402" t="s">
        <v>306</v>
      </c>
      <c r="S852" s="402"/>
      <c r="T852" s="320"/>
      <c r="U852" s="320"/>
    </row>
    <row r="853" spans="1:21" hidden="1">
      <c r="A853" s="31" t="s">
        <v>522</v>
      </c>
      <c r="B853" s="31" t="s">
        <v>367</v>
      </c>
      <c r="C853" s="31" t="s">
        <v>314</v>
      </c>
      <c r="D853" s="14" t="s">
        <v>399</v>
      </c>
      <c r="E853" s="45"/>
      <c r="F853" s="14"/>
      <c r="G853" s="14"/>
      <c r="H853" s="14"/>
      <c r="I853" s="31"/>
      <c r="J853" s="45">
        <v>38309</v>
      </c>
      <c r="K853" s="14"/>
      <c r="L853" s="14"/>
      <c r="M853" s="14">
        <v>6667420</v>
      </c>
      <c r="N853" s="14">
        <v>0</v>
      </c>
      <c r="O853" s="14">
        <f t="shared" si="48"/>
        <v>6667420</v>
      </c>
      <c r="P853" s="14"/>
      <c r="Q853" s="14"/>
      <c r="R853" s="402" t="s">
        <v>306</v>
      </c>
      <c r="S853" s="402"/>
      <c r="T853" s="320"/>
      <c r="U853" s="320"/>
    </row>
    <row r="854" spans="1:21" hidden="1">
      <c r="A854" s="31" t="s">
        <v>522</v>
      </c>
      <c r="B854" s="31" t="s">
        <v>367</v>
      </c>
      <c r="C854" s="31" t="s">
        <v>314</v>
      </c>
      <c r="D854" s="14" t="s">
        <v>399</v>
      </c>
      <c r="E854" s="45"/>
      <c r="F854" s="14"/>
      <c r="G854" s="14"/>
      <c r="H854" s="14"/>
      <c r="I854" s="31"/>
      <c r="J854" s="45">
        <v>38344</v>
      </c>
      <c r="K854" s="14"/>
      <c r="L854" s="14"/>
      <c r="M854" s="14">
        <v>5517670</v>
      </c>
      <c r="N854" s="14">
        <v>0</v>
      </c>
      <c r="O854" s="14">
        <f t="shared" si="48"/>
        <v>5517670</v>
      </c>
      <c r="P854" s="14"/>
      <c r="Q854" s="14"/>
      <c r="R854" s="402" t="s">
        <v>306</v>
      </c>
      <c r="S854" s="402"/>
      <c r="T854" s="320"/>
      <c r="U854" s="320"/>
    </row>
    <row r="855" spans="1:21" hidden="1">
      <c r="A855" s="31" t="s">
        <v>522</v>
      </c>
      <c r="B855" s="31" t="s">
        <v>367</v>
      </c>
      <c r="C855" s="31" t="s">
        <v>314</v>
      </c>
      <c r="D855" s="14" t="s">
        <v>399</v>
      </c>
      <c r="E855" s="45"/>
      <c r="F855" s="14"/>
      <c r="G855" s="14"/>
      <c r="H855" s="14"/>
      <c r="I855" s="31"/>
      <c r="J855" s="45">
        <v>38384</v>
      </c>
      <c r="K855" s="14"/>
      <c r="L855" s="14"/>
      <c r="M855" s="14">
        <v>5162534</v>
      </c>
      <c r="N855" s="14">
        <v>0</v>
      </c>
      <c r="O855" s="14">
        <f t="shared" si="48"/>
        <v>5162534</v>
      </c>
      <c r="P855" s="14"/>
      <c r="Q855" s="14"/>
      <c r="R855" s="402" t="s">
        <v>306</v>
      </c>
      <c r="S855" s="402"/>
      <c r="T855" s="320"/>
      <c r="U855" s="320"/>
    </row>
    <row r="856" spans="1:21" hidden="1">
      <c r="A856" s="31" t="s">
        <v>522</v>
      </c>
      <c r="B856" s="31" t="s">
        <v>367</v>
      </c>
      <c r="C856" s="31" t="s">
        <v>314</v>
      </c>
      <c r="D856" s="14" t="s">
        <v>399</v>
      </c>
      <c r="E856" s="45"/>
      <c r="F856" s="14"/>
      <c r="G856" s="14"/>
      <c r="H856" s="14"/>
      <c r="I856" s="31"/>
      <c r="J856" s="45">
        <v>38540</v>
      </c>
      <c r="K856" s="14"/>
      <c r="L856" s="14"/>
      <c r="M856" s="14">
        <v>4669460</v>
      </c>
      <c r="N856" s="14">
        <v>0</v>
      </c>
      <c r="O856" s="14">
        <f t="shared" si="48"/>
        <v>4669460</v>
      </c>
      <c r="P856" s="14"/>
      <c r="Q856" s="14"/>
      <c r="R856" s="402" t="s">
        <v>306</v>
      </c>
      <c r="S856" s="402"/>
      <c r="T856" s="320"/>
      <c r="U856" s="320"/>
    </row>
    <row r="857" spans="1:21" hidden="1">
      <c r="A857" s="31" t="s">
        <v>522</v>
      </c>
      <c r="B857" s="31" t="s">
        <v>367</v>
      </c>
      <c r="C857" s="31" t="s">
        <v>314</v>
      </c>
      <c r="D857" s="14" t="s">
        <v>399</v>
      </c>
      <c r="E857" s="45"/>
      <c r="F857" s="14"/>
      <c r="G857" s="14"/>
      <c r="H857" s="14"/>
      <c r="I857" s="31"/>
      <c r="J857" s="45">
        <v>38548</v>
      </c>
      <c r="K857" s="14"/>
      <c r="L857" s="14"/>
      <c r="M857" s="14">
        <v>3966722</v>
      </c>
      <c r="N857" s="14">
        <v>0</v>
      </c>
      <c r="O857" s="14">
        <f t="shared" si="48"/>
        <v>3966722</v>
      </c>
      <c r="P857" s="14"/>
      <c r="Q857" s="14"/>
      <c r="R857" s="402" t="s">
        <v>306</v>
      </c>
      <c r="S857" s="402"/>
      <c r="T857" s="320"/>
      <c r="U857" s="320"/>
    </row>
    <row r="858" spans="1:21" hidden="1">
      <c r="A858" s="31" t="s">
        <v>522</v>
      </c>
      <c r="B858" s="31" t="s">
        <v>367</v>
      </c>
      <c r="C858" s="36" t="s">
        <v>314</v>
      </c>
      <c r="D858" s="11" t="s">
        <v>399</v>
      </c>
      <c r="E858" s="46"/>
      <c r="F858" s="11"/>
      <c r="G858" s="11"/>
      <c r="H858" s="11"/>
      <c r="I858" s="36"/>
      <c r="J858" s="46">
        <v>39475</v>
      </c>
      <c r="K858" s="11"/>
      <c r="L858" s="11"/>
      <c r="M858" s="11">
        <v>77000</v>
      </c>
      <c r="N858" s="11">
        <v>0</v>
      </c>
      <c r="O858" s="11">
        <f t="shared" si="48"/>
        <v>77000</v>
      </c>
      <c r="P858" s="11">
        <f>+SUM(H846:H858)-SUM(N846:N858)</f>
        <v>0</v>
      </c>
      <c r="Q858" s="11"/>
      <c r="R858" s="403" t="s">
        <v>379</v>
      </c>
      <c r="S858" s="403"/>
      <c r="T858" s="321"/>
      <c r="U858" s="321"/>
    </row>
    <row r="859" spans="1:21" hidden="1">
      <c r="A859" s="31" t="s">
        <v>522</v>
      </c>
      <c r="B859" s="31" t="s">
        <v>367</v>
      </c>
      <c r="C859" s="25" t="s">
        <v>314</v>
      </c>
      <c r="D859" s="20" t="s">
        <v>400</v>
      </c>
      <c r="E859" s="44">
        <v>37757</v>
      </c>
      <c r="F859" s="20"/>
      <c r="G859" s="20"/>
      <c r="H859" s="20">
        <v>500000000</v>
      </c>
      <c r="I859" s="25" t="s">
        <v>375</v>
      </c>
      <c r="J859" s="44">
        <v>38895</v>
      </c>
      <c r="K859" s="20"/>
      <c r="L859" s="20"/>
      <c r="M859" s="20">
        <v>50000000</v>
      </c>
      <c r="N859" s="20">
        <v>50000000</v>
      </c>
      <c r="O859" s="20">
        <f t="shared" si="48"/>
        <v>0</v>
      </c>
      <c r="P859" s="20"/>
      <c r="Q859" s="20"/>
      <c r="R859" s="401" t="s">
        <v>306</v>
      </c>
      <c r="S859" s="401"/>
      <c r="T859" s="319"/>
      <c r="U859" s="319"/>
    </row>
    <row r="860" spans="1:21" hidden="1">
      <c r="A860" s="31" t="s">
        <v>522</v>
      </c>
      <c r="B860" s="31" t="s">
        <v>367</v>
      </c>
      <c r="C860" s="31" t="s">
        <v>314</v>
      </c>
      <c r="D860" s="14" t="s">
        <v>400</v>
      </c>
      <c r="E860" s="45"/>
      <c r="F860" s="14"/>
      <c r="G860" s="14"/>
      <c r="H860" s="14"/>
      <c r="I860" s="31"/>
      <c r="J860" s="45">
        <v>39311</v>
      </c>
      <c r="K860" s="14"/>
      <c r="L860" s="14"/>
      <c r="M860" s="14">
        <v>60000000</v>
      </c>
      <c r="N860" s="14">
        <v>60000000</v>
      </c>
      <c r="O860" s="14">
        <f t="shared" si="48"/>
        <v>0</v>
      </c>
      <c r="P860" s="14"/>
      <c r="Q860" s="14"/>
      <c r="R860" s="402" t="s">
        <v>306</v>
      </c>
      <c r="S860" s="402"/>
      <c r="T860" s="320"/>
      <c r="U860" s="320"/>
    </row>
    <row r="861" spans="1:21" hidden="1">
      <c r="A861" s="31" t="s">
        <v>522</v>
      </c>
      <c r="B861" s="31" t="s">
        <v>367</v>
      </c>
      <c r="C861" s="31" t="s">
        <v>314</v>
      </c>
      <c r="D861" s="14" t="s">
        <v>400</v>
      </c>
      <c r="E861" s="45"/>
      <c r="F861" s="14"/>
      <c r="G861" s="14"/>
      <c r="H861" s="14"/>
      <c r="I861" s="31"/>
      <c r="J861" s="45">
        <v>39329</v>
      </c>
      <c r="K861" s="14"/>
      <c r="L861" s="14"/>
      <c r="M861" s="14">
        <v>40000000</v>
      </c>
      <c r="N861" s="14">
        <v>40000000</v>
      </c>
      <c r="O861" s="14">
        <f t="shared" si="48"/>
        <v>0</v>
      </c>
      <c r="P861" s="14"/>
      <c r="Q861" s="14"/>
      <c r="R861" s="402" t="s">
        <v>306</v>
      </c>
      <c r="S861" s="402"/>
      <c r="T861" s="320"/>
      <c r="U861" s="320"/>
    </row>
    <row r="862" spans="1:21" hidden="1">
      <c r="A862" s="31" t="s">
        <v>522</v>
      </c>
      <c r="B862" s="31" t="s">
        <v>367</v>
      </c>
      <c r="C862" s="31" t="s">
        <v>314</v>
      </c>
      <c r="D862" s="14" t="s">
        <v>400</v>
      </c>
      <c r="E862" s="45"/>
      <c r="F862" s="14"/>
      <c r="G862" s="14"/>
      <c r="H862" s="14"/>
      <c r="I862" s="31"/>
      <c r="J862" s="45">
        <v>39336</v>
      </c>
      <c r="K862" s="14"/>
      <c r="L862" s="14"/>
      <c r="M862" s="14">
        <v>30000000</v>
      </c>
      <c r="N862" s="14">
        <v>30000000</v>
      </c>
      <c r="O862" s="14">
        <f t="shared" si="48"/>
        <v>0</v>
      </c>
      <c r="P862" s="14"/>
      <c r="Q862" s="14"/>
      <c r="R862" s="402" t="s">
        <v>306</v>
      </c>
      <c r="S862" s="402"/>
      <c r="T862" s="320"/>
      <c r="U862" s="320"/>
    </row>
    <row r="863" spans="1:21" hidden="1">
      <c r="A863" s="31" t="s">
        <v>522</v>
      </c>
      <c r="B863" s="31" t="s">
        <v>367</v>
      </c>
      <c r="C863" s="31" t="s">
        <v>314</v>
      </c>
      <c r="D863" s="14" t="s">
        <v>400</v>
      </c>
      <c r="E863" s="45"/>
      <c r="F863" s="14"/>
      <c r="G863" s="14"/>
      <c r="H863" s="14"/>
      <c r="I863" s="31"/>
      <c r="J863" s="45">
        <v>39444</v>
      </c>
      <c r="K863" s="14"/>
      <c r="L863" s="14"/>
      <c r="M863" s="14">
        <v>0</v>
      </c>
      <c r="N863" s="14">
        <v>320000000</v>
      </c>
      <c r="O863" s="14">
        <f t="shared" si="48"/>
        <v>-320000000</v>
      </c>
      <c r="P863" s="14"/>
      <c r="Q863" s="14"/>
      <c r="R863" s="402" t="s">
        <v>376</v>
      </c>
      <c r="S863" s="402"/>
      <c r="T863" s="320"/>
      <c r="U863" s="320"/>
    </row>
    <row r="864" spans="1:21" hidden="1">
      <c r="A864" s="31" t="s">
        <v>522</v>
      </c>
      <c r="B864" s="31" t="s">
        <v>367</v>
      </c>
      <c r="C864" s="31" t="s">
        <v>314</v>
      </c>
      <c r="D864" s="14" t="s">
        <v>400</v>
      </c>
      <c r="E864" s="45"/>
      <c r="F864" s="14"/>
      <c r="G864" s="14"/>
      <c r="H864" s="14"/>
      <c r="I864" s="31"/>
      <c r="J864" s="45">
        <v>39450</v>
      </c>
      <c r="K864" s="14"/>
      <c r="L864" s="14"/>
      <c r="M864" s="14">
        <v>45000000</v>
      </c>
      <c r="N864" s="14">
        <v>0</v>
      </c>
      <c r="O864" s="14">
        <f t="shared" si="48"/>
        <v>45000000</v>
      </c>
      <c r="P864" s="14"/>
      <c r="Q864" s="14"/>
      <c r="R864" s="402" t="s">
        <v>306</v>
      </c>
      <c r="S864" s="402"/>
      <c r="T864" s="320"/>
      <c r="U864" s="320"/>
    </row>
    <row r="865" spans="1:21" hidden="1">
      <c r="A865" s="31" t="s">
        <v>522</v>
      </c>
      <c r="B865" s="31" t="s">
        <v>367</v>
      </c>
      <c r="C865" s="31" t="s">
        <v>314</v>
      </c>
      <c r="D865" s="14" t="s">
        <v>400</v>
      </c>
      <c r="E865" s="45"/>
      <c r="F865" s="14"/>
      <c r="G865" s="14"/>
      <c r="H865" s="14"/>
      <c r="I865" s="31"/>
      <c r="J865" s="45">
        <v>39455</v>
      </c>
      <c r="K865" s="14"/>
      <c r="L865" s="14"/>
      <c r="M865" s="14">
        <v>30000000</v>
      </c>
      <c r="N865" s="14">
        <v>0</v>
      </c>
      <c r="O865" s="14">
        <f t="shared" si="48"/>
        <v>30000000</v>
      </c>
      <c r="P865" s="14"/>
      <c r="Q865" s="14"/>
      <c r="R865" s="402" t="s">
        <v>306</v>
      </c>
      <c r="S865" s="402"/>
      <c r="T865" s="320"/>
      <c r="U865" s="320"/>
    </row>
    <row r="866" spans="1:21" hidden="1">
      <c r="A866" s="31" t="s">
        <v>522</v>
      </c>
      <c r="B866" s="31" t="s">
        <v>367</v>
      </c>
      <c r="C866" s="31" t="s">
        <v>314</v>
      </c>
      <c r="D866" s="14" t="s">
        <v>400</v>
      </c>
      <c r="E866" s="45"/>
      <c r="F866" s="14"/>
      <c r="G866" s="14"/>
      <c r="H866" s="14"/>
      <c r="I866" s="31"/>
      <c r="J866" s="45">
        <v>39472</v>
      </c>
      <c r="K866" s="14"/>
      <c r="L866" s="14"/>
      <c r="M866" s="14">
        <v>25000000</v>
      </c>
      <c r="N866" s="14">
        <v>0</v>
      </c>
      <c r="O866" s="14">
        <f t="shared" si="48"/>
        <v>25000000</v>
      </c>
      <c r="P866" s="14"/>
      <c r="Q866" s="14"/>
      <c r="R866" s="402" t="s">
        <v>306</v>
      </c>
      <c r="S866" s="402"/>
      <c r="T866" s="320"/>
      <c r="U866" s="320"/>
    </row>
    <row r="867" spans="1:21" hidden="1">
      <c r="A867" s="31" t="s">
        <v>522</v>
      </c>
      <c r="B867" s="31" t="s">
        <v>367</v>
      </c>
      <c r="C867" s="36" t="s">
        <v>314</v>
      </c>
      <c r="D867" s="11" t="s">
        <v>400</v>
      </c>
      <c r="E867" s="46"/>
      <c r="F867" s="11"/>
      <c r="G867" s="11"/>
      <c r="H867" s="11"/>
      <c r="I867" s="36"/>
      <c r="J867" s="46">
        <v>39475</v>
      </c>
      <c r="K867" s="11"/>
      <c r="L867" s="11"/>
      <c r="M867" s="11">
        <v>10000</v>
      </c>
      <c r="N867" s="11">
        <v>0</v>
      </c>
      <c r="O867" s="11">
        <f t="shared" si="48"/>
        <v>10000</v>
      </c>
      <c r="P867" s="11">
        <f>+SUM(H859:H867)-SUM(N859:N867)</f>
        <v>0</v>
      </c>
      <c r="Q867" s="11"/>
      <c r="R867" s="403" t="s">
        <v>379</v>
      </c>
      <c r="S867" s="403"/>
      <c r="T867" s="321"/>
      <c r="U867" s="321"/>
    </row>
    <row r="868" spans="1:21" hidden="1">
      <c r="A868" s="31" t="s">
        <v>522</v>
      </c>
      <c r="B868" s="31" t="s">
        <v>367</v>
      </c>
      <c r="C868" s="25" t="s">
        <v>314</v>
      </c>
      <c r="D868" s="20" t="s">
        <v>401</v>
      </c>
      <c r="E868" s="44">
        <v>37803</v>
      </c>
      <c r="F868" s="20"/>
      <c r="G868" s="20"/>
      <c r="H868" s="20">
        <v>1147500000</v>
      </c>
      <c r="I868" s="25" t="s">
        <v>375</v>
      </c>
      <c r="J868" s="44">
        <v>38401</v>
      </c>
      <c r="K868" s="20"/>
      <c r="L868" s="20"/>
      <c r="M868" s="20">
        <v>7800596</v>
      </c>
      <c r="N868" s="20">
        <v>7800596</v>
      </c>
      <c r="O868" s="20">
        <f t="shared" si="48"/>
        <v>0</v>
      </c>
      <c r="P868" s="20"/>
      <c r="Q868" s="20"/>
      <c r="R868" s="401" t="s">
        <v>306</v>
      </c>
      <c r="S868" s="401"/>
      <c r="T868" s="319"/>
      <c r="U868" s="319"/>
    </row>
    <row r="869" spans="1:21" hidden="1">
      <c r="A869" s="31" t="s">
        <v>522</v>
      </c>
      <c r="B869" s="31" t="s">
        <v>367</v>
      </c>
      <c r="C869" s="31" t="s">
        <v>314</v>
      </c>
      <c r="D869" s="14" t="s">
        <v>401</v>
      </c>
      <c r="E869" s="45">
        <v>37896</v>
      </c>
      <c r="F869" s="14"/>
      <c r="G869" s="14"/>
      <c r="H869" s="14">
        <v>420750000</v>
      </c>
      <c r="I869" s="31" t="s">
        <v>375</v>
      </c>
      <c r="J869" s="45">
        <v>38548</v>
      </c>
      <c r="K869" s="14"/>
      <c r="L869" s="14"/>
      <c r="M869" s="14">
        <v>36341225</v>
      </c>
      <c r="N869" s="14">
        <v>36341225</v>
      </c>
      <c r="O869" s="14">
        <f t="shared" si="48"/>
        <v>0</v>
      </c>
      <c r="P869" s="14"/>
      <c r="Q869" s="14"/>
      <c r="R869" s="402" t="s">
        <v>306</v>
      </c>
      <c r="S869" s="402"/>
      <c r="T869" s="320"/>
      <c r="U869" s="320"/>
    </row>
    <row r="870" spans="1:21" hidden="1">
      <c r="A870" s="31" t="s">
        <v>522</v>
      </c>
      <c r="B870" s="31" t="s">
        <v>367</v>
      </c>
      <c r="C870" s="31" t="s">
        <v>314</v>
      </c>
      <c r="D870" s="14" t="s">
        <v>401</v>
      </c>
      <c r="E870" s="45">
        <v>37991</v>
      </c>
      <c r="F870" s="14"/>
      <c r="G870" s="14"/>
      <c r="H870" s="14">
        <v>420750000</v>
      </c>
      <c r="I870" s="31" t="s">
        <v>375</v>
      </c>
      <c r="J870" s="45">
        <v>38799</v>
      </c>
      <c r="K870" s="14"/>
      <c r="L870" s="14"/>
      <c r="M870" s="14">
        <v>185883311</v>
      </c>
      <c r="N870" s="14">
        <v>185883311</v>
      </c>
      <c r="O870" s="14">
        <f t="shared" si="48"/>
        <v>0</v>
      </c>
      <c r="P870" s="14"/>
      <c r="Q870" s="14"/>
      <c r="R870" s="402" t="s">
        <v>306</v>
      </c>
      <c r="S870" s="402"/>
      <c r="T870" s="320"/>
      <c r="U870" s="320"/>
    </row>
    <row r="871" spans="1:21" hidden="1">
      <c r="A871" s="31" t="s">
        <v>522</v>
      </c>
      <c r="B871" s="31" t="s">
        <v>367</v>
      </c>
      <c r="C871" s="31" t="s">
        <v>314</v>
      </c>
      <c r="D871" s="14" t="s">
        <v>401</v>
      </c>
      <c r="E871" s="45"/>
      <c r="F871" s="14"/>
      <c r="G871" s="14"/>
      <c r="H871" s="14"/>
      <c r="I871" s="31"/>
      <c r="J871" s="45">
        <v>39066</v>
      </c>
      <c r="K871" s="14"/>
      <c r="L871" s="14"/>
      <c r="M871" s="14">
        <v>0</v>
      </c>
      <c r="N871" s="14">
        <v>908974868</v>
      </c>
      <c r="O871" s="14">
        <f t="shared" si="48"/>
        <v>-908974868</v>
      </c>
      <c r="P871" s="14"/>
      <c r="Q871" s="14"/>
      <c r="R871" s="402" t="s">
        <v>376</v>
      </c>
      <c r="S871" s="402"/>
      <c r="T871" s="320"/>
      <c r="U871" s="320"/>
    </row>
    <row r="872" spans="1:21" hidden="1">
      <c r="A872" s="31" t="s">
        <v>522</v>
      </c>
      <c r="B872" s="31" t="s">
        <v>367</v>
      </c>
      <c r="C872" s="31" t="s">
        <v>314</v>
      </c>
      <c r="D872" s="14" t="s">
        <v>401</v>
      </c>
      <c r="E872" s="45"/>
      <c r="F872" s="14"/>
      <c r="G872" s="14"/>
      <c r="H872" s="14"/>
      <c r="I872" s="31"/>
      <c r="J872" s="45">
        <v>39149</v>
      </c>
      <c r="K872" s="14"/>
      <c r="L872" s="14"/>
      <c r="M872" s="14">
        <v>37248182</v>
      </c>
      <c r="N872" s="14">
        <v>37248182</v>
      </c>
      <c r="O872" s="14">
        <f t="shared" si="48"/>
        <v>0</v>
      </c>
      <c r="P872" s="14"/>
      <c r="Q872" s="14"/>
      <c r="R872" s="31" t="s">
        <v>306</v>
      </c>
      <c r="S872" s="402"/>
      <c r="T872" s="320"/>
      <c r="U872" s="320"/>
    </row>
    <row r="873" spans="1:21" hidden="1">
      <c r="A873" s="240" t="s">
        <v>522</v>
      </c>
      <c r="B873" s="240" t="s">
        <v>367</v>
      </c>
      <c r="C873" s="240" t="s">
        <v>314</v>
      </c>
      <c r="D873" s="14" t="s">
        <v>401</v>
      </c>
      <c r="E873" s="45"/>
      <c r="F873" s="14"/>
      <c r="G873" s="14"/>
      <c r="H873" s="14"/>
      <c r="I873" s="240"/>
      <c r="J873" s="45">
        <v>39356</v>
      </c>
      <c r="K873" s="14"/>
      <c r="L873" s="14"/>
      <c r="M873" s="14">
        <v>350000000</v>
      </c>
      <c r="N873" s="14">
        <v>350000000</v>
      </c>
      <c r="O873" s="14">
        <f t="shared" si="48"/>
        <v>0</v>
      </c>
      <c r="P873" s="14"/>
      <c r="Q873" s="14"/>
      <c r="R873" s="240"/>
      <c r="S873" s="402"/>
      <c r="T873" s="320"/>
      <c r="U873" s="320"/>
    </row>
    <row r="874" spans="1:21" hidden="1">
      <c r="A874" s="31" t="s">
        <v>522</v>
      </c>
      <c r="B874" s="31" t="s">
        <v>367</v>
      </c>
      <c r="C874" s="31" t="s">
        <v>314</v>
      </c>
      <c r="D874" s="14" t="s">
        <v>401</v>
      </c>
      <c r="E874" s="45"/>
      <c r="F874" s="14"/>
      <c r="G874" s="14"/>
      <c r="H874" s="14"/>
      <c r="I874" s="31"/>
      <c r="J874" s="45">
        <v>39447</v>
      </c>
      <c r="K874" s="14"/>
      <c r="L874" s="14"/>
      <c r="M874" s="14">
        <v>0</v>
      </c>
      <c r="N874" s="14">
        <v>462751818</v>
      </c>
      <c r="O874" s="14">
        <f t="shared" si="48"/>
        <v>-462751818</v>
      </c>
      <c r="P874" s="14"/>
      <c r="Q874" s="14"/>
      <c r="R874" s="31" t="s">
        <v>376</v>
      </c>
      <c r="S874" s="402"/>
      <c r="T874" s="320"/>
      <c r="U874" s="320"/>
    </row>
    <row r="875" spans="1:21" hidden="1">
      <c r="A875" s="31" t="s">
        <v>522</v>
      </c>
      <c r="B875" s="31" t="s">
        <v>367</v>
      </c>
      <c r="C875" s="36" t="s">
        <v>314</v>
      </c>
      <c r="D875" s="11" t="s">
        <v>401</v>
      </c>
      <c r="E875" s="46"/>
      <c r="F875" s="11"/>
      <c r="G875" s="11"/>
      <c r="H875" s="11"/>
      <c r="I875" s="36"/>
      <c r="J875" s="46">
        <v>39475</v>
      </c>
      <c r="K875" s="11"/>
      <c r="L875" s="11"/>
      <c r="M875" s="11">
        <v>1000</v>
      </c>
      <c r="N875" s="11">
        <v>0</v>
      </c>
      <c r="O875" s="11">
        <f t="shared" si="48"/>
        <v>1000</v>
      </c>
      <c r="P875" s="11">
        <f>+SUM(H868:H875)-SUM(N868:N875)</f>
        <v>0</v>
      </c>
      <c r="Q875" s="11"/>
      <c r="R875" s="36" t="s">
        <v>379</v>
      </c>
      <c r="S875" s="403"/>
      <c r="T875" s="321"/>
      <c r="U875" s="321"/>
    </row>
    <row r="876" spans="1:21" hidden="1">
      <c r="A876" s="31" t="s">
        <v>522</v>
      </c>
      <c r="B876" s="31" t="s">
        <v>367</v>
      </c>
      <c r="C876" s="25" t="s">
        <v>314</v>
      </c>
      <c r="D876" s="20" t="s">
        <v>402</v>
      </c>
      <c r="E876" s="44">
        <v>37834</v>
      </c>
      <c r="F876" s="20"/>
      <c r="G876" s="20"/>
      <c r="H876" s="20">
        <v>200000000</v>
      </c>
      <c r="I876" s="25" t="s">
        <v>375</v>
      </c>
      <c r="J876" s="44">
        <v>38111</v>
      </c>
      <c r="K876" s="20"/>
      <c r="L876" s="20"/>
      <c r="M876" s="20">
        <f>223701688+70000000</f>
        <v>293701688</v>
      </c>
      <c r="N876" s="20">
        <f>200000000+23701688</f>
        <v>223701688</v>
      </c>
      <c r="O876" s="20">
        <f t="shared" si="48"/>
        <v>70000000</v>
      </c>
      <c r="P876" s="20"/>
      <c r="Q876" s="20"/>
      <c r="R876" s="25" t="s">
        <v>306</v>
      </c>
      <c r="S876" s="401"/>
      <c r="T876" s="319"/>
      <c r="U876" s="319"/>
    </row>
    <row r="877" spans="1:21" hidden="1">
      <c r="A877" s="31" t="s">
        <v>522</v>
      </c>
      <c r="B877" s="31" t="s">
        <v>367</v>
      </c>
      <c r="C877" s="31" t="s">
        <v>314</v>
      </c>
      <c r="D877" s="14" t="s">
        <v>402</v>
      </c>
      <c r="E877" s="45">
        <v>38107</v>
      </c>
      <c r="F877" s="14"/>
      <c r="G877" s="14"/>
      <c r="H877" s="14">
        <v>23701688</v>
      </c>
      <c r="I877" s="31" t="s">
        <v>375</v>
      </c>
      <c r="J877" s="45">
        <v>38153</v>
      </c>
      <c r="K877" s="14"/>
      <c r="L877" s="14"/>
      <c r="M877" s="14">
        <v>13000000</v>
      </c>
      <c r="N877" s="14">
        <v>0</v>
      </c>
      <c r="O877" s="14">
        <f t="shared" si="48"/>
        <v>13000000</v>
      </c>
      <c r="P877" s="14"/>
      <c r="Q877" s="14"/>
      <c r="R877" s="31" t="s">
        <v>306</v>
      </c>
      <c r="S877" s="402"/>
      <c r="T877" s="320"/>
      <c r="U877" s="320"/>
    </row>
    <row r="878" spans="1:21" hidden="1">
      <c r="A878" s="31" t="s">
        <v>522</v>
      </c>
      <c r="B878" s="31" t="s">
        <v>367</v>
      </c>
      <c r="C878" s="31" t="s">
        <v>314</v>
      </c>
      <c r="D878" s="14" t="s">
        <v>402</v>
      </c>
      <c r="E878" s="45"/>
      <c r="F878" s="14"/>
      <c r="G878" s="14"/>
      <c r="H878" s="14"/>
      <c r="I878" s="31"/>
      <c r="J878" s="45">
        <v>38232</v>
      </c>
      <c r="K878" s="14"/>
      <c r="L878" s="14"/>
      <c r="M878" s="14">
        <v>5000000</v>
      </c>
      <c r="N878" s="14">
        <v>0</v>
      </c>
      <c r="O878" s="14">
        <f t="shared" si="48"/>
        <v>5000000</v>
      </c>
      <c r="P878" s="14"/>
      <c r="Q878" s="14"/>
      <c r="R878" s="31" t="s">
        <v>306</v>
      </c>
      <c r="S878" s="402"/>
      <c r="T878" s="320"/>
      <c r="U878" s="320"/>
    </row>
    <row r="879" spans="1:21" hidden="1">
      <c r="A879" s="31" t="s">
        <v>522</v>
      </c>
      <c r="B879" s="31" t="s">
        <v>367</v>
      </c>
      <c r="C879" s="31" t="s">
        <v>314</v>
      </c>
      <c r="D879" s="14" t="s">
        <v>402</v>
      </c>
      <c r="E879" s="45"/>
      <c r="F879" s="14"/>
      <c r="G879" s="14"/>
      <c r="H879" s="14"/>
      <c r="I879" s="31"/>
      <c r="J879" s="45">
        <v>38267</v>
      </c>
      <c r="K879" s="14"/>
      <c r="L879" s="14"/>
      <c r="M879" s="14">
        <v>10000000</v>
      </c>
      <c r="N879" s="14">
        <v>0</v>
      </c>
      <c r="O879" s="14">
        <f t="shared" si="48"/>
        <v>10000000</v>
      </c>
      <c r="P879" s="14"/>
      <c r="Q879" s="14"/>
      <c r="R879" s="31" t="s">
        <v>306</v>
      </c>
      <c r="S879" s="402"/>
      <c r="T879" s="320"/>
      <c r="U879" s="320"/>
    </row>
    <row r="880" spans="1:21" hidden="1">
      <c r="A880" s="31" t="s">
        <v>522</v>
      </c>
      <c r="B880" s="31" t="s">
        <v>367</v>
      </c>
      <c r="C880" s="31" t="s">
        <v>314</v>
      </c>
      <c r="D880" s="14" t="s">
        <v>402</v>
      </c>
      <c r="E880" s="45"/>
      <c r="F880" s="14"/>
      <c r="G880" s="14"/>
      <c r="H880" s="14"/>
      <c r="I880" s="31"/>
      <c r="J880" s="45">
        <v>38294</v>
      </c>
      <c r="K880" s="14"/>
      <c r="L880" s="14"/>
      <c r="M880" s="14">
        <v>2000000</v>
      </c>
      <c r="N880" s="14">
        <v>0</v>
      </c>
      <c r="O880" s="14">
        <f t="shared" si="48"/>
        <v>2000000</v>
      </c>
      <c r="P880" s="14"/>
      <c r="Q880" s="14"/>
      <c r="R880" s="31" t="s">
        <v>306</v>
      </c>
      <c r="S880" s="402"/>
      <c r="T880" s="320"/>
      <c r="U880" s="320"/>
    </row>
    <row r="881" spans="1:21" hidden="1">
      <c r="A881" s="31" t="s">
        <v>522</v>
      </c>
      <c r="B881" s="31" t="s">
        <v>367</v>
      </c>
      <c r="C881" s="31" t="s">
        <v>314</v>
      </c>
      <c r="D881" s="14" t="s">
        <v>402</v>
      </c>
      <c r="E881" s="45"/>
      <c r="F881" s="14"/>
      <c r="G881" s="14"/>
      <c r="H881" s="14"/>
      <c r="I881" s="31"/>
      <c r="J881" s="45">
        <v>38512</v>
      </c>
      <c r="K881" s="14"/>
      <c r="L881" s="14"/>
      <c r="M881" s="14">
        <v>1000000</v>
      </c>
      <c r="N881" s="14">
        <v>0</v>
      </c>
      <c r="O881" s="14">
        <f t="shared" si="48"/>
        <v>1000000</v>
      </c>
      <c r="P881" s="14"/>
      <c r="Q881" s="14"/>
      <c r="R881" s="31" t="s">
        <v>306</v>
      </c>
      <c r="S881" s="402"/>
      <c r="T881" s="320"/>
      <c r="U881" s="320"/>
    </row>
    <row r="882" spans="1:21" hidden="1">
      <c r="A882" s="31" t="s">
        <v>522</v>
      </c>
      <c r="B882" s="31" t="s">
        <v>367</v>
      </c>
      <c r="C882" s="31" t="s">
        <v>314</v>
      </c>
      <c r="D882" s="14" t="s">
        <v>402</v>
      </c>
      <c r="E882" s="45"/>
      <c r="F882" s="14"/>
      <c r="G882" s="14"/>
      <c r="H882" s="14"/>
      <c r="I882" s="31"/>
      <c r="J882" s="45">
        <v>38527</v>
      </c>
      <c r="K882" s="14"/>
      <c r="L882" s="14"/>
      <c r="M882" s="14">
        <v>3000000</v>
      </c>
      <c r="N882" s="14">
        <v>0</v>
      </c>
      <c r="O882" s="14">
        <f t="shared" si="48"/>
        <v>3000000</v>
      </c>
      <c r="P882" s="14"/>
      <c r="Q882" s="14"/>
      <c r="R882" s="31" t="s">
        <v>306</v>
      </c>
      <c r="S882" s="402"/>
      <c r="T882" s="320"/>
      <c r="U882" s="320"/>
    </row>
    <row r="883" spans="1:21" hidden="1">
      <c r="A883" s="31" t="s">
        <v>522</v>
      </c>
      <c r="B883" s="31" t="s">
        <v>367</v>
      </c>
      <c r="C883" s="31" t="s">
        <v>314</v>
      </c>
      <c r="D883" s="14" t="s">
        <v>402</v>
      </c>
      <c r="E883" s="45"/>
      <c r="F883" s="14"/>
      <c r="G883" s="14"/>
      <c r="H883" s="14"/>
      <c r="I883" s="31"/>
      <c r="J883" s="45">
        <v>38713</v>
      </c>
      <c r="K883" s="14"/>
      <c r="L883" s="14"/>
      <c r="M883" s="14">
        <v>9000000</v>
      </c>
      <c r="N883" s="14">
        <v>0</v>
      </c>
      <c r="O883" s="14">
        <f t="shared" si="48"/>
        <v>9000000</v>
      </c>
      <c r="P883" s="14"/>
      <c r="Q883" s="14"/>
      <c r="R883" s="31" t="s">
        <v>306</v>
      </c>
      <c r="S883" s="402"/>
      <c r="T883" s="320"/>
      <c r="U883" s="320"/>
    </row>
    <row r="884" spans="1:21" hidden="1">
      <c r="A884" s="31" t="s">
        <v>522</v>
      </c>
      <c r="B884" s="31" t="s">
        <v>367</v>
      </c>
      <c r="C884" s="31" t="s">
        <v>314</v>
      </c>
      <c r="D884" s="14" t="s">
        <v>402</v>
      </c>
      <c r="E884" s="45"/>
      <c r="F884" s="14"/>
      <c r="G884" s="14"/>
      <c r="H884" s="14"/>
      <c r="I884" s="31"/>
      <c r="J884" s="45">
        <v>39119</v>
      </c>
      <c r="K884" s="14"/>
      <c r="L884" s="14"/>
      <c r="M884" s="14">
        <v>88970</v>
      </c>
      <c r="N884" s="14">
        <v>0</v>
      </c>
      <c r="O884" s="14">
        <f t="shared" si="48"/>
        <v>88970</v>
      </c>
      <c r="P884" s="14"/>
      <c r="Q884" s="14"/>
      <c r="R884" s="31" t="s">
        <v>306</v>
      </c>
      <c r="S884" s="402"/>
      <c r="T884" s="320"/>
      <c r="U884" s="320"/>
    </row>
    <row r="885" spans="1:21" hidden="1">
      <c r="A885" s="31" t="s">
        <v>522</v>
      </c>
      <c r="B885" s="31" t="s">
        <v>367</v>
      </c>
      <c r="C885" s="31" t="s">
        <v>314</v>
      </c>
      <c r="D885" s="14" t="s">
        <v>402</v>
      </c>
      <c r="E885" s="45"/>
      <c r="F885" s="14"/>
      <c r="G885" s="14"/>
      <c r="H885" s="14"/>
      <c r="I885" s="31"/>
      <c r="J885" s="45">
        <v>39254</v>
      </c>
      <c r="K885" s="14"/>
      <c r="L885" s="14"/>
      <c r="M885" s="14">
        <v>705582</v>
      </c>
      <c r="N885" s="14">
        <v>0</v>
      </c>
      <c r="O885" s="14">
        <f t="shared" si="48"/>
        <v>705582</v>
      </c>
      <c r="P885" s="14"/>
      <c r="Q885" s="14"/>
      <c r="R885" s="31" t="s">
        <v>306</v>
      </c>
      <c r="S885" s="402"/>
      <c r="T885" s="320"/>
      <c r="U885" s="320"/>
    </row>
    <row r="886" spans="1:21" hidden="1">
      <c r="A886" s="31" t="s">
        <v>522</v>
      </c>
      <c r="B886" s="31" t="s">
        <v>367</v>
      </c>
      <c r="C886" s="36" t="s">
        <v>314</v>
      </c>
      <c r="D886" s="11" t="s">
        <v>402</v>
      </c>
      <c r="E886" s="46"/>
      <c r="F886" s="11"/>
      <c r="G886" s="11"/>
      <c r="H886" s="11"/>
      <c r="I886" s="36"/>
      <c r="J886" s="46">
        <v>39444</v>
      </c>
      <c r="K886" s="11"/>
      <c r="L886" s="11"/>
      <c r="M886" s="11">
        <v>1645062</v>
      </c>
      <c r="N886" s="11">
        <v>0</v>
      </c>
      <c r="O886" s="11">
        <f t="shared" si="48"/>
        <v>1645062</v>
      </c>
      <c r="P886" s="11">
        <f>+SUM(H876:H886)-SUM(N876:N886)</f>
        <v>0</v>
      </c>
      <c r="Q886" s="11"/>
      <c r="R886" s="36" t="s">
        <v>353</v>
      </c>
      <c r="S886" s="403"/>
      <c r="T886" s="321"/>
      <c r="U886" s="321"/>
    </row>
    <row r="887" spans="1:21" hidden="1">
      <c r="A887" s="31" t="s">
        <v>522</v>
      </c>
      <c r="B887" s="31" t="s">
        <v>367</v>
      </c>
      <c r="C887" s="25" t="s">
        <v>314</v>
      </c>
      <c r="D887" s="20" t="s">
        <v>403</v>
      </c>
      <c r="E887" s="44">
        <v>37834</v>
      </c>
      <c r="F887" s="20"/>
      <c r="G887" s="20"/>
      <c r="H887" s="20">
        <v>200000000</v>
      </c>
      <c r="I887" s="25" t="s">
        <v>375</v>
      </c>
      <c r="J887" s="44">
        <v>38111</v>
      </c>
      <c r="K887" s="20"/>
      <c r="L887" s="20"/>
      <c r="M887" s="20">
        <v>115000000</v>
      </c>
      <c r="N887" s="20">
        <v>115000000</v>
      </c>
      <c r="O887" s="20">
        <f t="shared" si="48"/>
        <v>0</v>
      </c>
      <c r="P887" s="20"/>
      <c r="Q887" s="20"/>
      <c r="R887" s="25" t="s">
        <v>306</v>
      </c>
      <c r="S887" s="401"/>
      <c r="T887" s="319"/>
      <c r="U887" s="319"/>
    </row>
    <row r="888" spans="1:21" hidden="1">
      <c r="A888" s="31" t="s">
        <v>522</v>
      </c>
      <c r="B888" s="31" t="s">
        <v>367</v>
      </c>
      <c r="C888" s="31" t="s">
        <v>314</v>
      </c>
      <c r="D888" s="14" t="s">
        <v>403</v>
      </c>
      <c r="E888" s="45"/>
      <c r="F888" s="14"/>
      <c r="G888" s="14"/>
      <c r="H888" s="14"/>
      <c r="I888" s="31"/>
      <c r="J888" s="45">
        <v>38202</v>
      </c>
      <c r="K888" s="14"/>
      <c r="L888" s="14"/>
      <c r="M888" s="14">
        <v>23000000</v>
      </c>
      <c r="N888" s="14">
        <v>23000000</v>
      </c>
      <c r="O888" s="14">
        <f t="shared" si="48"/>
        <v>0</v>
      </c>
      <c r="P888" s="14"/>
      <c r="Q888" s="14"/>
      <c r="R888" s="31" t="s">
        <v>306</v>
      </c>
      <c r="S888" s="402"/>
      <c r="T888" s="320"/>
      <c r="U888" s="320"/>
    </row>
    <row r="889" spans="1:21" hidden="1">
      <c r="A889" s="31" t="s">
        <v>522</v>
      </c>
      <c r="B889" s="31" t="s">
        <v>367</v>
      </c>
      <c r="C889" s="31" t="s">
        <v>314</v>
      </c>
      <c r="D889" s="14" t="s">
        <v>403</v>
      </c>
      <c r="E889" s="45"/>
      <c r="F889" s="14"/>
      <c r="G889" s="14"/>
      <c r="H889" s="14"/>
      <c r="I889" s="31"/>
      <c r="J889" s="45">
        <v>38295</v>
      </c>
      <c r="K889" s="14"/>
      <c r="L889" s="14"/>
      <c r="M889" s="14">
        <v>3000000</v>
      </c>
      <c r="N889" s="14">
        <v>3000000</v>
      </c>
      <c r="O889" s="14">
        <f t="shared" si="48"/>
        <v>0</v>
      </c>
      <c r="P889" s="14"/>
      <c r="Q889" s="14"/>
      <c r="R889" s="31" t="s">
        <v>306</v>
      </c>
      <c r="S889" s="402"/>
      <c r="T889" s="320"/>
      <c r="U889" s="320"/>
    </row>
    <row r="890" spans="1:21" hidden="1">
      <c r="A890" s="31" t="s">
        <v>522</v>
      </c>
      <c r="B890" s="31" t="s">
        <v>367</v>
      </c>
      <c r="C890" s="31" t="s">
        <v>314</v>
      </c>
      <c r="D890" s="14" t="s">
        <v>403</v>
      </c>
      <c r="E890" s="45"/>
      <c r="F890" s="14"/>
      <c r="G890" s="14"/>
      <c r="H890" s="14"/>
      <c r="I890" s="31"/>
      <c r="J890" s="45">
        <v>38352</v>
      </c>
      <c r="K890" s="14"/>
      <c r="L890" s="14"/>
      <c r="M890" s="14">
        <v>0</v>
      </c>
      <c r="N890" s="14">
        <v>59000000</v>
      </c>
      <c r="O890" s="14">
        <f t="shared" si="48"/>
        <v>-59000000</v>
      </c>
      <c r="P890" s="14"/>
      <c r="Q890" s="14"/>
      <c r="R890" s="31" t="s">
        <v>376</v>
      </c>
      <c r="S890" s="402"/>
      <c r="T890" s="320"/>
      <c r="U890" s="320"/>
    </row>
    <row r="891" spans="1:21" hidden="1">
      <c r="A891" s="31" t="s">
        <v>522</v>
      </c>
      <c r="B891" s="31" t="s">
        <v>367</v>
      </c>
      <c r="C891" s="31" t="s">
        <v>314</v>
      </c>
      <c r="D891" s="14" t="s">
        <v>403</v>
      </c>
      <c r="E891" s="45"/>
      <c r="F891" s="14"/>
      <c r="G891" s="14"/>
      <c r="H891" s="14"/>
      <c r="I891" s="31"/>
      <c r="J891" s="45">
        <v>38415</v>
      </c>
      <c r="K891" s="14"/>
      <c r="L891" s="14"/>
      <c r="M891" s="14">
        <v>1000000</v>
      </c>
      <c r="N891" s="14">
        <v>0</v>
      </c>
      <c r="O891" s="14">
        <f t="shared" si="48"/>
        <v>1000000</v>
      </c>
      <c r="P891" s="14"/>
      <c r="Q891" s="14"/>
      <c r="R891" s="31" t="s">
        <v>306</v>
      </c>
      <c r="S891" s="402"/>
      <c r="T891" s="320"/>
      <c r="U891" s="320"/>
    </row>
    <row r="892" spans="1:21" hidden="1">
      <c r="A892" s="31" t="s">
        <v>522</v>
      </c>
      <c r="B892" s="31" t="s">
        <v>367</v>
      </c>
      <c r="C892" s="36" t="s">
        <v>314</v>
      </c>
      <c r="D892" s="11" t="s">
        <v>403</v>
      </c>
      <c r="E892" s="46"/>
      <c r="F892" s="11"/>
      <c r="G892" s="11"/>
      <c r="H892" s="11"/>
      <c r="I892" s="36"/>
      <c r="J892" s="46">
        <v>39444</v>
      </c>
      <c r="K892" s="11"/>
      <c r="L892" s="11"/>
      <c r="M892" s="11">
        <v>6718823</v>
      </c>
      <c r="N892" s="11">
        <v>0</v>
      </c>
      <c r="O892" s="11">
        <f t="shared" si="48"/>
        <v>6718823</v>
      </c>
      <c r="P892" s="11">
        <f>+SUM(H887:H892)-SUM(N887:N892)</f>
        <v>0</v>
      </c>
      <c r="Q892" s="11"/>
      <c r="R892" s="36" t="s">
        <v>353</v>
      </c>
      <c r="S892" s="403"/>
      <c r="T892" s="321"/>
      <c r="U892" s="321"/>
    </row>
    <row r="893" spans="1:21" hidden="1">
      <c r="A893" s="31" t="s">
        <v>522</v>
      </c>
      <c r="B893" s="31" t="s">
        <v>367</v>
      </c>
      <c r="C893" s="25" t="s">
        <v>314</v>
      </c>
      <c r="D893" s="20" t="s">
        <v>404</v>
      </c>
      <c r="E893" s="44">
        <v>37932</v>
      </c>
      <c r="F893" s="20"/>
      <c r="G893" s="20"/>
      <c r="H893" s="20">
        <v>300000000</v>
      </c>
      <c r="I893" s="25" t="s">
        <v>375</v>
      </c>
      <c r="J893" s="44">
        <v>38716</v>
      </c>
      <c r="K893" s="20"/>
      <c r="L893" s="20"/>
      <c r="M893" s="20">
        <v>240141400</v>
      </c>
      <c r="N893" s="20">
        <v>240141400</v>
      </c>
      <c r="O893" s="20">
        <f t="shared" si="48"/>
        <v>0</v>
      </c>
      <c r="P893" s="20"/>
      <c r="Q893" s="20"/>
      <c r="R893" s="25" t="s">
        <v>306</v>
      </c>
      <c r="S893" s="401"/>
      <c r="T893" s="319"/>
      <c r="U893" s="319"/>
    </row>
    <row r="894" spans="1:21" hidden="1">
      <c r="A894" s="31" t="s">
        <v>522</v>
      </c>
      <c r="B894" s="31" t="s">
        <v>367</v>
      </c>
      <c r="C894" s="31" t="s">
        <v>314</v>
      </c>
      <c r="D894" s="14" t="s">
        <v>404</v>
      </c>
      <c r="E894" s="45"/>
      <c r="F894" s="14"/>
      <c r="G894" s="14"/>
      <c r="H894" s="14"/>
      <c r="I894" s="31"/>
      <c r="J894" s="45">
        <v>38717</v>
      </c>
      <c r="K894" s="14"/>
      <c r="L894" s="14"/>
      <c r="M894" s="14">
        <v>0</v>
      </c>
      <c r="N894" s="14">
        <v>59858600</v>
      </c>
      <c r="O894" s="14">
        <f t="shared" si="48"/>
        <v>-59858600</v>
      </c>
      <c r="P894" s="14"/>
      <c r="Q894" s="14"/>
      <c r="R894" s="31" t="s">
        <v>376</v>
      </c>
      <c r="S894" s="402"/>
      <c r="T894" s="320"/>
      <c r="U894" s="320"/>
    </row>
    <row r="895" spans="1:21" hidden="1">
      <c r="A895" s="31" t="s">
        <v>522</v>
      </c>
      <c r="B895" s="31" t="s">
        <v>367</v>
      </c>
      <c r="C895" s="36" t="s">
        <v>314</v>
      </c>
      <c r="D895" s="11" t="s">
        <v>404</v>
      </c>
      <c r="E895" s="46"/>
      <c r="F895" s="11"/>
      <c r="G895" s="11"/>
      <c r="H895" s="11"/>
      <c r="I895" s="36"/>
      <c r="J895" s="46">
        <v>39472</v>
      </c>
      <c r="K895" s="11"/>
      <c r="L895" s="11"/>
      <c r="M895" s="11">
        <v>5441691</v>
      </c>
      <c r="N895" s="11">
        <v>0</v>
      </c>
      <c r="O895" s="11">
        <f t="shared" si="48"/>
        <v>5441691</v>
      </c>
      <c r="P895" s="11">
        <f>+SUM(H893:H895)-SUM(N893:N895)</f>
        <v>0</v>
      </c>
      <c r="Q895" s="11"/>
      <c r="R895" s="36" t="s">
        <v>306</v>
      </c>
      <c r="S895" s="403"/>
      <c r="T895" s="321"/>
      <c r="U895" s="321"/>
    </row>
    <row r="896" spans="1:21" hidden="1">
      <c r="A896" s="31" t="s">
        <v>522</v>
      </c>
      <c r="B896" s="31" t="s">
        <v>367</v>
      </c>
      <c r="C896" s="25" t="s">
        <v>314</v>
      </c>
      <c r="D896" s="20" t="s">
        <v>405</v>
      </c>
      <c r="E896" s="44">
        <v>38055</v>
      </c>
      <c r="F896" s="20"/>
      <c r="G896" s="20"/>
      <c r="H896" s="20">
        <v>500000000</v>
      </c>
      <c r="I896" s="25" t="s">
        <v>375</v>
      </c>
      <c r="J896" s="44">
        <v>38563</v>
      </c>
      <c r="K896" s="20"/>
      <c r="L896" s="20"/>
      <c r="M896" s="20">
        <v>314763241</v>
      </c>
      <c r="N896" s="20">
        <v>250000000</v>
      </c>
      <c r="O896" s="20">
        <f t="shared" si="48"/>
        <v>64763241</v>
      </c>
      <c r="P896" s="20"/>
      <c r="Q896" s="20"/>
      <c r="R896" s="25" t="s">
        <v>306</v>
      </c>
      <c r="S896" s="401"/>
      <c r="T896" s="319"/>
      <c r="U896" s="319"/>
    </row>
    <row r="897" spans="1:21" hidden="1">
      <c r="A897" s="31" t="s">
        <v>522</v>
      </c>
      <c r="B897" s="31" t="s">
        <v>367</v>
      </c>
      <c r="C897" s="31" t="s">
        <v>314</v>
      </c>
      <c r="D897" s="14" t="s">
        <v>405</v>
      </c>
      <c r="E897" s="45"/>
      <c r="F897" s="14"/>
      <c r="G897" s="14"/>
      <c r="H897" s="14"/>
      <c r="I897" s="31"/>
      <c r="J897" s="45">
        <v>38656</v>
      </c>
      <c r="K897" s="14"/>
      <c r="L897" s="14"/>
      <c r="M897" s="14">
        <v>164160684</v>
      </c>
      <c r="N897" s="14">
        <v>125000000</v>
      </c>
      <c r="O897" s="14">
        <f t="shared" si="48"/>
        <v>39160684</v>
      </c>
      <c r="P897" s="14"/>
      <c r="Q897" s="14"/>
      <c r="R897" s="31" t="s">
        <v>306</v>
      </c>
      <c r="S897" s="402"/>
      <c r="T897" s="320"/>
      <c r="U897" s="320"/>
    </row>
    <row r="898" spans="1:21" hidden="1">
      <c r="A898" s="31" t="s">
        <v>522</v>
      </c>
      <c r="B898" s="31" t="s">
        <v>367</v>
      </c>
      <c r="C898" s="31" t="s">
        <v>314</v>
      </c>
      <c r="D898" s="14" t="s">
        <v>405</v>
      </c>
      <c r="E898" s="45"/>
      <c r="F898" s="14"/>
      <c r="G898" s="14"/>
      <c r="H898" s="14"/>
      <c r="I898" s="31"/>
      <c r="J898" s="45">
        <v>38715</v>
      </c>
      <c r="K898" s="14"/>
      <c r="L898" s="14"/>
      <c r="M898" s="14">
        <v>168764972</v>
      </c>
      <c r="N898" s="14">
        <v>125000000</v>
      </c>
      <c r="O898" s="14">
        <f t="shared" si="48"/>
        <v>43764972</v>
      </c>
      <c r="P898" s="14"/>
      <c r="Q898" s="14"/>
      <c r="R898" s="31" t="s">
        <v>306</v>
      </c>
      <c r="S898" s="402"/>
      <c r="T898" s="320"/>
      <c r="U898" s="320"/>
    </row>
    <row r="899" spans="1:21" hidden="1">
      <c r="A899" s="31" t="s">
        <v>522</v>
      </c>
      <c r="B899" s="31" t="s">
        <v>367</v>
      </c>
      <c r="C899" s="36" t="s">
        <v>314</v>
      </c>
      <c r="D899" s="11" t="s">
        <v>405</v>
      </c>
      <c r="E899" s="46"/>
      <c r="F899" s="11"/>
      <c r="G899" s="11"/>
      <c r="H899" s="11"/>
      <c r="I899" s="36"/>
      <c r="J899" s="46">
        <v>39475</v>
      </c>
      <c r="K899" s="11"/>
      <c r="L899" s="11"/>
      <c r="M899" s="11">
        <v>1000</v>
      </c>
      <c r="N899" s="11">
        <v>0</v>
      </c>
      <c r="O899" s="11">
        <f t="shared" si="48"/>
        <v>1000</v>
      </c>
      <c r="P899" s="11">
        <f>+SUM(H896:H899)-SUM(N896:N899)</f>
        <v>0</v>
      </c>
      <c r="Q899" s="11"/>
      <c r="R899" s="36" t="s">
        <v>379</v>
      </c>
      <c r="S899" s="403"/>
      <c r="T899" s="321"/>
      <c r="U899" s="321"/>
    </row>
    <row r="900" spans="1:21" hidden="1">
      <c r="A900" s="31" t="s">
        <v>522</v>
      </c>
      <c r="B900" s="31" t="s">
        <v>367</v>
      </c>
      <c r="C900" s="25" t="s">
        <v>314</v>
      </c>
      <c r="D900" s="20" t="s">
        <v>406</v>
      </c>
      <c r="E900" s="44">
        <v>38083</v>
      </c>
      <c r="F900" s="20"/>
      <c r="G900" s="20"/>
      <c r="H900" s="20">
        <v>150000000</v>
      </c>
      <c r="I900" s="25" t="s">
        <v>375</v>
      </c>
      <c r="J900" s="44">
        <v>38352</v>
      </c>
      <c r="K900" s="20"/>
      <c r="L900" s="20"/>
      <c r="M900" s="20">
        <v>0</v>
      </c>
      <c r="N900" s="20">
        <v>150000000</v>
      </c>
      <c r="O900" s="20">
        <f t="shared" ref="O900:O930" si="52">+M900-N900</f>
        <v>-150000000</v>
      </c>
      <c r="P900" s="20"/>
      <c r="Q900" s="20"/>
      <c r="R900" s="25" t="s">
        <v>376</v>
      </c>
      <c r="S900" s="401"/>
      <c r="T900" s="319"/>
      <c r="U900" s="319"/>
    </row>
    <row r="901" spans="1:21" hidden="1">
      <c r="A901" s="31" t="s">
        <v>522</v>
      </c>
      <c r="B901" s="31" t="s">
        <v>367</v>
      </c>
      <c r="C901" s="36" t="s">
        <v>314</v>
      </c>
      <c r="D901" s="11" t="s">
        <v>406</v>
      </c>
      <c r="E901" s="46"/>
      <c r="F901" s="11"/>
      <c r="G901" s="11"/>
      <c r="H901" s="11"/>
      <c r="I901" s="36"/>
      <c r="J901" s="46">
        <v>39475</v>
      </c>
      <c r="K901" s="11"/>
      <c r="L901" s="11"/>
      <c r="M901" s="11">
        <v>1000</v>
      </c>
      <c r="N901" s="11">
        <v>0</v>
      </c>
      <c r="O901" s="11">
        <f>+M901-N901</f>
        <v>1000</v>
      </c>
      <c r="P901" s="11">
        <f>+SUM(H900:H901)-SUM(N900:N901)</f>
        <v>0</v>
      </c>
      <c r="Q901" s="11"/>
      <c r="R901" s="36" t="s">
        <v>379</v>
      </c>
      <c r="S901" s="403"/>
      <c r="T901" s="321"/>
      <c r="U901" s="321"/>
    </row>
    <row r="902" spans="1:21" hidden="1">
      <c r="A902" s="31" t="s">
        <v>522</v>
      </c>
      <c r="B902" s="31" t="s">
        <v>367</v>
      </c>
      <c r="C902" s="3" t="s">
        <v>314</v>
      </c>
      <c r="D902" s="20" t="s">
        <v>407</v>
      </c>
      <c r="E902" s="44">
        <v>38555</v>
      </c>
      <c r="F902" s="20"/>
      <c r="G902" s="20"/>
      <c r="H902" s="20">
        <v>800000000</v>
      </c>
      <c r="I902" s="25" t="s">
        <v>375</v>
      </c>
      <c r="J902" s="44">
        <v>38807</v>
      </c>
      <c r="K902" s="20"/>
      <c r="L902" s="20"/>
      <c r="M902" s="20">
        <v>885347945</v>
      </c>
      <c r="N902" s="20">
        <v>800000000</v>
      </c>
      <c r="O902" s="20">
        <f t="shared" si="52"/>
        <v>85347945</v>
      </c>
      <c r="P902" s="20"/>
      <c r="Q902" s="20"/>
      <c r="R902" s="25" t="s">
        <v>306</v>
      </c>
      <c r="S902" s="401"/>
      <c r="T902" s="319"/>
      <c r="U902" s="319"/>
    </row>
    <row r="903" spans="1:21" hidden="1">
      <c r="A903" s="31" t="s">
        <v>522</v>
      </c>
      <c r="B903" s="31" t="s">
        <v>367</v>
      </c>
      <c r="C903" s="3" t="s">
        <v>314</v>
      </c>
      <c r="D903" s="14" t="s">
        <v>407</v>
      </c>
      <c r="E903" s="45"/>
      <c r="F903" s="14"/>
      <c r="G903" s="14"/>
      <c r="H903" s="14"/>
      <c r="I903" s="31"/>
      <c r="J903" s="45">
        <v>39475</v>
      </c>
      <c r="K903" s="14"/>
      <c r="L903" s="14"/>
      <c r="M903" s="14">
        <v>1000</v>
      </c>
      <c r="N903" s="14">
        <v>0</v>
      </c>
      <c r="O903" s="14">
        <f t="shared" si="52"/>
        <v>1000</v>
      </c>
      <c r="P903" s="14">
        <f>+SUM(H902:H903)-SUM(N902:N903)</f>
        <v>0</v>
      </c>
      <c r="Q903" s="14"/>
      <c r="R903" s="31" t="s">
        <v>379</v>
      </c>
      <c r="S903" s="402"/>
      <c r="T903" s="320"/>
      <c r="U903" s="320"/>
    </row>
    <row r="904" spans="1:21" hidden="1">
      <c r="A904" s="31" t="s">
        <v>522</v>
      </c>
      <c r="B904" s="31" t="s">
        <v>367</v>
      </c>
      <c r="C904" s="25" t="s">
        <v>314</v>
      </c>
      <c r="D904" s="20" t="s">
        <v>408</v>
      </c>
      <c r="E904" s="44">
        <v>38625</v>
      </c>
      <c r="F904" s="20"/>
      <c r="G904" s="20"/>
      <c r="H904" s="20">
        <v>100000000</v>
      </c>
      <c r="I904" s="25" t="s">
        <v>375</v>
      </c>
      <c r="J904" s="44">
        <v>39066</v>
      </c>
      <c r="K904" s="20"/>
      <c r="L904" s="20"/>
      <c r="M904" s="20">
        <v>0</v>
      </c>
      <c r="N904" s="20">
        <v>100000000</v>
      </c>
      <c r="O904" s="20">
        <f t="shared" si="52"/>
        <v>-100000000</v>
      </c>
      <c r="P904" s="20"/>
      <c r="Q904" s="20"/>
      <c r="R904" s="25" t="s">
        <v>376</v>
      </c>
      <c r="S904" s="401"/>
      <c r="T904" s="319"/>
      <c r="U904" s="319"/>
    </row>
    <row r="905" spans="1:21" hidden="1">
      <c r="A905" s="31" t="s">
        <v>522</v>
      </c>
      <c r="B905" s="31" t="s">
        <v>367</v>
      </c>
      <c r="C905" s="36" t="s">
        <v>314</v>
      </c>
      <c r="D905" s="11" t="s">
        <v>408</v>
      </c>
      <c r="E905" s="46"/>
      <c r="F905" s="11"/>
      <c r="G905" s="11"/>
      <c r="H905" s="11"/>
      <c r="I905" s="36"/>
      <c r="J905" s="46">
        <v>39444</v>
      </c>
      <c r="K905" s="11"/>
      <c r="L905" s="11"/>
      <c r="M905" s="11">
        <v>1153606</v>
      </c>
      <c r="N905" s="11">
        <v>0</v>
      </c>
      <c r="O905" s="11">
        <f>+M905-N905</f>
        <v>1153606</v>
      </c>
      <c r="P905" s="11">
        <f>+SUM(H904:H905)-SUM(N904:N905)</f>
        <v>0</v>
      </c>
      <c r="Q905" s="11"/>
      <c r="R905" s="36" t="s">
        <v>353</v>
      </c>
      <c r="S905" s="403"/>
      <c r="T905" s="321"/>
      <c r="U905" s="321"/>
    </row>
    <row r="906" spans="1:21" hidden="1">
      <c r="A906" s="31" t="s">
        <v>522</v>
      </c>
      <c r="B906" s="31" t="s">
        <v>367</v>
      </c>
      <c r="C906" s="25" t="s">
        <v>314</v>
      </c>
      <c r="D906" s="20" t="s">
        <v>409</v>
      </c>
      <c r="E906" s="44">
        <v>38625</v>
      </c>
      <c r="F906" s="20"/>
      <c r="G906" s="20"/>
      <c r="H906" s="20">
        <v>200000000</v>
      </c>
      <c r="I906" s="25" t="s">
        <v>375</v>
      </c>
      <c r="J906" s="44">
        <v>38932</v>
      </c>
      <c r="K906" s="20"/>
      <c r="L906" s="20"/>
      <c r="M906" s="20">
        <v>321334156</v>
      </c>
      <c r="N906" s="20">
        <v>200000000</v>
      </c>
      <c r="O906" s="20">
        <f t="shared" si="52"/>
        <v>121334156</v>
      </c>
      <c r="P906" s="20"/>
      <c r="Q906" s="20"/>
      <c r="R906" s="25" t="s">
        <v>306</v>
      </c>
      <c r="S906" s="401"/>
      <c r="T906" s="319"/>
      <c r="U906" s="319"/>
    </row>
    <row r="907" spans="1:21" hidden="1">
      <c r="A907" s="31" t="s">
        <v>522</v>
      </c>
      <c r="B907" s="31" t="s">
        <v>367</v>
      </c>
      <c r="C907" s="31" t="s">
        <v>314</v>
      </c>
      <c r="D907" s="14" t="s">
        <v>409</v>
      </c>
      <c r="E907" s="45"/>
      <c r="F907" s="14"/>
      <c r="G907" s="14"/>
      <c r="H907" s="14"/>
      <c r="I907" s="31"/>
      <c r="J907" s="45">
        <v>39086</v>
      </c>
      <c r="K907" s="14"/>
      <c r="L907" s="14"/>
      <c r="M907" s="14">
        <v>2622345</v>
      </c>
      <c r="N907" s="14">
        <v>0</v>
      </c>
      <c r="O907" s="14">
        <f t="shared" si="52"/>
        <v>2622345</v>
      </c>
      <c r="P907" s="14"/>
      <c r="Q907" s="14"/>
      <c r="R907" s="31" t="s">
        <v>306</v>
      </c>
      <c r="S907" s="402"/>
      <c r="T907" s="320"/>
      <c r="U907" s="320"/>
    </row>
    <row r="908" spans="1:21" hidden="1">
      <c r="A908" s="31" t="s">
        <v>522</v>
      </c>
      <c r="B908" s="31" t="s">
        <v>367</v>
      </c>
      <c r="C908" s="36" t="s">
        <v>314</v>
      </c>
      <c r="D908" s="11" t="s">
        <v>409</v>
      </c>
      <c r="E908" s="46"/>
      <c r="F908" s="11"/>
      <c r="G908" s="11"/>
      <c r="H908" s="11"/>
      <c r="I908" s="36"/>
      <c r="J908" s="46">
        <v>39444</v>
      </c>
      <c r="K908" s="11"/>
      <c r="L908" s="11"/>
      <c r="M908" s="11">
        <v>1268055</v>
      </c>
      <c r="N908" s="11">
        <v>0</v>
      </c>
      <c r="O908" s="11">
        <f t="shared" si="52"/>
        <v>1268055</v>
      </c>
      <c r="P908" s="11">
        <f>+SUM(H906:H908)-SUM(N906:N908)</f>
        <v>0</v>
      </c>
      <c r="Q908" s="11"/>
      <c r="R908" s="36" t="s">
        <v>353</v>
      </c>
      <c r="S908" s="403"/>
      <c r="T908" s="321"/>
      <c r="U908" s="321"/>
    </row>
    <row r="909" spans="1:21" hidden="1">
      <c r="A909" s="31" t="s">
        <v>522</v>
      </c>
      <c r="B909" s="31" t="s">
        <v>367</v>
      </c>
      <c r="C909" s="25" t="s">
        <v>314</v>
      </c>
      <c r="D909" s="20" t="s">
        <v>410</v>
      </c>
      <c r="E909" s="44">
        <v>38625</v>
      </c>
      <c r="F909" s="20"/>
      <c r="G909" s="20"/>
      <c r="H909" s="20">
        <v>200000000</v>
      </c>
      <c r="I909" s="25" t="s">
        <v>375</v>
      </c>
      <c r="J909" s="44">
        <v>39129</v>
      </c>
      <c r="K909" s="20"/>
      <c r="L909" s="20"/>
      <c r="M909" s="20">
        <v>341770570</v>
      </c>
      <c r="N909" s="20">
        <v>200000000</v>
      </c>
      <c r="O909" s="20">
        <f t="shared" si="52"/>
        <v>141770570</v>
      </c>
      <c r="P909" s="20"/>
      <c r="Q909" s="20"/>
      <c r="R909" s="25" t="s">
        <v>306</v>
      </c>
      <c r="S909" s="401"/>
      <c r="T909" s="319"/>
      <c r="U909" s="319"/>
    </row>
    <row r="910" spans="1:21" hidden="1">
      <c r="A910" s="31" t="s">
        <v>522</v>
      </c>
      <c r="B910" s="31" t="s">
        <v>367</v>
      </c>
      <c r="C910" s="31" t="s">
        <v>314</v>
      </c>
      <c r="D910" s="14" t="s">
        <v>410</v>
      </c>
      <c r="E910" s="45"/>
      <c r="F910" s="14"/>
      <c r="G910" s="14"/>
      <c r="H910" s="14"/>
      <c r="I910" s="31"/>
      <c r="J910" s="45">
        <v>39238</v>
      </c>
      <c r="K910" s="14"/>
      <c r="L910" s="14"/>
      <c r="M910" s="14">
        <v>3580605</v>
      </c>
      <c r="N910" s="14">
        <v>0</v>
      </c>
      <c r="O910" s="14">
        <f t="shared" si="52"/>
        <v>3580605</v>
      </c>
      <c r="P910" s="14"/>
      <c r="Q910" s="14"/>
      <c r="R910" s="31" t="s">
        <v>306</v>
      </c>
      <c r="S910" s="402"/>
      <c r="T910" s="320"/>
      <c r="U910" s="320"/>
    </row>
    <row r="911" spans="1:21" hidden="1">
      <c r="A911" s="31" t="s">
        <v>522</v>
      </c>
      <c r="B911" s="31" t="s">
        <v>367</v>
      </c>
      <c r="C911" s="31" t="s">
        <v>314</v>
      </c>
      <c r="D911" s="14" t="s">
        <v>410</v>
      </c>
      <c r="E911" s="45"/>
      <c r="F911" s="14"/>
      <c r="G911" s="14"/>
      <c r="H911" s="14"/>
      <c r="I911" s="31"/>
      <c r="J911" s="45">
        <v>39430</v>
      </c>
      <c r="K911" s="14"/>
      <c r="L911" s="14"/>
      <c r="M911" s="14">
        <v>11540280</v>
      </c>
      <c r="N911" s="14">
        <v>0</v>
      </c>
      <c r="O911" s="14">
        <f t="shared" si="52"/>
        <v>11540280</v>
      </c>
      <c r="P911" s="14"/>
      <c r="Q911" s="14"/>
      <c r="R911" s="31" t="s">
        <v>306</v>
      </c>
      <c r="S911" s="402"/>
      <c r="T911" s="320"/>
      <c r="U911" s="320"/>
    </row>
    <row r="912" spans="1:21" hidden="1">
      <c r="A912" s="31" t="s">
        <v>522</v>
      </c>
      <c r="B912" s="31" t="s">
        <v>367</v>
      </c>
      <c r="C912" s="36" t="s">
        <v>314</v>
      </c>
      <c r="D912" s="11" t="s">
        <v>410</v>
      </c>
      <c r="E912" s="46"/>
      <c r="F912" s="11"/>
      <c r="G912" s="11"/>
      <c r="H912" s="11"/>
      <c r="I912" s="36"/>
      <c r="J912" s="46">
        <v>39475</v>
      </c>
      <c r="K912" s="11"/>
      <c r="L912" s="11"/>
      <c r="M912" s="11">
        <v>1248887</v>
      </c>
      <c r="N912" s="11">
        <v>0</v>
      </c>
      <c r="O912" s="11">
        <f t="shared" si="52"/>
        <v>1248887</v>
      </c>
      <c r="P912" s="11">
        <f>+SUM(H909:H912)-SUM(N909:N912)</f>
        <v>0</v>
      </c>
      <c r="Q912" s="11"/>
      <c r="R912" s="36" t="s">
        <v>379</v>
      </c>
      <c r="S912" s="403"/>
      <c r="T912" s="321"/>
      <c r="U912" s="321"/>
    </row>
    <row r="913" spans="1:21" hidden="1">
      <c r="A913" s="31" t="s">
        <v>522</v>
      </c>
      <c r="B913" s="31" t="s">
        <v>367</v>
      </c>
      <c r="C913" s="25" t="s">
        <v>314</v>
      </c>
      <c r="D913" s="20" t="s">
        <v>411</v>
      </c>
      <c r="E913" s="44">
        <v>38708</v>
      </c>
      <c r="F913" s="20"/>
      <c r="G913" s="20"/>
      <c r="H913" s="20">
        <v>165000000</v>
      </c>
      <c r="I913" s="25" t="s">
        <v>375</v>
      </c>
      <c r="J913" s="44">
        <v>39066</v>
      </c>
      <c r="K913" s="20"/>
      <c r="L913" s="20"/>
      <c r="M913" s="20">
        <v>0</v>
      </c>
      <c r="N913" s="20">
        <f>165000000+165000000</f>
        <v>330000000</v>
      </c>
      <c r="O913" s="20">
        <f t="shared" si="52"/>
        <v>-330000000</v>
      </c>
      <c r="P913" s="20"/>
      <c r="Q913" s="20"/>
      <c r="R913" s="25" t="s">
        <v>376</v>
      </c>
      <c r="S913" s="401"/>
      <c r="T913" s="319"/>
      <c r="U913" s="319"/>
    </row>
    <row r="914" spans="1:21" hidden="1">
      <c r="A914" s="31" t="s">
        <v>522</v>
      </c>
      <c r="B914" s="31" t="s">
        <v>367</v>
      </c>
      <c r="C914" s="36" t="s">
        <v>314</v>
      </c>
      <c r="D914" s="11" t="s">
        <v>411</v>
      </c>
      <c r="E914" s="46">
        <v>38742</v>
      </c>
      <c r="F914" s="11"/>
      <c r="G914" s="11"/>
      <c r="H914" s="11">
        <v>165000000</v>
      </c>
      <c r="I914" s="36" t="s">
        <v>375</v>
      </c>
      <c r="J914" s="46">
        <v>39475</v>
      </c>
      <c r="K914" s="11"/>
      <c r="L914" s="11"/>
      <c r="M914" s="11">
        <v>1000</v>
      </c>
      <c r="N914" s="11">
        <v>0</v>
      </c>
      <c r="O914" s="11">
        <f t="shared" si="52"/>
        <v>1000</v>
      </c>
      <c r="P914" s="11">
        <f>+SUM(H913:H914)-SUM(N913:N914)</f>
        <v>0</v>
      </c>
      <c r="Q914" s="11"/>
      <c r="R914" s="36" t="s">
        <v>379</v>
      </c>
      <c r="S914" s="403"/>
      <c r="T914" s="321"/>
      <c r="U914" s="321"/>
    </row>
    <row r="915" spans="1:21" hidden="1">
      <c r="A915" s="31" t="s">
        <v>522</v>
      </c>
      <c r="B915" s="31" t="s">
        <v>367</v>
      </c>
      <c r="C915" s="25" t="s">
        <v>309</v>
      </c>
      <c r="D915" s="20" t="s">
        <v>412</v>
      </c>
      <c r="E915" s="44">
        <v>38720</v>
      </c>
      <c r="F915" s="20"/>
      <c r="G915" s="20"/>
      <c r="H915" s="20">
        <v>1000000000</v>
      </c>
      <c r="I915" s="25" t="s">
        <v>375</v>
      </c>
      <c r="J915" s="44">
        <v>38898</v>
      </c>
      <c r="K915" s="20"/>
      <c r="L915" s="20"/>
      <c r="M915" s="20">
        <v>150000000</v>
      </c>
      <c r="N915" s="20">
        <v>150000000</v>
      </c>
      <c r="O915" s="20">
        <f t="shared" si="52"/>
        <v>0</v>
      </c>
      <c r="P915" s="20"/>
      <c r="Q915" s="20"/>
      <c r="R915" s="25" t="s">
        <v>306</v>
      </c>
      <c r="S915" s="401"/>
      <c r="T915" s="319"/>
      <c r="U915" s="319"/>
    </row>
    <row r="916" spans="1:21" hidden="1">
      <c r="A916" s="31" t="s">
        <v>522</v>
      </c>
      <c r="B916" s="31" t="s">
        <v>367</v>
      </c>
      <c r="C916" s="31" t="s">
        <v>309</v>
      </c>
      <c r="D916" s="14" t="s">
        <v>412</v>
      </c>
      <c r="E916" s="45"/>
      <c r="F916" s="14"/>
      <c r="G916" s="14"/>
      <c r="H916" s="14"/>
      <c r="I916" s="31"/>
      <c r="J916" s="45">
        <v>38926</v>
      </c>
      <c r="K916" s="14"/>
      <c r="L916" s="14"/>
      <c r="M916" s="14">
        <v>100000000</v>
      </c>
      <c r="N916" s="14">
        <v>100000000</v>
      </c>
      <c r="O916" s="14">
        <f t="shared" si="52"/>
        <v>0</v>
      </c>
      <c r="P916" s="14"/>
      <c r="Q916" s="14"/>
      <c r="R916" s="31" t="s">
        <v>306</v>
      </c>
      <c r="S916" s="402"/>
      <c r="T916" s="320"/>
      <c r="U916" s="320"/>
    </row>
    <row r="917" spans="1:21" hidden="1">
      <c r="A917" s="31" t="s">
        <v>522</v>
      </c>
      <c r="B917" s="31" t="s">
        <v>367</v>
      </c>
      <c r="C917" s="31" t="s">
        <v>309</v>
      </c>
      <c r="D917" s="14" t="s">
        <v>412</v>
      </c>
      <c r="E917" s="45"/>
      <c r="F917" s="14"/>
      <c r="G917" s="14"/>
      <c r="H917" s="14"/>
      <c r="I917" s="31"/>
      <c r="J917" s="45">
        <v>38950</v>
      </c>
      <c r="K917" s="14"/>
      <c r="L917" s="14"/>
      <c r="M917" s="14">
        <v>50000000</v>
      </c>
      <c r="N917" s="14">
        <v>50000000</v>
      </c>
      <c r="O917" s="14">
        <f t="shared" si="52"/>
        <v>0</v>
      </c>
      <c r="P917" s="14"/>
      <c r="Q917" s="14"/>
      <c r="R917" s="31" t="s">
        <v>306</v>
      </c>
      <c r="S917" s="402"/>
      <c r="T917" s="320"/>
      <c r="U917" s="320"/>
    </row>
    <row r="918" spans="1:21" hidden="1">
      <c r="A918" s="31" t="s">
        <v>522</v>
      </c>
      <c r="B918" s="31" t="s">
        <v>367</v>
      </c>
      <c r="C918" s="31" t="s">
        <v>309</v>
      </c>
      <c r="D918" s="14" t="s">
        <v>412</v>
      </c>
      <c r="E918" s="45"/>
      <c r="F918" s="14"/>
      <c r="G918" s="14"/>
      <c r="H918" s="14"/>
      <c r="I918" s="31"/>
      <c r="J918" s="45">
        <v>38973</v>
      </c>
      <c r="K918" s="14"/>
      <c r="L918" s="14"/>
      <c r="M918" s="14">
        <v>100000000</v>
      </c>
      <c r="N918" s="14">
        <v>100000000</v>
      </c>
      <c r="O918" s="14">
        <f t="shared" si="52"/>
        <v>0</v>
      </c>
      <c r="P918" s="14"/>
      <c r="Q918" s="14"/>
      <c r="R918" s="31" t="s">
        <v>306</v>
      </c>
      <c r="S918" s="402"/>
      <c r="T918" s="320"/>
      <c r="U918" s="320"/>
    </row>
    <row r="919" spans="1:21" hidden="1">
      <c r="A919" s="31" t="s">
        <v>522</v>
      </c>
      <c r="B919" s="31" t="s">
        <v>367</v>
      </c>
      <c r="C919" s="31" t="s">
        <v>309</v>
      </c>
      <c r="D919" s="14" t="s">
        <v>412</v>
      </c>
      <c r="E919" s="45"/>
      <c r="F919" s="14"/>
      <c r="G919" s="14"/>
      <c r="H919" s="14"/>
      <c r="I919" s="31"/>
      <c r="J919" s="45">
        <v>38975</v>
      </c>
      <c r="K919" s="14"/>
      <c r="L919" s="14"/>
      <c r="M919" s="14">
        <v>100000000</v>
      </c>
      <c r="N919" s="14">
        <v>100000000</v>
      </c>
      <c r="O919" s="14">
        <f t="shared" si="52"/>
        <v>0</v>
      </c>
      <c r="P919" s="14"/>
      <c r="Q919" s="14"/>
      <c r="R919" s="31" t="s">
        <v>306</v>
      </c>
      <c r="S919" s="402"/>
      <c r="T919" s="320"/>
      <c r="U919" s="320"/>
    </row>
    <row r="920" spans="1:21" hidden="1">
      <c r="A920" s="31" t="s">
        <v>522</v>
      </c>
      <c r="B920" s="31" t="s">
        <v>367</v>
      </c>
      <c r="C920" s="31" t="s">
        <v>309</v>
      </c>
      <c r="D920" s="14" t="s">
        <v>412</v>
      </c>
      <c r="E920" s="45"/>
      <c r="F920" s="14"/>
      <c r="G920" s="14"/>
      <c r="H920" s="14"/>
      <c r="I920" s="31"/>
      <c r="J920" s="45">
        <v>38978</v>
      </c>
      <c r="K920" s="14"/>
      <c r="L920" s="14"/>
      <c r="M920" s="14">
        <v>100000000</v>
      </c>
      <c r="N920" s="14">
        <v>100000000</v>
      </c>
      <c r="O920" s="14">
        <f t="shared" si="52"/>
        <v>0</v>
      </c>
      <c r="P920" s="14"/>
      <c r="Q920" s="14"/>
      <c r="R920" s="31" t="s">
        <v>306</v>
      </c>
      <c r="S920" s="402"/>
      <c r="T920" s="320"/>
      <c r="U920" s="320"/>
    </row>
    <row r="921" spans="1:21" hidden="1">
      <c r="A921" s="31" t="s">
        <v>522</v>
      </c>
      <c r="B921" s="31" t="s">
        <v>367</v>
      </c>
      <c r="C921" s="36" t="s">
        <v>309</v>
      </c>
      <c r="D921" s="11" t="s">
        <v>412</v>
      </c>
      <c r="E921" s="46"/>
      <c r="F921" s="11"/>
      <c r="G921" s="11"/>
      <c r="H921" s="11"/>
      <c r="I921" s="36"/>
      <c r="J921" s="46">
        <v>39199</v>
      </c>
      <c r="K921" s="11"/>
      <c r="L921" s="11"/>
      <c r="M921" s="11">
        <v>590000000</v>
      </c>
      <c r="N921" s="11">
        <v>400000000</v>
      </c>
      <c r="O921" s="11">
        <f t="shared" si="52"/>
        <v>190000000</v>
      </c>
      <c r="P921" s="11">
        <f>+SUM(H915:H921)-SUM(N915:N921)</f>
        <v>0</v>
      </c>
      <c r="Q921" s="11"/>
      <c r="R921" s="36" t="s">
        <v>306</v>
      </c>
      <c r="S921" s="403"/>
      <c r="T921" s="321"/>
      <c r="U921" s="321"/>
    </row>
    <row r="922" spans="1:21" hidden="1">
      <c r="A922" s="31" t="s">
        <v>522</v>
      </c>
      <c r="B922" s="31" t="s">
        <v>367</v>
      </c>
      <c r="C922" s="25" t="s">
        <v>314</v>
      </c>
      <c r="D922" s="20" t="s">
        <v>413</v>
      </c>
      <c r="E922" s="44">
        <v>38765</v>
      </c>
      <c r="F922" s="20"/>
      <c r="G922" s="20"/>
      <c r="H922" s="20">
        <v>146000000</v>
      </c>
      <c r="I922" s="25" t="s">
        <v>375</v>
      </c>
      <c r="J922" s="44">
        <v>38855</v>
      </c>
      <c r="K922" s="20"/>
      <c r="L922" s="20"/>
      <c r="M922" s="20">
        <v>119981024</v>
      </c>
      <c r="N922" s="20">
        <v>119981024</v>
      </c>
      <c r="O922" s="20">
        <f t="shared" si="52"/>
        <v>0</v>
      </c>
      <c r="P922" s="20"/>
      <c r="Q922" s="20"/>
      <c r="R922" s="25" t="s">
        <v>306</v>
      </c>
      <c r="S922" s="401"/>
      <c r="T922" s="319"/>
      <c r="U922" s="319"/>
    </row>
    <row r="923" spans="1:21" hidden="1">
      <c r="A923" s="31" t="s">
        <v>522</v>
      </c>
      <c r="B923" s="31" t="s">
        <v>367</v>
      </c>
      <c r="C923" s="31" t="s">
        <v>314</v>
      </c>
      <c r="D923" s="14" t="s">
        <v>413</v>
      </c>
      <c r="E923" s="45"/>
      <c r="F923" s="14"/>
      <c r="G923" s="14"/>
      <c r="H923" s="14"/>
      <c r="I923" s="31"/>
      <c r="J923" s="45">
        <v>39066</v>
      </c>
      <c r="K923" s="14"/>
      <c r="L923" s="14"/>
      <c r="M923" s="14">
        <v>0</v>
      </c>
      <c r="N923" s="14">
        <v>26018976</v>
      </c>
      <c r="O923" s="14">
        <f t="shared" si="52"/>
        <v>-26018976</v>
      </c>
      <c r="P923" s="14"/>
      <c r="Q923" s="14"/>
      <c r="R923" s="31" t="s">
        <v>376</v>
      </c>
      <c r="S923" s="402"/>
      <c r="T923" s="320"/>
      <c r="U923" s="320"/>
    </row>
    <row r="924" spans="1:21" hidden="1">
      <c r="A924" s="31" t="s">
        <v>522</v>
      </c>
      <c r="B924" s="31" t="s">
        <v>367</v>
      </c>
      <c r="C924" s="36" t="s">
        <v>314</v>
      </c>
      <c r="D924" s="11" t="s">
        <v>413</v>
      </c>
      <c r="E924" s="46"/>
      <c r="F924" s="11"/>
      <c r="G924" s="11"/>
      <c r="H924" s="11"/>
      <c r="I924" s="36"/>
      <c r="J924" s="46">
        <v>39475</v>
      </c>
      <c r="K924" s="11"/>
      <c r="L924" s="11"/>
      <c r="M924" s="11">
        <v>1000</v>
      </c>
      <c r="N924" s="11">
        <v>0</v>
      </c>
      <c r="O924" s="11">
        <f t="shared" si="52"/>
        <v>1000</v>
      </c>
      <c r="P924" s="11">
        <f>+SUM(H922:H924)-SUM(N922:N924)</f>
        <v>0</v>
      </c>
      <c r="Q924" s="11"/>
      <c r="R924" s="36" t="s">
        <v>379</v>
      </c>
      <c r="S924" s="403"/>
      <c r="T924" s="321"/>
      <c r="U924" s="321"/>
    </row>
    <row r="925" spans="1:21" hidden="1">
      <c r="A925" s="31" t="s">
        <v>522</v>
      </c>
      <c r="B925" s="31" t="s">
        <v>367</v>
      </c>
      <c r="C925" s="25" t="s">
        <v>314</v>
      </c>
      <c r="D925" s="20" t="s">
        <v>414</v>
      </c>
      <c r="E925" s="44">
        <v>38813</v>
      </c>
      <c r="F925" s="20"/>
      <c r="G925" s="20"/>
      <c r="H925" s="20">
        <v>120000000</v>
      </c>
      <c r="I925" s="25" t="s">
        <v>375</v>
      </c>
      <c r="J925" s="44">
        <v>39066</v>
      </c>
      <c r="K925" s="20"/>
      <c r="L925" s="20"/>
      <c r="M925" s="20">
        <v>0</v>
      </c>
      <c r="N925" s="20">
        <v>120000000</v>
      </c>
      <c r="O925" s="20">
        <f t="shared" si="52"/>
        <v>-120000000</v>
      </c>
      <c r="P925" s="25"/>
      <c r="Q925" s="20"/>
      <c r="R925" s="25" t="s">
        <v>376</v>
      </c>
      <c r="S925" s="401"/>
      <c r="T925" s="319"/>
      <c r="U925" s="319"/>
    </row>
    <row r="926" spans="1:21" hidden="1">
      <c r="A926" s="31" t="s">
        <v>522</v>
      </c>
      <c r="B926" s="31" t="s">
        <v>367</v>
      </c>
      <c r="C926" s="36" t="s">
        <v>314</v>
      </c>
      <c r="D926" s="11" t="s">
        <v>414</v>
      </c>
      <c r="E926" s="46"/>
      <c r="F926" s="11"/>
      <c r="G926" s="11"/>
      <c r="H926" s="11"/>
      <c r="I926" s="36"/>
      <c r="J926" s="46">
        <v>39475</v>
      </c>
      <c r="K926" s="11"/>
      <c r="L926" s="11"/>
      <c r="M926" s="11">
        <v>1000</v>
      </c>
      <c r="N926" s="11">
        <v>0</v>
      </c>
      <c r="O926" s="11">
        <f t="shared" si="52"/>
        <v>1000</v>
      </c>
      <c r="P926" s="36">
        <f>+SUM(H925:H926)-SUM(N925:N926)</f>
        <v>0</v>
      </c>
      <c r="Q926" s="11"/>
      <c r="R926" s="36" t="s">
        <v>379</v>
      </c>
      <c r="S926" s="403"/>
      <c r="T926" s="321"/>
      <c r="U926" s="321"/>
    </row>
    <row r="927" spans="1:21" hidden="1">
      <c r="A927" s="31" t="s">
        <v>522</v>
      </c>
      <c r="B927" s="31" t="s">
        <v>367</v>
      </c>
      <c r="C927" s="25" t="s">
        <v>314</v>
      </c>
      <c r="D927" s="20" t="s">
        <v>415</v>
      </c>
      <c r="E927" s="44">
        <v>38821</v>
      </c>
      <c r="F927" s="20"/>
      <c r="G927" s="20"/>
      <c r="H927" s="20">
        <v>500000000</v>
      </c>
      <c r="I927" s="25" t="s">
        <v>375</v>
      </c>
      <c r="J927" s="44">
        <v>38902</v>
      </c>
      <c r="K927" s="20"/>
      <c r="L927" s="20"/>
      <c r="M927" s="20">
        <v>33000000</v>
      </c>
      <c r="N927" s="20">
        <v>33000000</v>
      </c>
      <c r="O927" s="20">
        <f t="shared" si="52"/>
        <v>0</v>
      </c>
      <c r="P927" s="20"/>
      <c r="Q927" s="20"/>
      <c r="R927" s="25" t="s">
        <v>306</v>
      </c>
      <c r="S927" s="401"/>
      <c r="T927" s="319"/>
      <c r="U927" s="319"/>
    </row>
    <row r="928" spans="1:21" hidden="1">
      <c r="A928" s="31" t="s">
        <v>522</v>
      </c>
      <c r="B928" s="31" t="s">
        <v>367</v>
      </c>
      <c r="C928" s="31" t="s">
        <v>314</v>
      </c>
      <c r="D928" s="14" t="s">
        <v>415</v>
      </c>
      <c r="E928" s="45"/>
      <c r="F928" s="14"/>
      <c r="G928" s="14"/>
      <c r="H928" s="14"/>
      <c r="I928" s="31"/>
      <c r="J928" s="45">
        <v>38903</v>
      </c>
      <c r="K928" s="14"/>
      <c r="L928" s="14"/>
      <c r="M928" s="14">
        <v>14000000</v>
      </c>
      <c r="N928" s="14">
        <v>14000000</v>
      </c>
      <c r="O928" s="14">
        <f t="shared" si="52"/>
        <v>0</v>
      </c>
      <c r="P928" s="14"/>
      <c r="Q928" s="14"/>
      <c r="R928" s="31" t="s">
        <v>306</v>
      </c>
      <c r="S928" s="402"/>
      <c r="T928" s="320"/>
      <c r="U928" s="320"/>
    </row>
    <row r="929" spans="1:28" hidden="1">
      <c r="A929" s="31" t="s">
        <v>522</v>
      </c>
      <c r="B929" s="31" t="s">
        <v>367</v>
      </c>
      <c r="C929" s="31" t="s">
        <v>314</v>
      </c>
      <c r="D929" s="14" t="s">
        <v>415</v>
      </c>
      <c r="E929" s="45"/>
      <c r="F929" s="14"/>
      <c r="G929" s="14"/>
      <c r="H929" s="14"/>
      <c r="I929" s="31"/>
      <c r="J929" s="45">
        <v>39066</v>
      </c>
      <c r="K929" s="14"/>
      <c r="L929" s="14"/>
      <c r="M929" s="14">
        <v>0</v>
      </c>
      <c r="N929" s="14">
        <v>453000000</v>
      </c>
      <c r="O929" s="14">
        <f t="shared" si="52"/>
        <v>-453000000</v>
      </c>
      <c r="P929" s="14"/>
      <c r="Q929" s="14"/>
      <c r="R929" s="31" t="s">
        <v>376</v>
      </c>
      <c r="S929" s="402"/>
      <c r="T929" s="320"/>
      <c r="U929" s="320"/>
    </row>
    <row r="930" spans="1:28" hidden="1">
      <c r="A930" s="241" t="s">
        <v>522</v>
      </c>
      <c r="B930" s="241" t="s">
        <v>367</v>
      </c>
      <c r="C930" s="241" t="s">
        <v>314</v>
      </c>
      <c r="D930" s="11" t="s">
        <v>415</v>
      </c>
      <c r="E930" s="46"/>
      <c r="F930" s="11"/>
      <c r="G930" s="11"/>
      <c r="H930" s="11"/>
      <c r="I930" s="241"/>
      <c r="J930" s="46">
        <v>39475</v>
      </c>
      <c r="K930" s="11"/>
      <c r="L930" s="11"/>
      <c r="M930" s="11">
        <v>1000</v>
      </c>
      <c r="N930" s="11">
        <v>0</v>
      </c>
      <c r="O930" s="11">
        <f t="shared" si="52"/>
        <v>1000</v>
      </c>
      <c r="P930" s="11">
        <f>+SUM(H927:H930)-SUM(N927:N930)</f>
        <v>0</v>
      </c>
      <c r="Q930" s="11"/>
      <c r="R930" s="241" t="s">
        <v>379</v>
      </c>
      <c r="S930" s="403"/>
      <c r="T930" s="321"/>
      <c r="U930" s="321"/>
    </row>
    <row r="931" spans="1:28" hidden="1">
      <c r="A931" s="738" t="s">
        <v>522</v>
      </c>
      <c r="B931" s="738" t="s">
        <v>367</v>
      </c>
      <c r="C931" s="151" t="s">
        <v>523</v>
      </c>
      <c r="D931" s="147"/>
      <c r="E931" s="148"/>
      <c r="F931" s="147"/>
      <c r="G931" s="147"/>
      <c r="H931" s="147">
        <f>SUM(H703:H930)</f>
        <v>17134766208</v>
      </c>
      <c r="I931" s="151"/>
      <c r="J931" s="151"/>
      <c r="K931" s="147"/>
      <c r="L931" s="147"/>
      <c r="M931" s="147">
        <f>SUM(M703:M930)</f>
        <v>19916973059</v>
      </c>
      <c r="N931" s="147">
        <f>SUM(N703:N930)</f>
        <v>17134766208</v>
      </c>
      <c r="O931" s="147">
        <f>SUM(O703:O930)</f>
        <v>2782205851</v>
      </c>
      <c r="P931" s="147">
        <f>SUM(P703:P930)</f>
        <v>0</v>
      </c>
      <c r="Q931" s="147"/>
      <c r="R931" s="151"/>
      <c r="S931" s="151"/>
      <c r="T931" s="151"/>
      <c r="U931" s="151"/>
    </row>
    <row r="932" spans="1:28" s="26" customFormat="1" hidden="1">
      <c r="A932" s="13" t="s">
        <v>1480</v>
      </c>
      <c r="B932" s="473" t="s">
        <v>476</v>
      </c>
      <c r="C932" s="456" t="s">
        <v>1204</v>
      </c>
      <c r="D932" s="456" t="s">
        <v>287</v>
      </c>
      <c r="E932" s="605">
        <v>38316</v>
      </c>
      <c r="F932" s="634">
        <v>0</v>
      </c>
      <c r="G932" s="634"/>
      <c r="H932" s="634">
        <v>300000000</v>
      </c>
      <c r="I932" s="469" t="s">
        <v>1205</v>
      </c>
      <c r="J932" s="437">
        <v>38867</v>
      </c>
      <c r="K932" s="634">
        <v>0</v>
      </c>
      <c r="L932" s="634"/>
      <c r="M932" s="634">
        <v>35855582</v>
      </c>
      <c r="N932" s="634">
        <v>35855582</v>
      </c>
      <c r="O932" s="634">
        <f>+M932-N932</f>
        <v>0</v>
      </c>
      <c r="P932" s="634"/>
      <c r="Q932" s="456"/>
      <c r="R932" s="656"/>
      <c r="S932" s="501" t="s">
        <v>475</v>
      </c>
      <c r="T932" s="501"/>
      <c r="U932" s="13"/>
      <c r="AB932" s="252"/>
    </row>
    <row r="933" spans="1:28" s="26" customFormat="1" hidden="1">
      <c r="A933" s="93" t="s">
        <v>1480</v>
      </c>
      <c r="B933" s="474" t="s">
        <v>476</v>
      </c>
      <c r="C933" s="450" t="s">
        <v>1204</v>
      </c>
      <c r="D933" s="450" t="s">
        <v>287</v>
      </c>
      <c r="E933" s="627"/>
      <c r="F933" s="635"/>
      <c r="G933" s="635"/>
      <c r="H933" s="635"/>
      <c r="I933" s="471"/>
      <c r="J933" s="438">
        <v>38884</v>
      </c>
      <c r="K933" s="635">
        <v>0</v>
      </c>
      <c r="L933" s="635"/>
      <c r="M933" s="635">
        <v>35893732</v>
      </c>
      <c r="N933" s="635">
        <v>35893732</v>
      </c>
      <c r="O933" s="635">
        <f t="shared" ref="O933:O996" si="53">+M933-N933</f>
        <v>0</v>
      </c>
      <c r="P933" s="635"/>
      <c r="Q933" s="450"/>
      <c r="R933" s="654"/>
      <c r="S933" s="499" t="s">
        <v>475</v>
      </c>
      <c r="T933" s="499"/>
      <c r="U933" s="13"/>
      <c r="AB933" s="252"/>
    </row>
    <row r="934" spans="1:28" s="26" customFormat="1" hidden="1">
      <c r="A934" s="93" t="s">
        <v>1480</v>
      </c>
      <c r="B934" s="474" t="s">
        <v>476</v>
      </c>
      <c r="C934" s="450" t="s">
        <v>1204</v>
      </c>
      <c r="D934" s="450" t="s">
        <v>287</v>
      </c>
      <c r="E934" s="627"/>
      <c r="F934" s="635"/>
      <c r="G934" s="635"/>
      <c r="H934" s="635"/>
      <c r="I934" s="471"/>
      <c r="J934" s="438">
        <v>38919</v>
      </c>
      <c r="K934" s="635">
        <v>0</v>
      </c>
      <c r="L934" s="635"/>
      <c r="M934" s="635">
        <v>35135349</v>
      </c>
      <c r="N934" s="635">
        <v>35135349</v>
      </c>
      <c r="O934" s="635">
        <f t="shared" si="53"/>
        <v>0</v>
      </c>
      <c r="P934" s="635"/>
      <c r="Q934" s="450"/>
      <c r="R934" s="654"/>
      <c r="S934" s="499" t="s">
        <v>475</v>
      </c>
      <c r="T934" s="499"/>
      <c r="U934" s="13"/>
      <c r="AB934" s="252"/>
    </row>
    <row r="935" spans="1:28" s="26" customFormat="1" hidden="1">
      <c r="A935" s="93" t="s">
        <v>1480</v>
      </c>
      <c r="B935" s="474" t="s">
        <v>476</v>
      </c>
      <c r="C935" s="450" t="s">
        <v>1204</v>
      </c>
      <c r="D935" s="450" t="s">
        <v>287</v>
      </c>
      <c r="E935" s="627"/>
      <c r="F935" s="635"/>
      <c r="G935" s="635"/>
      <c r="H935" s="635"/>
      <c r="I935" s="471"/>
      <c r="J935" s="438">
        <v>38951</v>
      </c>
      <c r="K935" s="635">
        <v>0</v>
      </c>
      <c r="L935" s="635"/>
      <c r="M935" s="635">
        <v>35554037</v>
      </c>
      <c r="N935" s="635">
        <v>35554037</v>
      </c>
      <c r="O935" s="635">
        <f t="shared" si="53"/>
        <v>0</v>
      </c>
      <c r="P935" s="635"/>
      <c r="Q935" s="450"/>
      <c r="R935" s="654"/>
      <c r="S935" s="499" t="s">
        <v>475</v>
      </c>
      <c r="T935" s="499"/>
      <c r="U935" s="13"/>
      <c r="AB935" s="252"/>
    </row>
    <row r="936" spans="1:28" s="26" customFormat="1" hidden="1">
      <c r="A936" s="93" t="s">
        <v>1480</v>
      </c>
      <c r="B936" s="474" t="s">
        <v>476</v>
      </c>
      <c r="C936" s="450" t="s">
        <v>1204</v>
      </c>
      <c r="D936" s="450" t="s">
        <v>287</v>
      </c>
      <c r="E936" s="627"/>
      <c r="F936" s="635"/>
      <c r="G936" s="635"/>
      <c r="H936" s="635"/>
      <c r="I936" s="471"/>
      <c r="J936" s="438">
        <v>38980</v>
      </c>
      <c r="K936" s="635">
        <v>0</v>
      </c>
      <c r="L936" s="635"/>
      <c r="M936" s="635">
        <v>30070077</v>
      </c>
      <c r="N936" s="635">
        <v>30070077</v>
      </c>
      <c r="O936" s="635">
        <f t="shared" si="53"/>
        <v>0</v>
      </c>
      <c r="P936" s="635"/>
      <c r="Q936" s="450"/>
      <c r="R936" s="654"/>
      <c r="S936" s="499" t="s">
        <v>475</v>
      </c>
      <c r="T936" s="499"/>
      <c r="U936" s="13"/>
      <c r="AB936" s="252"/>
    </row>
    <row r="937" spans="1:28" s="26" customFormat="1" hidden="1">
      <c r="A937" s="93" t="s">
        <v>1480</v>
      </c>
      <c r="B937" s="474" t="s">
        <v>476</v>
      </c>
      <c r="C937" s="450" t="s">
        <v>1204</v>
      </c>
      <c r="D937" s="450" t="s">
        <v>287</v>
      </c>
      <c r="E937" s="627"/>
      <c r="F937" s="635"/>
      <c r="G937" s="635"/>
      <c r="H937" s="635"/>
      <c r="I937" s="471"/>
      <c r="J937" s="438">
        <v>39020</v>
      </c>
      <c r="K937" s="635">
        <v>0</v>
      </c>
      <c r="L937" s="635"/>
      <c r="M937" s="635">
        <v>35489730</v>
      </c>
      <c r="N937" s="635">
        <v>35489730</v>
      </c>
      <c r="O937" s="635">
        <f t="shared" si="53"/>
        <v>0</v>
      </c>
      <c r="P937" s="635"/>
      <c r="Q937" s="450"/>
      <c r="R937" s="654"/>
      <c r="S937" s="499" t="s">
        <v>475</v>
      </c>
      <c r="T937" s="499"/>
      <c r="U937" s="13"/>
      <c r="AB937" s="252"/>
    </row>
    <row r="938" spans="1:28" s="26" customFormat="1" hidden="1">
      <c r="A938" s="93" t="s">
        <v>1480</v>
      </c>
      <c r="B938" s="474" t="s">
        <v>476</v>
      </c>
      <c r="C938" s="450" t="s">
        <v>1204</v>
      </c>
      <c r="D938" s="450" t="s">
        <v>287</v>
      </c>
      <c r="E938" s="627"/>
      <c r="F938" s="635"/>
      <c r="G938" s="635"/>
      <c r="H938" s="635"/>
      <c r="I938" s="471"/>
      <c r="J938" s="438">
        <v>39045</v>
      </c>
      <c r="K938" s="635">
        <v>0</v>
      </c>
      <c r="L938" s="635"/>
      <c r="M938" s="635">
        <v>38600720</v>
      </c>
      <c r="N938" s="635">
        <v>38600720</v>
      </c>
      <c r="O938" s="635">
        <f t="shared" si="53"/>
        <v>0</v>
      </c>
      <c r="P938" s="635"/>
      <c r="Q938" s="450"/>
      <c r="R938" s="654"/>
      <c r="S938" s="499" t="s">
        <v>475</v>
      </c>
      <c r="T938" s="499"/>
      <c r="U938" s="13"/>
      <c r="AB938" s="252"/>
    </row>
    <row r="939" spans="1:28" s="26" customFormat="1" hidden="1">
      <c r="A939" s="93" t="s">
        <v>1480</v>
      </c>
      <c r="B939" s="474" t="s">
        <v>476</v>
      </c>
      <c r="C939" s="450" t="s">
        <v>1204</v>
      </c>
      <c r="D939" s="450" t="s">
        <v>287</v>
      </c>
      <c r="E939" s="627"/>
      <c r="F939" s="635"/>
      <c r="G939" s="635"/>
      <c r="H939" s="635"/>
      <c r="I939" s="471"/>
      <c r="J939" s="438">
        <v>39080</v>
      </c>
      <c r="K939" s="635">
        <v>0</v>
      </c>
      <c r="L939" s="635"/>
      <c r="M939" s="635">
        <v>31020816</v>
      </c>
      <c r="N939" s="635">
        <v>31020816</v>
      </c>
      <c r="O939" s="635">
        <f t="shared" si="53"/>
        <v>0</v>
      </c>
      <c r="P939" s="635"/>
      <c r="Q939" s="450"/>
      <c r="R939" s="654"/>
      <c r="S939" s="499" t="s">
        <v>475</v>
      </c>
      <c r="T939" s="499"/>
      <c r="U939" s="13"/>
      <c r="AB939" s="252"/>
    </row>
    <row r="940" spans="1:28" s="26" customFormat="1" hidden="1">
      <c r="A940" s="93" t="s">
        <v>1480</v>
      </c>
      <c r="B940" s="474" t="s">
        <v>476</v>
      </c>
      <c r="C940" s="450" t="s">
        <v>1204</v>
      </c>
      <c r="D940" s="450" t="s">
        <v>287</v>
      </c>
      <c r="E940" s="627"/>
      <c r="F940" s="635"/>
      <c r="G940" s="635"/>
      <c r="H940" s="635"/>
      <c r="I940" s="471"/>
      <c r="J940" s="439">
        <v>39113</v>
      </c>
      <c r="K940" s="635">
        <v>0</v>
      </c>
      <c r="L940" s="635"/>
      <c r="M940" s="635">
        <v>28363989</v>
      </c>
      <c r="N940" s="635">
        <v>22379957</v>
      </c>
      <c r="O940" s="635">
        <f t="shared" si="53"/>
        <v>5984032</v>
      </c>
      <c r="P940" s="635"/>
      <c r="Q940" s="450"/>
      <c r="R940" s="450" t="s">
        <v>478</v>
      </c>
      <c r="S940" s="499" t="s">
        <v>477</v>
      </c>
      <c r="T940" s="499"/>
      <c r="U940" s="13"/>
      <c r="AB940" s="252"/>
    </row>
    <row r="941" spans="1:28" s="26" customFormat="1" hidden="1">
      <c r="A941" s="93" t="s">
        <v>1480</v>
      </c>
      <c r="B941" s="474" t="s">
        <v>476</v>
      </c>
      <c r="C941" s="450" t="s">
        <v>1204</v>
      </c>
      <c r="D941" s="450" t="s">
        <v>287</v>
      </c>
      <c r="E941" s="627"/>
      <c r="F941" s="635"/>
      <c r="G941" s="635"/>
      <c r="H941" s="635"/>
      <c r="I941" s="471"/>
      <c r="J941" s="439">
        <v>39141</v>
      </c>
      <c r="K941" s="635">
        <v>0</v>
      </c>
      <c r="L941" s="635"/>
      <c r="M941" s="635">
        <v>14434236</v>
      </c>
      <c r="N941" s="635">
        <v>0</v>
      </c>
      <c r="O941" s="635">
        <f t="shared" si="53"/>
        <v>14434236</v>
      </c>
      <c r="P941" s="635"/>
      <c r="Q941" s="450"/>
      <c r="R941" s="450" t="s">
        <v>478</v>
      </c>
      <c r="S941" s="499" t="s">
        <v>479</v>
      </c>
      <c r="T941" s="499"/>
      <c r="U941" s="13"/>
      <c r="AB941" s="252"/>
    </row>
    <row r="942" spans="1:28" s="26" customFormat="1" hidden="1">
      <c r="A942" s="93" t="s">
        <v>1480</v>
      </c>
      <c r="B942" s="474" t="s">
        <v>476</v>
      </c>
      <c r="C942" s="450" t="s">
        <v>1204</v>
      </c>
      <c r="D942" s="450" t="s">
        <v>287</v>
      </c>
      <c r="E942" s="627"/>
      <c r="F942" s="635"/>
      <c r="G942" s="635"/>
      <c r="H942" s="635"/>
      <c r="I942" s="471"/>
      <c r="J942" s="439">
        <v>39178</v>
      </c>
      <c r="K942" s="635">
        <v>0</v>
      </c>
      <c r="L942" s="635"/>
      <c r="M942" s="635">
        <v>15783269</v>
      </c>
      <c r="N942" s="635">
        <v>0</v>
      </c>
      <c r="O942" s="635">
        <f t="shared" si="53"/>
        <v>15783269</v>
      </c>
      <c r="P942" s="635"/>
      <c r="Q942" s="450"/>
      <c r="R942" s="450" t="s">
        <v>478</v>
      </c>
      <c r="S942" s="499" t="s">
        <v>479</v>
      </c>
      <c r="T942" s="499"/>
      <c r="U942" s="13"/>
      <c r="AB942" s="252"/>
    </row>
    <row r="943" spans="1:28" s="26" customFormat="1" hidden="1">
      <c r="A943" s="93" t="s">
        <v>1480</v>
      </c>
      <c r="B943" s="474" t="s">
        <v>476</v>
      </c>
      <c r="C943" s="450" t="s">
        <v>1204</v>
      </c>
      <c r="D943" s="450" t="s">
        <v>287</v>
      </c>
      <c r="E943" s="627"/>
      <c r="F943" s="635"/>
      <c r="G943" s="635"/>
      <c r="H943" s="635"/>
      <c r="I943" s="471"/>
      <c r="J943" s="439">
        <v>39212</v>
      </c>
      <c r="K943" s="635">
        <v>0</v>
      </c>
      <c r="L943" s="635"/>
      <c r="M943" s="635">
        <v>17278455</v>
      </c>
      <c r="N943" s="635">
        <v>0</v>
      </c>
      <c r="O943" s="635">
        <f t="shared" si="53"/>
        <v>17278455</v>
      </c>
      <c r="P943" s="635"/>
      <c r="Q943" s="450"/>
      <c r="R943" s="450" t="s">
        <v>478</v>
      </c>
      <c r="S943" s="499" t="s">
        <v>479</v>
      </c>
      <c r="T943" s="499"/>
      <c r="U943" s="13"/>
      <c r="AB943" s="252"/>
    </row>
    <row r="944" spans="1:28" s="26" customFormat="1" hidden="1">
      <c r="A944" s="93" t="s">
        <v>1480</v>
      </c>
      <c r="B944" s="474" t="s">
        <v>476</v>
      </c>
      <c r="C944" s="450" t="s">
        <v>1204</v>
      </c>
      <c r="D944" s="450" t="s">
        <v>287</v>
      </c>
      <c r="E944" s="627"/>
      <c r="F944" s="635"/>
      <c r="G944" s="635"/>
      <c r="H944" s="635"/>
      <c r="I944" s="471"/>
      <c r="J944" s="439">
        <v>39233</v>
      </c>
      <c r="K944" s="635">
        <v>0</v>
      </c>
      <c r="L944" s="635"/>
      <c r="M944" s="635">
        <v>14640461</v>
      </c>
      <c r="N944" s="635">
        <v>0</v>
      </c>
      <c r="O944" s="635">
        <f t="shared" si="53"/>
        <v>14640461</v>
      </c>
      <c r="P944" s="635"/>
      <c r="Q944" s="450"/>
      <c r="R944" s="450" t="s">
        <v>478</v>
      </c>
      <c r="S944" s="499" t="s">
        <v>479</v>
      </c>
      <c r="T944" s="499"/>
      <c r="U944" s="13"/>
      <c r="AB944" s="252"/>
    </row>
    <row r="945" spans="1:28" s="26" customFormat="1" hidden="1">
      <c r="A945" s="93" t="s">
        <v>1480</v>
      </c>
      <c r="B945" s="474" t="s">
        <v>476</v>
      </c>
      <c r="C945" s="450" t="s">
        <v>1204</v>
      </c>
      <c r="D945" s="450" t="s">
        <v>287</v>
      </c>
      <c r="E945" s="627"/>
      <c r="F945" s="635"/>
      <c r="G945" s="635"/>
      <c r="H945" s="635"/>
      <c r="I945" s="471"/>
      <c r="J945" s="439">
        <v>39262</v>
      </c>
      <c r="K945" s="635">
        <v>0</v>
      </c>
      <c r="L945" s="635"/>
      <c r="M945" s="635">
        <v>14497134</v>
      </c>
      <c r="N945" s="635">
        <v>0</v>
      </c>
      <c r="O945" s="635">
        <f t="shared" si="53"/>
        <v>14497134</v>
      </c>
      <c r="P945" s="635"/>
      <c r="Q945" s="450"/>
      <c r="R945" s="450" t="s">
        <v>478</v>
      </c>
      <c r="S945" s="499" t="s">
        <v>479</v>
      </c>
      <c r="T945" s="499"/>
      <c r="U945" s="13"/>
      <c r="AB945" s="252"/>
    </row>
    <row r="946" spans="1:28" s="26" customFormat="1" hidden="1">
      <c r="A946" s="93" t="s">
        <v>1480</v>
      </c>
      <c r="B946" s="474" t="s">
        <v>476</v>
      </c>
      <c r="C946" s="450" t="s">
        <v>1204</v>
      </c>
      <c r="D946" s="450" t="s">
        <v>287</v>
      </c>
      <c r="E946" s="627"/>
      <c r="F946" s="635"/>
      <c r="G946" s="635"/>
      <c r="H946" s="635"/>
      <c r="I946" s="471"/>
      <c r="J946" s="439">
        <v>39294</v>
      </c>
      <c r="K946" s="635">
        <v>0</v>
      </c>
      <c r="L946" s="635"/>
      <c r="M946" s="635">
        <v>12897503</v>
      </c>
      <c r="N946" s="635">
        <v>0</v>
      </c>
      <c r="O946" s="635">
        <f t="shared" si="53"/>
        <v>12897503</v>
      </c>
      <c r="P946" s="635"/>
      <c r="Q946" s="450"/>
      <c r="R946" s="450" t="s">
        <v>478</v>
      </c>
      <c r="S946" s="499" t="s">
        <v>479</v>
      </c>
      <c r="T946" s="499"/>
      <c r="U946" s="13"/>
      <c r="AB946" s="252"/>
    </row>
    <row r="947" spans="1:28" s="26" customFormat="1" hidden="1">
      <c r="A947" s="93" t="s">
        <v>1480</v>
      </c>
      <c r="B947" s="474" t="s">
        <v>476</v>
      </c>
      <c r="C947" s="450" t="s">
        <v>1204</v>
      </c>
      <c r="D947" s="450" t="s">
        <v>287</v>
      </c>
      <c r="E947" s="627"/>
      <c r="F947" s="635"/>
      <c r="G947" s="635"/>
      <c r="H947" s="635"/>
      <c r="I947" s="471"/>
      <c r="J947" s="439">
        <v>39325</v>
      </c>
      <c r="K947" s="635">
        <v>0</v>
      </c>
      <c r="L947" s="635"/>
      <c r="M947" s="635">
        <v>12857480</v>
      </c>
      <c r="N947" s="635">
        <v>0</v>
      </c>
      <c r="O947" s="635">
        <f t="shared" si="53"/>
        <v>12857480</v>
      </c>
      <c r="P947" s="635"/>
      <c r="Q947" s="450"/>
      <c r="R947" s="450" t="s">
        <v>478</v>
      </c>
      <c r="S947" s="499" t="s">
        <v>479</v>
      </c>
      <c r="T947" s="499"/>
      <c r="U947" s="13"/>
      <c r="AB947" s="252"/>
    </row>
    <row r="948" spans="1:28" s="26" customFormat="1" hidden="1">
      <c r="A948" s="93" t="s">
        <v>1480</v>
      </c>
      <c r="B948" s="474" t="s">
        <v>476</v>
      </c>
      <c r="C948" s="450" t="s">
        <v>1204</v>
      </c>
      <c r="D948" s="450" t="s">
        <v>287</v>
      </c>
      <c r="E948" s="627"/>
      <c r="F948" s="635"/>
      <c r="G948" s="635"/>
      <c r="H948" s="635"/>
      <c r="I948" s="471"/>
      <c r="J948" s="440">
        <v>39353</v>
      </c>
      <c r="K948" s="635">
        <v>0</v>
      </c>
      <c r="L948" s="635"/>
      <c r="M948" s="635">
        <v>11799137</v>
      </c>
      <c r="N948" s="635">
        <v>0</v>
      </c>
      <c r="O948" s="635">
        <f t="shared" si="53"/>
        <v>11799137</v>
      </c>
      <c r="P948" s="635"/>
      <c r="Q948" s="450"/>
      <c r="R948" s="450" t="s">
        <v>478</v>
      </c>
      <c r="S948" s="499" t="s">
        <v>479</v>
      </c>
      <c r="T948" s="499"/>
      <c r="U948" s="13"/>
      <c r="AB948" s="252"/>
    </row>
    <row r="949" spans="1:28" s="26" customFormat="1" hidden="1">
      <c r="A949" s="93" t="s">
        <v>1480</v>
      </c>
      <c r="B949" s="474" t="s">
        <v>476</v>
      </c>
      <c r="C949" s="450" t="s">
        <v>1204</v>
      </c>
      <c r="D949" s="450" t="s">
        <v>287</v>
      </c>
      <c r="E949" s="627"/>
      <c r="F949" s="635"/>
      <c r="G949" s="635"/>
      <c r="H949" s="635"/>
      <c r="I949" s="471"/>
      <c r="J949" s="439">
        <v>39386</v>
      </c>
      <c r="K949" s="635">
        <v>0</v>
      </c>
      <c r="L949" s="635"/>
      <c r="M949" s="635">
        <v>58015905</v>
      </c>
      <c r="N949" s="635">
        <v>0</v>
      </c>
      <c r="O949" s="635">
        <f t="shared" si="53"/>
        <v>58015905</v>
      </c>
      <c r="P949" s="635"/>
      <c r="Q949" s="450"/>
      <c r="R949" s="450" t="s">
        <v>478</v>
      </c>
      <c r="S949" s="499" t="s">
        <v>479</v>
      </c>
      <c r="T949" s="499"/>
      <c r="U949" s="13"/>
      <c r="AB949" s="252"/>
    </row>
    <row r="950" spans="1:28" s="26" customFormat="1" hidden="1">
      <c r="A950" s="93" t="s">
        <v>1480</v>
      </c>
      <c r="B950" s="474" t="s">
        <v>476</v>
      </c>
      <c r="C950" s="450" t="s">
        <v>1204</v>
      </c>
      <c r="D950" s="450" t="s">
        <v>287</v>
      </c>
      <c r="E950" s="627"/>
      <c r="F950" s="635"/>
      <c r="G950" s="635"/>
      <c r="H950" s="635"/>
      <c r="I950" s="471"/>
      <c r="J950" s="440">
        <v>39416</v>
      </c>
      <c r="K950" s="635">
        <v>0</v>
      </c>
      <c r="L950" s="635"/>
      <c r="M950" s="635">
        <v>13573172</v>
      </c>
      <c r="N950" s="635">
        <v>0</v>
      </c>
      <c r="O950" s="635">
        <f t="shared" si="53"/>
        <v>13573172</v>
      </c>
      <c r="P950" s="635"/>
      <c r="Q950" s="450"/>
      <c r="R950" s="450" t="s">
        <v>478</v>
      </c>
      <c r="S950" s="499" t="s">
        <v>479</v>
      </c>
      <c r="T950" s="499"/>
      <c r="U950" s="13"/>
      <c r="AB950" s="252"/>
    </row>
    <row r="951" spans="1:28" s="26" customFormat="1" hidden="1">
      <c r="A951" s="93" t="s">
        <v>1480</v>
      </c>
      <c r="B951" s="474" t="s">
        <v>476</v>
      </c>
      <c r="C951" s="450" t="s">
        <v>1204</v>
      </c>
      <c r="D951" s="450" t="s">
        <v>287</v>
      </c>
      <c r="E951" s="627"/>
      <c r="F951" s="635"/>
      <c r="G951" s="635"/>
      <c r="H951" s="635"/>
      <c r="I951" s="471"/>
      <c r="J951" s="439">
        <v>39444</v>
      </c>
      <c r="K951" s="635">
        <v>0</v>
      </c>
      <c r="L951" s="635"/>
      <c r="M951" s="635">
        <v>11929583</v>
      </c>
      <c r="N951" s="635">
        <v>0</v>
      </c>
      <c r="O951" s="635">
        <f t="shared" si="53"/>
        <v>11929583</v>
      </c>
      <c r="P951" s="635"/>
      <c r="Q951" s="450"/>
      <c r="R951" s="450" t="s">
        <v>478</v>
      </c>
      <c r="S951" s="499" t="s">
        <v>479</v>
      </c>
      <c r="T951" s="499"/>
      <c r="U951" s="13"/>
      <c r="AB951" s="252"/>
    </row>
    <row r="952" spans="1:28" s="26" customFormat="1" hidden="1">
      <c r="A952" s="93" t="s">
        <v>1480</v>
      </c>
      <c r="B952" s="474" t="s">
        <v>476</v>
      </c>
      <c r="C952" s="450" t="s">
        <v>1204</v>
      </c>
      <c r="D952" s="450" t="s">
        <v>287</v>
      </c>
      <c r="E952" s="627"/>
      <c r="F952" s="635"/>
      <c r="G952" s="635"/>
      <c r="H952" s="635"/>
      <c r="I952" s="471"/>
      <c r="J952" s="440">
        <v>39478</v>
      </c>
      <c r="K952" s="635">
        <v>0</v>
      </c>
      <c r="L952" s="635"/>
      <c r="M952" s="635">
        <v>9995593</v>
      </c>
      <c r="N952" s="635">
        <v>0</v>
      </c>
      <c r="O952" s="635">
        <f t="shared" si="53"/>
        <v>9995593</v>
      </c>
      <c r="P952" s="635"/>
      <c r="Q952" s="450"/>
      <c r="R952" s="450" t="s">
        <v>478</v>
      </c>
      <c r="S952" s="499" t="s">
        <v>479</v>
      </c>
      <c r="T952" s="499"/>
      <c r="U952" s="13"/>
      <c r="AB952" s="252"/>
    </row>
    <row r="953" spans="1:28" s="26" customFormat="1" hidden="1">
      <c r="A953" s="93" t="s">
        <v>1480</v>
      </c>
      <c r="B953" s="474" t="s">
        <v>476</v>
      </c>
      <c r="C953" s="450" t="s">
        <v>1204</v>
      </c>
      <c r="D953" s="450" t="s">
        <v>287</v>
      </c>
      <c r="E953" s="627"/>
      <c r="F953" s="635"/>
      <c r="G953" s="635"/>
      <c r="H953" s="635"/>
      <c r="I953" s="471"/>
      <c r="J953" s="439">
        <v>39507</v>
      </c>
      <c r="K953" s="635">
        <v>0</v>
      </c>
      <c r="L953" s="635"/>
      <c r="M953" s="635">
        <v>8753232</v>
      </c>
      <c r="N953" s="635">
        <v>0</v>
      </c>
      <c r="O953" s="635">
        <f t="shared" si="53"/>
        <v>8753232</v>
      </c>
      <c r="P953" s="635"/>
      <c r="Q953" s="450"/>
      <c r="R953" s="450" t="s">
        <v>478</v>
      </c>
      <c r="S953" s="499" t="s">
        <v>479</v>
      </c>
      <c r="T953" s="499"/>
      <c r="U953" s="13"/>
      <c r="AB953" s="252"/>
    </row>
    <row r="954" spans="1:28" s="26" customFormat="1" hidden="1">
      <c r="A954" s="93" t="s">
        <v>1480</v>
      </c>
      <c r="B954" s="474" t="s">
        <v>476</v>
      </c>
      <c r="C954" s="450" t="s">
        <v>1204</v>
      </c>
      <c r="D954" s="450" t="s">
        <v>287</v>
      </c>
      <c r="E954" s="627"/>
      <c r="F954" s="635"/>
      <c r="G954" s="635"/>
      <c r="H954" s="635"/>
      <c r="I954" s="471"/>
      <c r="J954" s="440">
        <v>39538</v>
      </c>
      <c r="K954" s="635">
        <v>0</v>
      </c>
      <c r="L954" s="635"/>
      <c r="M954" s="635">
        <v>9471616</v>
      </c>
      <c r="N954" s="635">
        <v>0</v>
      </c>
      <c r="O954" s="635">
        <f t="shared" si="53"/>
        <v>9471616</v>
      </c>
      <c r="P954" s="635"/>
      <c r="Q954" s="450"/>
      <c r="R954" s="450" t="s">
        <v>478</v>
      </c>
      <c r="S954" s="499" t="s">
        <v>479</v>
      </c>
      <c r="T954" s="499"/>
      <c r="U954" s="13"/>
      <c r="AB954" s="252"/>
    </row>
    <row r="955" spans="1:28" s="26" customFormat="1" hidden="1">
      <c r="A955" s="93" t="s">
        <v>1480</v>
      </c>
      <c r="B955" s="474" t="s">
        <v>476</v>
      </c>
      <c r="C955" s="450" t="s">
        <v>1204</v>
      </c>
      <c r="D955" s="450" t="s">
        <v>287</v>
      </c>
      <c r="E955" s="627"/>
      <c r="F955" s="635"/>
      <c r="G955" s="635"/>
      <c r="H955" s="635"/>
      <c r="I955" s="471"/>
      <c r="J955" s="439">
        <v>39568</v>
      </c>
      <c r="K955" s="635">
        <v>0</v>
      </c>
      <c r="L955" s="635"/>
      <c r="M955" s="635">
        <v>10435179</v>
      </c>
      <c r="N955" s="635">
        <v>0</v>
      </c>
      <c r="O955" s="635">
        <f t="shared" si="53"/>
        <v>10435179</v>
      </c>
      <c r="P955" s="635"/>
      <c r="Q955" s="450"/>
      <c r="R955" s="450" t="s">
        <v>478</v>
      </c>
      <c r="S955" s="499" t="s">
        <v>479</v>
      </c>
      <c r="T955" s="499"/>
      <c r="U955" s="13"/>
      <c r="AB955" s="252"/>
    </row>
    <row r="956" spans="1:28" s="26" customFormat="1" hidden="1">
      <c r="A956" s="93" t="s">
        <v>1480</v>
      </c>
      <c r="B956" s="474" t="s">
        <v>476</v>
      </c>
      <c r="C956" s="450" t="s">
        <v>1204</v>
      </c>
      <c r="D956" s="450" t="s">
        <v>287</v>
      </c>
      <c r="E956" s="627"/>
      <c r="F956" s="635"/>
      <c r="G956" s="635"/>
      <c r="H956" s="635"/>
      <c r="I956" s="471"/>
      <c r="J956" s="440">
        <v>39598</v>
      </c>
      <c r="K956" s="635">
        <v>0</v>
      </c>
      <c r="L956" s="635"/>
      <c r="M956" s="635">
        <v>10529961</v>
      </c>
      <c r="N956" s="635">
        <v>0</v>
      </c>
      <c r="O956" s="635">
        <f t="shared" si="53"/>
        <v>10529961</v>
      </c>
      <c r="P956" s="635"/>
      <c r="Q956" s="450"/>
      <c r="R956" s="450" t="s">
        <v>478</v>
      </c>
      <c r="S956" s="499" t="s">
        <v>479</v>
      </c>
      <c r="T956" s="499"/>
      <c r="U956" s="13"/>
      <c r="AB956" s="252"/>
    </row>
    <row r="957" spans="1:28" s="26" customFormat="1" hidden="1">
      <c r="A957" s="93" t="s">
        <v>1480</v>
      </c>
      <c r="B957" s="474" t="s">
        <v>476</v>
      </c>
      <c r="C957" s="449" t="s">
        <v>1204</v>
      </c>
      <c r="D957" s="449" t="s">
        <v>287</v>
      </c>
      <c r="E957" s="606"/>
      <c r="F957" s="636"/>
      <c r="G957" s="636"/>
      <c r="H957" s="636"/>
      <c r="I957" s="470"/>
      <c r="J957" s="441">
        <v>39629</v>
      </c>
      <c r="K957" s="636">
        <v>0</v>
      </c>
      <c r="L957" s="636"/>
      <c r="M957" s="636">
        <v>170000000</v>
      </c>
      <c r="N957" s="636">
        <v>0</v>
      </c>
      <c r="O957" s="636">
        <f t="shared" si="53"/>
        <v>170000000</v>
      </c>
      <c r="P957" s="636">
        <f>+H932-SUM(N932:N957)</f>
        <v>0</v>
      </c>
      <c r="Q957" s="449"/>
      <c r="R957" s="449" t="s">
        <v>478</v>
      </c>
      <c r="S957" s="500" t="s">
        <v>479</v>
      </c>
      <c r="T957" s="500"/>
      <c r="U957" s="13"/>
      <c r="AB957" s="252"/>
    </row>
    <row r="958" spans="1:28" s="26" customFormat="1" hidden="1">
      <c r="A958" s="93" t="s">
        <v>1480</v>
      </c>
      <c r="B958" s="491" t="s">
        <v>476</v>
      </c>
      <c r="C958" s="656" t="s">
        <v>487</v>
      </c>
      <c r="D958" s="656" t="s">
        <v>288</v>
      </c>
      <c r="E958" s="605">
        <v>38345</v>
      </c>
      <c r="F958" s="610">
        <v>13941</v>
      </c>
      <c r="G958" s="610">
        <v>75000</v>
      </c>
      <c r="H958" s="610">
        <v>1045575000</v>
      </c>
      <c r="I958" s="612" t="s">
        <v>499</v>
      </c>
      <c r="J958" s="445">
        <v>39189</v>
      </c>
      <c r="K958" s="610">
        <v>13941</v>
      </c>
      <c r="L958" s="610">
        <v>117497.79233914353</v>
      </c>
      <c r="M958" s="610">
        <v>881600000</v>
      </c>
      <c r="N958" s="610">
        <v>881600000</v>
      </c>
      <c r="O958" s="610">
        <f t="shared" si="53"/>
        <v>0</v>
      </c>
      <c r="P958" s="610"/>
      <c r="Q958" s="656"/>
      <c r="R958" s="656" t="s">
        <v>1206</v>
      </c>
      <c r="S958" s="492" t="s">
        <v>1207</v>
      </c>
      <c r="T958" s="492" t="s">
        <v>1208</v>
      </c>
      <c r="U958" s="13"/>
      <c r="AB958" s="252"/>
    </row>
    <row r="959" spans="1:28" s="26" customFormat="1" hidden="1">
      <c r="A959" s="93" t="s">
        <v>1480</v>
      </c>
      <c r="B959" s="491" t="s">
        <v>476</v>
      </c>
      <c r="C959" s="654" t="s">
        <v>487</v>
      </c>
      <c r="D959" s="654" t="s">
        <v>288</v>
      </c>
      <c r="E959" s="627"/>
      <c r="F959" s="657"/>
      <c r="G959" s="657"/>
      <c r="H959" s="657"/>
      <c r="I959" s="650"/>
      <c r="J959" s="440">
        <v>39199</v>
      </c>
      <c r="K959" s="657">
        <v>0</v>
      </c>
      <c r="L959" s="657"/>
      <c r="M959" s="657">
        <v>428431005</v>
      </c>
      <c r="N959" s="657">
        <v>163975000</v>
      </c>
      <c r="O959" s="657">
        <f t="shared" si="53"/>
        <v>264456005</v>
      </c>
      <c r="P959" s="657"/>
      <c r="Q959" s="654"/>
      <c r="R959" s="654" t="s">
        <v>1206</v>
      </c>
      <c r="S959" s="493" t="s">
        <v>1209</v>
      </c>
      <c r="T959" s="493" t="s">
        <v>1208</v>
      </c>
      <c r="U959" s="13"/>
      <c r="AB959" s="252"/>
    </row>
    <row r="960" spans="1:28" s="26" customFormat="1" hidden="1">
      <c r="A960" s="93" t="s">
        <v>1480</v>
      </c>
      <c r="B960" s="491" t="s">
        <v>476</v>
      </c>
      <c r="C960" s="655" t="s">
        <v>487</v>
      </c>
      <c r="D960" s="655" t="s">
        <v>288</v>
      </c>
      <c r="E960" s="606"/>
      <c r="F960" s="614"/>
      <c r="G960" s="614"/>
      <c r="H960" s="614"/>
      <c r="I960" s="613"/>
      <c r="J960" s="442">
        <v>39567</v>
      </c>
      <c r="K960" s="614">
        <v>0</v>
      </c>
      <c r="L960" s="614"/>
      <c r="M960" s="614">
        <v>328005718</v>
      </c>
      <c r="N960" s="614">
        <v>0</v>
      </c>
      <c r="O960" s="614">
        <f t="shared" si="53"/>
        <v>328005718</v>
      </c>
      <c r="P960" s="614">
        <f>+SUM(H958:H960)-SUM(N958:N960)</f>
        <v>0</v>
      </c>
      <c r="Q960" s="655"/>
      <c r="R960" s="655" t="s">
        <v>1206</v>
      </c>
      <c r="S960" s="494" t="s">
        <v>1210</v>
      </c>
      <c r="T960" s="494" t="s">
        <v>1208</v>
      </c>
      <c r="U960" s="13"/>
      <c r="AB960" s="252"/>
    </row>
    <row r="961" spans="1:28" s="26" customFormat="1" hidden="1">
      <c r="A961" s="93" t="s">
        <v>1480</v>
      </c>
      <c r="B961" s="474" t="s">
        <v>476</v>
      </c>
      <c r="C961" s="656" t="s">
        <v>487</v>
      </c>
      <c r="D961" s="656" t="s">
        <v>289</v>
      </c>
      <c r="E961" s="605">
        <v>38418</v>
      </c>
      <c r="F961" s="610">
        <v>180000</v>
      </c>
      <c r="G961" s="610">
        <v>5000</v>
      </c>
      <c r="H961" s="610">
        <v>900000000</v>
      </c>
      <c r="I961" s="612" t="s">
        <v>499</v>
      </c>
      <c r="J961" s="605">
        <v>39147</v>
      </c>
      <c r="K961" s="610">
        <v>40000</v>
      </c>
      <c r="L961" s="610">
        <v>5832</v>
      </c>
      <c r="M961" s="610">
        <v>233280000</v>
      </c>
      <c r="N961" s="610">
        <v>200000000</v>
      </c>
      <c r="O961" s="610">
        <f t="shared" si="53"/>
        <v>33280000</v>
      </c>
      <c r="P961" s="610"/>
      <c r="Q961" s="656"/>
      <c r="R961" s="656" t="s">
        <v>1206</v>
      </c>
      <c r="S961" s="501" t="s">
        <v>480</v>
      </c>
      <c r="T961" s="501"/>
      <c r="U961" s="13"/>
      <c r="AB961" s="252"/>
    </row>
    <row r="962" spans="1:28" s="26" customFormat="1" hidden="1">
      <c r="A962" s="93" t="s">
        <v>1480</v>
      </c>
      <c r="B962" s="474" t="s">
        <v>476</v>
      </c>
      <c r="C962" s="654" t="s">
        <v>487</v>
      </c>
      <c r="D962" s="654" t="s">
        <v>289</v>
      </c>
      <c r="E962" s="627"/>
      <c r="F962" s="657"/>
      <c r="G962" s="657"/>
      <c r="H962" s="657"/>
      <c r="I962" s="650"/>
      <c r="J962" s="627">
        <v>39568</v>
      </c>
      <c r="K962" s="657">
        <v>120000</v>
      </c>
      <c r="L962" s="657">
        <v>6266.8089083333334</v>
      </c>
      <c r="M962" s="657">
        <v>752017069</v>
      </c>
      <c r="N962" s="657">
        <v>600000000</v>
      </c>
      <c r="O962" s="657">
        <f t="shared" si="53"/>
        <v>152017069</v>
      </c>
      <c r="P962" s="657"/>
      <c r="Q962" s="654"/>
      <c r="R962" s="654" t="s">
        <v>1206</v>
      </c>
      <c r="S962" s="499" t="s">
        <v>481</v>
      </c>
      <c r="T962" s="499"/>
      <c r="U962" s="13"/>
      <c r="AB962" s="252"/>
    </row>
    <row r="963" spans="1:28" s="26" customFormat="1" hidden="1">
      <c r="A963" s="93" t="s">
        <v>1480</v>
      </c>
      <c r="B963" s="474" t="s">
        <v>476</v>
      </c>
      <c r="C963" s="655" t="s">
        <v>487</v>
      </c>
      <c r="D963" s="655" t="s">
        <v>289</v>
      </c>
      <c r="E963" s="606"/>
      <c r="F963" s="614"/>
      <c r="G963" s="614"/>
      <c r="H963" s="614"/>
      <c r="I963" s="613"/>
      <c r="J963" s="606">
        <v>39575</v>
      </c>
      <c r="K963" s="614">
        <v>20000</v>
      </c>
      <c r="L963" s="614">
        <v>6372.0287500000004</v>
      </c>
      <c r="M963" s="614">
        <v>127440575</v>
      </c>
      <c r="N963" s="614">
        <v>100000000</v>
      </c>
      <c r="O963" s="614">
        <f t="shared" si="53"/>
        <v>27440575</v>
      </c>
      <c r="P963" s="614">
        <f>+SUM(H961:H963)-SUM(N961:N963)</f>
        <v>0</v>
      </c>
      <c r="Q963" s="655"/>
      <c r="R963" s="655" t="s">
        <v>1206</v>
      </c>
      <c r="S963" s="500" t="s">
        <v>482</v>
      </c>
      <c r="T963" s="500"/>
      <c r="U963" s="13"/>
      <c r="AB963" s="252"/>
    </row>
    <row r="964" spans="1:28" s="26" customFormat="1" hidden="1">
      <c r="A964" s="93" t="s">
        <v>1480</v>
      </c>
      <c r="B964" s="474" t="s">
        <v>476</v>
      </c>
      <c r="C964" s="656" t="s">
        <v>487</v>
      </c>
      <c r="D964" s="656" t="s">
        <v>290</v>
      </c>
      <c r="E964" s="605">
        <v>38464</v>
      </c>
      <c r="F964" s="610">
        <v>333330</v>
      </c>
      <c r="G964" s="610">
        <v>3000</v>
      </c>
      <c r="H964" s="610">
        <v>999990000</v>
      </c>
      <c r="I964" s="612" t="s">
        <v>1134</v>
      </c>
      <c r="J964" s="605">
        <v>39198</v>
      </c>
      <c r="K964" s="610">
        <v>169998</v>
      </c>
      <c r="L964" s="610">
        <v>8395.9035635713353</v>
      </c>
      <c r="M964" s="610">
        <v>1427286814</v>
      </c>
      <c r="N964" s="610">
        <v>509994000</v>
      </c>
      <c r="O964" s="610">
        <f t="shared" si="53"/>
        <v>917292814</v>
      </c>
      <c r="P964" s="610"/>
      <c r="Q964" s="656"/>
      <c r="R964" s="656" t="s">
        <v>1206</v>
      </c>
      <c r="S964" s="501" t="s">
        <v>483</v>
      </c>
      <c r="T964" s="501" t="s">
        <v>1208</v>
      </c>
      <c r="U964" s="13"/>
      <c r="AB964" s="252"/>
    </row>
    <row r="965" spans="1:28" s="26" customFormat="1" hidden="1">
      <c r="A965" s="93" t="s">
        <v>1480</v>
      </c>
      <c r="B965" s="474" t="s">
        <v>476</v>
      </c>
      <c r="C965" s="654" t="s">
        <v>487</v>
      </c>
      <c r="D965" s="654" t="s">
        <v>485</v>
      </c>
      <c r="E965" s="627">
        <v>39405</v>
      </c>
      <c r="F965" s="657">
        <v>-101686</v>
      </c>
      <c r="G965" s="657">
        <v>4316.9259726131477</v>
      </c>
      <c r="H965" s="657"/>
      <c r="I965" s="650"/>
      <c r="J965" s="627">
        <v>39426</v>
      </c>
      <c r="K965" s="657">
        <v>20000</v>
      </c>
      <c r="L965" s="657">
        <v>16644.599999999999</v>
      </c>
      <c r="M965" s="657">
        <v>332892000</v>
      </c>
      <c r="N965" s="657">
        <v>158970898</v>
      </c>
      <c r="O965" s="657">
        <f t="shared" si="53"/>
        <v>173921102</v>
      </c>
      <c r="P965" s="657"/>
      <c r="Q965" s="654"/>
      <c r="R965" s="654" t="s">
        <v>489</v>
      </c>
      <c r="S965" s="499" t="s">
        <v>484</v>
      </c>
      <c r="T965" s="499" t="s">
        <v>1208</v>
      </c>
      <c r="U965" s="13"/>
      <c r="AB965" s="252"/>
    </row>
    <row r="966" spans="1:28" s="26" customFormat="1" hidden="1">
      <c r="A966" s="93" t="s">
        <v>1480</v>
      </c>
      <c r="B966" s="474" t="s">
        <v>476</v>
      </c>
      <c r="C966" s="654" t="s">
        <v>487</v>
      </c>
      <c r="D966" s="654" t="s">
        <v>485</v>
      </c>
      <c r="E966" s="627"/>
      <c r="F966" s="657"/>
      <c r="G966" s="657"/>
      <c r="H966" s="657"/>
      <c r="I966" s="650"/>
      <c r="J966" s="627">
        <v>39433</v>
      </c>
      <c r="K966" s="657">
        <v>22345</v>
      </c>
      <c r="L966" s="657">
        <v>17381.769970910718</v>
      </c>
      <c r="M966" s="657">
        <v>388395650</v>
      </c>
      <c r="N966" s="657">
        <v>177610236</v>
      </c>
      <c r="O966" s="657">
        <f t="shared" si="53"/>
        <v>210785414</v>
      </c>
      <c r="P966" s="657"/>
      <c r="Q966" s="654"/>
      <c r="R966" s="654" t="s">
        <v>489</v>
      </c>
      <c r="S966" s="499" t="s">
        <v>484</v>
      </c>
      <c r="T966" s="499" t="s">
        <v>1208</v>
      </c>
      <c r="U966" s="13"/>
      <c r="AB966" s="252"/>
    </row>
    <row r="967" spans="1:28" s="26" customFormat="1" hidden="1">
      <c r="A967" s="93" t="s">
        <v>1480</v>
      </c>
      <c r="B967" s="474" t="s">
        <v>476</v>
      </c>
      <c r="C967" s="654" t="s">
        <v>487</v>
      </c>
      <c r="D967" s="654" t="s">
        <v>485</v>
      </c>
      <c r="E967" s="627"/>
      <c r="F967" s="657"/>
      <c r="G967" s="657"/>
      <c r="H967" s="657"/>
      <c r="I967" s="650"/>
      <c r="J967" s="627">
        <v>39533</v>
      </c>
      <c r="K967" s="657">
        <v>0</v>
      </c>
      <c r="L967" s="657"/>
      <c r="M967" s="657">
        <v>387667241</v>
      </c>
      <c r="N967" s="657">
        <v>0</v>
      </c>
      <c r="O967" s="657">
        <f t="shared" si="53"/>
        <v>387667241</v>
      </c>
      <c r="P967" s="657"/>
      <c r="Q967" s="654"/>
      <c r="R967" s="654" t="s">
        <v>1211</v>
      </c>
      <c r="S967" s="499" t="s">
        <v>486</v>
      </c>
      <c r="T967" s="499" t="s">
        <v>1208</v>
      </c>
      <c r="U967" s="13"/>
      <c r="AB967" s="252"/>
    </row>
    <row r="968" spans="1:28" s="26" customFormat="1" hidden="1">
      <c r="A968" s="93" t="s">
        <v>1480</v>
      </c>
      <c r="B968" s="474" t="s">
        <v>476</v>
      </c>
      <c r="C968" s="654" t="s">
        <v>487</v>
      </c>
      <c r="D968" s="654" t="s">
        <v>485</v>
      </c>
      <c r="E968" s="627"/>
      <c r="F968" s="657"/>
      <c r="G968" s="657"/>
      <c r="H968" s="657"/>
      <c r="I968" s="650"/>
      <c r="J968" s="627">
        <v>39994</v>
      </c>
      <c r="K968" s="657"/>
      <c r="L968" s="657"/>
      <c r="M968" s="657">
        <v>0</v>
      </c>
      <c r="N968" s="657">
        <v>63800323</v>
      </c>
      <c r="O968" s="657">
        <f t="shared" si="53"/>
        <v>-63800323</v>
      </c>
      <c r="P968" s="657"/>
      <c r="Q968" s="654"/>
      <c r="R968" s="654" t="s">
        <v>1212</v>
      </c>
      <c r="S968" s="499"/>
      <c r="T968" s="499" t="s">
        <v>1208</v>
      </c>
      <c r="U968" s="13"/>
      <c r="AB968" s="252"/>
    </row>
    <row r="969" spans="1:28" s="26" customFormat="1" hidden="1">
      <c r="A969" s="93" t="s">
        <v>1480</v>
      </c>
      <c r="B969" s="474" t="s">
        <v>476</v>
      </c>
      <c r="C969" s="654" t="s">
        <v>487</v>
      </c>
      <c r="D969" s="654" t="s">
        <v>485</v>
      </c>
      <c r="E969" s="627"/>
      <c r="F969" s="657"/>
      <c r="G969" s="657"/>
      <c r="H969" s="657"/>
      <c r="I969" s="650"/>
      <c r="J969" s="627">
        <v>40178</v>
      </c>
      <c r="K969" s="657"/>
      <c r="L969" s="657"/>
      <c r="M969" s="657">
        <v>0</v>
      </c>
      <c r="N969" s="657">
        <v>12767303</v>
      </c>
      <c r="O969" s="657">
        <f t="shared" si="53"/>
        <v>-12767303</v>
      </c>
      <c r="P969" s="657"/>
      <c r="Q969" s="654"/>
      <c r="R969" s="654" t="s">
        <v>1212</v>
      </c>
      <c r="S969" s="499"/>
      <c r="T969" s="499" t="s">
        <v>1208</v>
      </c>
      <c r="U969" s="13"/>
      <c r="AB969" s="252"/>
    </row>
    <row r="970" spans="1:28" s="26" customFormat="1" hidden="1">
      <c r="A970" s="93" t="s">
        <v>1480</v>
      </c>
      <c r="B970" s="474" t="s">
        <v>476</v>
      </c>
      <c r="C970" s="654" t="s">
        <v>487</v>
      </c>
      <c r="D970" s="654" t="s">
        <v>485</v>
      </c>
      <c r="E970" s="627"/>
      <c r="F970" s="657"/>
      <c r="G970" s="657"/>
      <c r="H970" s="657"/>
      <c r="I970" s="650"/>
      <c r="J970" s="627">
        <v>40543</v>
      </c>
      <c r="K970" s="657"/>
      <c r="L970" s="657"/>
      <c r="M970" s="657">
        <v>0</v>
      </c>
      <c r="N970" s="657">
        <v>-16575872</v>
      </c>
      <c r="O970" s="657">
        <f t="shared" si="53"/>
        <v>16575872</v>
      </c>
      <c r="P970" s="657"/>
      <c r="Q970" s="654"/>
      <c r="R970" s="654" t="s">
        <v>1213</v>
      </c>
      <c r="S970" s="499"/>
      <c r="T970" s="499" t="s">
        <v>1208</v>
      </c>
      <c r="U970" s="13"/>
      <c r="AB970" s="252"/>
    </row>
    <row r="971" spans="1:28" s="26" customFormat="1" hidden="1">
      <c r="A971" s="93" t="s">
        <v>1480</v>
      </c>
      <c r="B971" s="474" t="s">
        <v>476</v>
      </c>
      <c r="C971" s="655" t="s">
        <v>487</v>
      </c>
      <c r="D971" s="655" t="s">
        <v>485</v>
      </c>
      <c r="E971" s="606"/>
      <c r="F971" s="614"/>
      <c r="G971" s="614"/>
      <c r="H971" s="614"/>
      <c r="I971" s="613"/>
      <c r="J971" s="606">
        <v>40596</v>
      </c>
      <c r="K971" s="614">
        <v>19301</v>
      </c>
      <c r="L971" s="614"/>
      <c r="M971" s="614">
        <v>151348688</v>
      </c>
      <c r="N971" s="614">
        <v>93423112</v>
      </c>
      <c r="O971" s="614">
        <f t="shared" si="53"/>
        <v>57925576</v>
      </c>
      <c r="P971" s="614">
        <f>+SUM(H964:H971)-SUM(N964:N971)</f>
        <v>0</v>
      </c>
      <c r="Q971" s="655"/>
      <c r="R971" s="655"/>
      <c r="S971" s="500"/>
      <c r="T971" s="500" t="s">
        <v>1208</v>
      </c>
      <c r="U971" s="13"/>
      <c r="AB971" s="252"/>
    </row>
    <row r="972" spans="1:28" s="26" customFormat="1" hidden="1">
      <c r="A972" s="93" t="s">
        <v>1480</v>
      </c>
      <c r="B972" s="474" t="s">
        <v>476</v>
      </c>
      <c r="C972" s="656" t="s">
        <v>487</v>
      </c>
      <c r="D972" s="656" t="s">
        <v>291</v>
      </c>
      <c r="E972" s="605">
        <v>38481</v>
      </c>
      <c r="F972" s="610">
        <v>421050</v>
      </c>
      <c r="G972" s="610">
        <v>4750</v>
      </c>
      <c r="H972" s="610">
        <v>1999987500</v>
      </c>
      <c r="I972" s="612" t="s">
        <v>1134</v>
      </c>
      <c r="J972" s="605">
        <v>38989</v>
      </c>
      <c r="K972" s="610">
        <v>66000</v>
      </c>
      <c r="L972" s="610">
        <v>9788.7933333333331</v>
      </c>
      <c r="M972" s="610">
        <v>646060360</v>
      </c>
      <c r="N972" s="610">
        <v>313500000</v>
      </c>
      <c r="O972" s="610">
        <f t="shared" si="53"/>
        <v>332560360</v>
      </c>
      <c r="P972" s="610"/>
      <c r="Q972" s="656"/>
      <c r="R972" s="656" t="s">
        <v>489</v>
      </c>
      <c r="S972" s="501" t="s">
        <v>488</v>
      </c>
      <c r="T972" s="501" t="s">
        <v>1208</v>
      </c>
      <c r="U972" s="13"/>
      <c r="AB972" s="252"/>
    </row>
    <row r="973" spans="1:28" s="26" customFormat="1" hidden="1">
      <c r="A973" s="93" t="s">
        <v>1480</v>
      </c>
      <c r="B973" s="474" t="s">
        <v>476</v>
      </c>
      <c r="C973" s="654" t="s">
        <v>487</v>
      </c>
      <c r="D973" s="654" t="s">
        <v>291</v>
      </c>
      <c r="E973" s="627"/>
      <c r="F973" s="657"/>
      <c r="G973" s="657"/>
      <c r="H973" s="657"/>
      <c r="I973" s="650"/>
      <c r="J973" s="627">
        <v>39052</v>
      </c>
      <c r="K973" s="657">
        <v>200000</v>
      </c>
      <c r="L973" s="657">
        <v>8000</v>
      </c>
      <c r="M973" s="657">
        <v>1600000000</v>
      </c>
      <c r="N973" s="657">
        <v>950000000</v>
      </c>
      <c r="O973" s="657">
        <f t="shared" si="53"/>
        <v>650000000</v>
      </c>
      <c r="P973" s="657"/>
      <c r="Q973" s="654"/>
      <c r="R973" s="654" t="s">
        <v>489</v>
      </c>
      <c r="S973" s="499" t="s">
        <v>488</v>
      </c>
      <c r="T973" s="499" t="s">
        <v>1208</v>
      </c>
      <c r="U973" s="13"/>
      <c r="AB973" s="252"/>
    </row>
    <row r="974" spans="1:28" s="26" customFormat="1" hidden="1">
      <c r="A974" s="93" t="s">
        <v>1480</v>
      </c>
      <c r="B974" s="474" t="s">
        <v>476</v>
      </c>
      <c r="C974" s="654" t="s">
        <v>487</v>
      </c>
      <c r="D974" s="654" t="s">
        <v>291</v>
      </c>
      <c r="E974" s="627"/>
      <c r="F974" s="657"/>
      <c r="G974" s="657"/>
      <c r="H974" s="657"/>
      <c r="I974" s="650"/>
      <c r="J974" s="627">
        <v>39160</v>
      </c>
      <c r="K974" s="657">
        <v>63491</v>
      </c>
      <c r="L974" s="657">
        <v>8142.2333874092392</v>
      </c>
      <c r="M974" s="657">
        <v>516958540</v>
      </c>
      <c r="N974" s="657">
        <v>301582250</v>
      </c>
      <c r="O974" s="657">
        <f t="shared" si="53"/>
        <v>215376290</v>
      </c>
      <c r="P974" s="657"/>
      <c r="Q974" s="654"/>
      <c r="R974" s="654" t="s">
        <v>489</v>
      </c>
      <c r="S974" s="499" t="s">
        <v>488</v>
      </c>
      <c r="T974" s="499" t="s">
        <v>1208</v>
      </c>
      <c r="U974" s="13"/>
      <c r="AB974" s="252"/>
    </row>
    <row r="975" spans="1:28" s="26" customFormat="1" hidden="1">
      <c r="A975" s="93" t="s">
        <v>1480</v>
      </c>
      <c r="B975" s="474" t="s">
        <v>476</v>
      </c>
      <c r="C975" s="654" t="s">
        <v>487</v>
      </c>
      <c r="D975" s="654" t="s">
        <v>291</v>
      </c>
      <c r="E975" s="627"/>
      <c r="F975" s="657"/>
      <c r="G975" s="657"/>
      <c r="H975" s="657"/>
      <c r="I975" s="650"/>
      <c r="J975" s="627">
        <v>39161</v>
      </c>
      <c r="K975" s="657">
        <v>20326</v>
      </c>
      <c r="L975" s="657">
        <v>8156.178785791597</v>
      </c>
      <c r="M975" s="657">
        <v>165782490</v>
      </c>
      <c r="N975" s="657">
        <v>96548500</v>
      </c>
      <c r="O975" s="657">
        <f t="shared" si="53"/>
        <v>69233990</v>
      </c>
      <c r="P975" s="657"/>
      <c r="Q975" s="654"/>
      <c r="R975" s="654" t="s">
        <v>489</v>
      </c>
      <c r="S975" s="499" t="s">
        <v>488</v>
      </c>
      <c r="T975" s="499" t="s">
        <v>1208</v>
      </c>
      <c r="U975" s="13"/>
      <c r="AB975" s="252"/>
    </row>
    <row r="976" spans="1:28" s="26" customFormat="1" hidden="1">
      <c r="A976" s="93" t="s">
        <v>1480</v>
      </c>
      <c r="B976" s="474" t="s">
        <v>476</v>
      </c>
      <c r="C976" s="654" t="s">
        <v>487</v>
      </c>
      <c r="D976" s="654" t="s">
        <v>291</v>
      </c>
      <c r="E976" s="627"/>
      <c r="F976" s="657"/>
      <c r="G976" s="657"/>
      <c r="H976" s="657"/>
      <c r="I976" s="650"/>
      <c r="J976" s="627">
        <v>39162</v>
      </c>
      <c r="K976" s="657">
        <v>11846</v>
      </c>
      <c r="L976" s="657">
        <v>8053.2399122066518</v>
      </c>
      <c r="M976" s="657">
        <v>95398680</v>
      </c>
      <c r="N976" s="657">
        <v>56268500</v>
      </c>
      <c r="O976" s="657">
        <f t="shared" si="53"/>
        <v>39130180</v>
      </c>
      <c r="P976" s="657"/>
      <c r="Q976" s="654"/>
      <c r="R976" s="654" t="s">
        <v>489</v>
      </c>
      <c r="S976" s="499" t="s">
        <v>488</v>
      </c>
      <c r="T976" s="499" t="s">
        <v>1208</v>
      </c>
      <c r="U976" s="13"/>
      <c r="AB976" s="252"/>
    </row>
    <row r="977" spans="1:28" s="26" customFormat="1" hidden="1">
      <c r="A977" s="93" t="s">
        <v>1480</v>
      </c>
      <c r="B977" s="474" t="s">
        <v>476</v>
      </c>
      <c r="C977" s="654" t="s">
        <v>487</v>
      </c>
      <c r="D977" s="654" t="s">
        <v>291</v>
      </c>
      <c r="E977" s="627"/>
      <c r="F977" s="657"/>
      <c r="G977" s="657"/>
      <c r="H977" s="657"/>
      <c r="I977" s="650"/>
      <c r="J977" s="627">
        <v>39163</v>
      </c>
      <c r="K977" s="657">
        <v>39387</v>
      </c>
      <c r="L977" s="657">
        <v>8175.0539518115111</v>
      </c>
      <c r="M977" s="657">
        <v>321990850</v>
      </c>
      <c r="N977" s="657">
        <v>187088250</v>
      </c>
      <c r="O977" s="657">
        <f t="shared" si="53"/>
        <v>134902600</v>
      </c>
      <c r="P977" s="657"/>
      <c r="Q977" s="654"/>
      <c r="R977" s="654" t="s">
        <v>489</v>
      </c>
      <c r="S977" s="499" t="s">
        <v>488</v>
      </c>
      <c r="T977" s="499" t="s">
        <v>1208</v>
      </c>
      <c r="U977" s="13"/>
      <c r="AB977" s="252"/>
    </row>
    <row r="978" spans="1:28" s="26" customFormat="1" hidden="1">
      <c r="A978" s="93" t="s">
        <v>1480</v>
      </c>
      <c r="B978" s="474" t="s">
        <v>476</v>
      </c>
      <c r="C978" s="655" t="s">
        <v>487</v>
      </c>
      <c r="D978" s="655" t="s">
        <v>291</v>
      </c>
      <c r="E978" s="606"/>
      <c r="F978" s="614"/>
      <c r="G978" s="614"/>
      <c r="H978" s="614"/>
      <c r="I978" s="613"/>
      <c r="J978" s="606">
        <v>39164</v>
      </c>
      <c r="K978" s="614">
        <v>20000</v>
      </c>
      <c r="L978" s="614">
        <v>8239.4349999999995</v>
      </c>
      <c r="M978" s="614">
        <v>164788700</v>
      </c>
      <c r="N978" s="614">
        <v>95000000</v>
      </c>
      <c r="O978" s="614">
        <f t="shared" si="53"/>
        <v>69788700</v>
      </c>
      <c r="P978" s="614">
        <f>+SUM(H972:H978)-SUM(N972:N978)</f>
        <v>0</v>
      </c>
      <c r="Q978" s="655"/>
      <c r="R978" s="655" t="s">
        <v>489</v>
      </c>
      <c r="S978" s="500" t="s">
        <v>488</v>
      </c>
      <c r="T978" s="500" t="s">
        <v>1208</v>
      </c>
      <c r="U978" s="13"/>
      <c r="AB978" s="252"/>
    </row>
    <row r="979" spans="1:28" s="26" customFormat="1" hidden="1">
      <c r="A979" s="93" t="s">
        <v>1480</v>
      </c>
      <c r="B979" s="474" t="s">
        <v>476</v>
      </c>
      <c r="C979" s="656" t="s">
        <v>492</v>
      </c>
      <c r="D979" s="656" t="s">
        <v>292</v>
      </c>
      <c r="E979" s="605">
        <v>38645</v>
      </c>
      <c r="F979" s="610">
        <v>0</v>
      </c>
      <c r="G979" s="610"/>
      <c r="H979" s="610">
        <v>1000000000</v>
      </c>
      <c r="I979" s="612" t="s">
        <v>1214</v>
      </c>
      <c r="J979" s="605">
        <v>38737</v>
      </c>
      <c r="K979" s="610">
        <v>0</v>
      </c>
      <c r="L979" s="610"/>
      <c r="M979" s="610">
        <v>5095890</v>
      </c>
      <c r="N979" s="610">
        <v>0</v>
      </c>
      <c r="O979" s="610">
        <f t="shared" si="53"/>
        <v>5095890</v>
      </c>
      <c r="P979" s="610"/>
      <c r="Q979" s="656"/>
      <c r="R979" s="656" t="s">
        <v>493</v>
      </c>
      <c r="S979" s="501" t="s">
        <v>346</v>
      </c>
      <c r="T979" s="501" t="s">
        <v>1208</v>
      </c>
      <c r="U979" s="13"/>
      <c r="AB979" s="252"/>
    </row>
    <row r="980" spans="1:28" s="26" customFormat="1" hidden="1">
      <c r="A980" s="93" t="s">
        <v>1480</v>
      </c>
      <c r="B980" s="474" t="s">
        <v>476</v>
      </c>
      <c r="C980" s="654" t="s">
        <v>492</v>
      </c>
      <c r="D980" s="654" t="s">
        <v>292</v>
      </c>
      <c r="E980" s="627"/>
      <c r="F980" s="657"/>
      <c r="G980" s="657"/>
      <c r="H980" s="657"/>
      <c r="I980" s="650"/>
      <c r="J980" s="627">
        <v>38832</v>
      </c>
      <c r="K980" s="657">
        <v>0</v>
      </c>
      <c r="L980" s="657"/>
      <c r="M980" s="657">
        <v>5205479</v>
      </c>
      <c r="N980" s="657">
        <v>0</v>
      </c>
      <c r="O980" s="657">
        <f t="shared" si="53"/>
        <v>5205479</v>
      </c>
      <c r="P980" s="657"/>
      <c r="Q980" s="654"/>
      <c r="R980" s="654" t="s">
        <v>493</v>
      </c>
      <c r="S980" s="499" t="s">
        <v>346</v>
      </c>
      <c r="T980" s="499" t="s">
        <v>1208</v>
      </c>
      <c r="U980" s="13"/>
      <c r="AB980" s="252"/>
    </row>
    <row r="981" spans="1:28" s="26" customFormat="1" hidden="1">
      <c r="A981" s="93" t="s">
        <v>1480</v>
      </c>
      <c r="B981" s="474" t="s">
        <v>476</v>
      </c>
      <c r="C981" s="654" t="s">
        <v>492</v>
      </c>
      <c r="D981" s="654" t="s">
        <v>292</v>
      </c>
      <c r="E981" s="627"/>
      <c r="F981" s="657"/>
      <c r="G981" s="657"/>
      <c r="H981" s="657"/>
      <c r="I981" s="650"/>
      <c r="J981" s="627">
        <v>38923</v>
      </c>
      <c r="K981" s="657">
        <v>0</v>
      </c>
      <c r="L981" s="657"/>
      <c r="M981" s="657">
        <v>4986301</v>
      </c>
      <c r="N981" s="657">
        <v>0</v>
      </c>
      <c r="O981" s="657">
        <f t="shared" si="53"/>
        <v>4986301</v>
      </c>
      <c r="P981" s="657"/>
      <c r="Q981" s="654"/>
      <c r="R981" s="654" t="s">
        <v>493</v>
      </c>
      <c r="S981" s="499" t="s">
        <v>346</v>
      </c>
      <c r="T981" s="499" t="s">
        <v>1208</v>
      </c>
      <c r="U981" s="13"/>
      <c r="AB981" s="252"/>
    </row>
    <row r="982" spans="1:28" s="26" customFormat="1" hidden="1">
      <c r="A982" s="93" t="s">
        <v>1480</v>
      </c>
      <c r="B982" s="474" t="s">
        <v>476</v>
      </c>
      <c r="C982" s="654" t="s">
        <v>492</v>
      </c>
      <c r="D982" s="654" t="s">
        <v>292</v>
      </c>
      <c r="E982" s="627"/>
      <c r="F982" s="657"/>
      <c r="G982" s="657"/>
      <c r="H982" s="657"/>
      <c r="I982" s="650"/>
      <c r="J982" s="627">
        <v>39015</v>
      </c>
      <c r="K982" s="657">
        <v>0</v>
      </c>
      <c r="L982" s="657"/>
      <c r="M982" s="657">
        <v>5041096</v>
      </c>
      <c r="N982" s="657">
        <v>0</v>
      </c>
      <c r="O982" s="657">
        <f t="shared" si="53"/>
        <v>5041096</v>
      </c>
      <c r="P982" s="657"/>
      <c r="Q982" s="654"/>
      <c r="R982" s="654" t="s">
        <v>493</v>
      </c>
      <c r="S982" s="499" t="s">
        <v>346</v>
      </c>
      <c r="T982" s="499" t="s">
        <v>1208</v>
      </c>
      <c r="U982" s="13"/>
      <c r="AB982" s="252"/>
    </row>
    <row r="983" spans="1:28" s="26" customFormat="1" hidden="1">
      <c r="A983" s="93" t="s">
        <v>1480</v>
      </c>
      <c r="B983" s="474" t="s">
        <v>476</v>
      </c>
      <c r="C983" s="654" t="s">
        <v>492</v>
      </c>
      <c r="D983" s="654" t="s">
        <v>292</v>
      </c>
      <c r="E983" s="627"/>
      <c r="F983" s="657"/>
      <c r="G983" s="657"/>
      <c r="H983" s="657"/>
      <c r="I983" s="650"/>
      <c r="J983" s="440">
        <v>39107</v>
      </c>
      <c r="K983" s="657">
        <v>0</v>
      </c>
      <c r="L983" s="657"/>
      <c r="M983" s="657">
        <v>5041096</v>
      </c>
      <c r="N983" s="657">
        <v>0</v>
      </c>
      <c r="O983" s="657">
        <f t="shared" si="53"/>
        <v>5041096</v>
      </c>
      <c r="P983" s="657"/>
      <c r="Q983" s="654"/>
      <c r="R983" s="654" t="s">
        <v>493</v>
      </c>
      <c r="S983" s="499" t="s">
        <v>346</v>
      </c>
      <c r="T983" s="499" t="s">
        <v>1208</v>
      </c>
      <c r="U983" s="13"/>
      <c r="AB983" s="252"/>
    </row>
    <row r="984" spans="1:28" s="26" customFormat="1" hidden="1">
      <c r="A984" s="93" t="s">
        <v>1480</v>
      </c>
      <c r="B984" s="474" t="s">
        <v>476</v>
      </c>
      <c r="C984" s="654" t="s">
        <v>492</v>
      </c>
      <c r="D984" s="654" t="s">
        <v>292</v>
      </c>
      <c r="E984" s="627"/>
      <c r="F984" s="657"/>
      <c r="G984" s="657"/>
      <c r="H984" s="657"/>
      <c r="I984" s="650"/>
      <c r="J984" s="440">
        <v>39197</v>
      </c>
      <c r="K984" s="657">
        <v>0</v>
      </c>
      <c r="L984" s="657"/>
      <c r="M984" s="657">
        <v>4931507</v>
      </c>
      <c r="N984" s="657">
        <v>0</v>
      </c>
      <c r="O984" s="657">
        <f t="shared" si="53"/>
        <v>4931507</v>
      </c>
      <c r="P984" s="657"/>
      <c r="Q984" s="654"/>
      <c r="R984" s="654" t="s">
        <v>493</v>
      </c>
      <c r="S984" s="499" t="s">
        <v>346</v>
      </c>
      <c r="T984" s="499" t="s">
        <v>1208</v>
      </c>
      <c r="U984" s="13"/>
      <c r="AB984" s="252"/>
    </row>
    <row r="985" spans="1:28" s="26" customFormat="1" hidden="1">
      <c r="A985" s="93" t="s">
        <v>1480</v>
      </c>
      <c r="B985" s="474" t="s">
        <v>476</v>
      </c>
      <c r="C985" s="654" t="s">
        <v>492</v>
      </c>
      <c r="D985" s="654" t="s">
        <v>292</v>
      </c>
      <c r="E985" s="627"/>
      <c r="F985" s="657"/>
      <c r="G985" s="657"/>
      <c r="H985" s="657"/>
      <c r="I985" s="650"/>
      <c r="J985" s="440">
        <v>39286</v>
      </c>
      <c r="K985" s="657">
        <v>0</v>
      </c>
      <c r="L985" s="657"/>
      <c r="M985" s="657">
        <v>4986301</v>
      </c>
      <c r="N985" s="657">
        <v>0</v>
      </c>
      <c r="O985" s="657">
        <f t="shared" si="53"/>
        <v>4986301</v>
      </c>
      <c r="P985" s="657"/>
      <c r="Q985" s="654"/>
      <c r="R985" s="654" t="s">
        <v>493</v>
      </c>
      <c r="S985" s="499" t="s">
        <v>346</v>
      </c>
      <c r="T985" s="499" t="s">
        <v>1208</v>
      </c>
      <c r="U985" s="13"/>
      <c r="AB985" s="252"/>
    </row>
    <row r="986" spans="1:28" s="26" customFormat="1" hidden="1">
      <c r="A986" s="93" t="s">
        <v>1480</v>
      </c>
      <c r="B986" s="474" t="s">
        <v>476</v>
      </c>
      <c r="C986" s="654" t="s">
        <v>492</v>
      </c>
      <c r="D986" s="654" t="s">
        <v>292</v>
      </c>
      <c r="E986" s="627"/>
      <c r="F986" s="657"/>
      <c r="G986" s="657"/>
      <c r="H986" s="657"/>
      <c r="I986" s="650"/>
      <c r="J986" s="440">
        <v>39378</v>
      </c>
      <c r="K986" s="657">
        <v>0</v>
      </c>
      <c r="L986" s="657"/>
      <c r="M986" s="657">
        <v>5041096</v>
      </c>
      <c r="N986" s="657">
        <v>0</v>
      </c>
      <c r="O986" s="657">
        <f t="shared" si="53"/>
        <v>5041096</v>
      </c>
      <c r="P986" s="657"/>
      <c r="Q986" s="654"/>
      <c r="R986" s="654" t="s">
        <v>493</v>
      </c>
      <c r="S986" s="499" t="s">
        <v>346</v>
      </c>
      <c r="T986" s="499" t="s">
        <v>1208</v>
      </c>
      <c r="U986" s="13"/>
      <c r="AB986" s="252"/>
    </row>
    <row r="987" spans="1:28" s="26" customFormat="1" hidden="1">
      <c r="A987" s="93" t="s">
        <v>1480</v>
      </c>
      <c r="B987" s="474" t="s">
        <v>476</v>
      </c>
      <c r="C987" s="654" t="s">
        <v>492</v>
      </c>
      <c r="D987" s="654" t="s">
        <v>292</v>
      </c>
      <c r="E987" s="627"/>
      <c r="F987" s="657"/>
      <c r="G987" s="657"/>
      <c r="H987" s="657"/>
      <c r="I987" s="650"/>
      <c r="J987" s="440">
        <v>39472</v>
      </c>
      <c r="K987" s="657">
        <v>0</v>
      </c>
      <c r="L987" s="657"/>
      <c r="M987" s="657">
        <v>5041096</v>
      </c>
      <c r="N987" s="657">
        <v>0</v>
      </c>
      <c r="O987" s="657">
        <f t="shared" si="53"/>
        <v>5041096</v>
      </c>
      <c r="P987" s="657"/>
      <c r="Q987" s="654"/>
      <c r="R987" s="654" t="s">
        <v>493</v>
      </c>
      <c r="S987" s="499" t="s">
        <v>346</v>
      </c>
      <c r="T987" s="499" t="s">
        <v>1208</v>
      </c>
      <c r="U987" s="13"/>
      <c r="AB987" s="252"/>
    </row>
    <row r="988" spans="1:28" s="26" customFormat="1" hidden="1">
      <c r="A988" s="93" t="s">
        <v>1480</v>
      </c>
      <c r="B988" s="474" t="s">
        <v>476</v>
      </c>
      <c r="C988" s="654" t="s">
        <v>492</v>
      </c>
      <c r="D988" s="654" t="s">
        <v>292</v>
      </c>
      <c r="E988" s="627"/>
      <c r="F988" s="657"/>
      <c r="G988" s="657"/>
      <c r="H988" s="657"/>
      <c r="I988" s="650"/>
      <c r="J988" s="440">
        <v>39545</v>
      </c>
      <c r="K988" s="657">
        <v>0</v>
      </c>
      <c r="L988" s="657"/>
      <c r="M988" s="657">
        <v>814518538</v>
      </c>
      <c r="N988" s="657">
        <v>700000000</v>
      </c>
      <c r="O988" s="657">
        <f t="shared" si="53"/>
        <v>114518538</v>
      </c>
      <c r="P988" s="657"/>
      <c r="Q988" s="654"/>
      <c r="R988" s="654" t="s">
        <v>493</v>
      </c>
      <c r="S988" s="499" t="s">
        <v>494</v>
      </c>
      <c r="T988" s="499" t="s">
        <v>1208</v>
      </c>
      <c r="U988" s="13"/>
      <c r="AB988" s="252"/>
    </row>
    <row r="989" spans="1:28" s="26" customFormat="1" hidden="1">
      <c r="A989" s="93" t="s">
        <v>1480</v>
      </c>
      <c r="B989" s="474" t="s">
        <v>476</v>
      </c>
      <c r="C989" s="654" t="s">
        <v>492</v>
      </c>
      <c r="D989" s="654" t="s">
        <v>292</v>
      </c>
      <c r="E989" s="627"/>
      <c r="F989" s="657"/>
      <c r="G989" s="657"/>
      <c r="H989" s="657"/>
      <c r="I989" s="650"/>
      <c r="J989" s="440">
        <v>39563</v>
      </c>
      <c r="K989" s="657">
        <v>0</v>
      </c>
      <c r="L989" s="657"/>
      <c r="M989" s="657">
        <v>1495890</v>
      </c>
      <c r="N989" s="657">
        <v>0</v>
      </c>
      <c r="O989" s="657">
        <f t="shared" si="53"/>
        <v>1495890</v>
      </c>
      <c r="P989" s="657"/>
      <c r="Q989" s="654"/>
      <c r="R989" s="654" t="s">
        <v>493</v>
      </c>
      <c r="S989" s="499" t="s">
        <v>346</v>
      </c>
      <c r="T989" s="499" t="s">
        <v>1208</v>
      </c>
      <c r="U989" s="13"/>
      <c r="AB989" s="252"/>
    </row>
    <row r="990" spans="1:28" s="26" customFormat="1" hidden="1">
      <c r="A990" s="93" t="s">
        <v>1480</v>
      </c>
      <c r="B990" s="474" t="s">
        <v>476</v>
      </c>
      <c r="C990" s="655" t="s">
        <v>492</v>
      </c>
      <c r="D990" s="655" t="s">
        <v>292</v>
      </c>
      <c r="E990" s="606"/>
      <c r="F990" s="614"/>
      <c r="G990" s="614"/>
      <c r="H990" s="614"/>
      <c r="I990" s="613"/>
      <c r="J990" s="442">
        <v>39588</v>
      </c>
      <c r="K990" s="614">
        <v>0</v>
      </c>
      <c r="L990" s="614"/>
      <c r="M990" s="614">
        <v>352035857</v>
      </c>
      <c r="N990" s="614">
        <v>300000000</v>
      </c>
      <c r="O990" s="614">
        <f t="shared" si="53"/>
        <v>52035857</v>
      </c>
      <c r="P990" s="614">
        <f>+SUM(H979:H990)-SUM(N979:N990)</f>
        <v>0</v>
      </c>
      <c r="Q990" s="655"/>
      <c r="R990" s="655" t="s">
        <v>493</v>
      </c>
      <c r="S990" s="500" t="s">
        <v>495</v>
      </c>
      <c r="T990" s="500" t="s">
        <v>1208</v>
      </c>
      <c r="U990" s="13"/>
      <c r="AB990" s="252"/>
    </row>
    <row r="991" spans="1:28" s="26" customFormat="1" hidden="1">
      <c r="A991" s="93" t="s">
        <v>1480</v>
      </c>
      <c r="B991" s="474" t="s">
        <v>476</v>
      </c>
      <c r="C991" s="656" t="s">
        <v>492</v>
      </c>
      <c r="D991" s="656" t="s">
        <v>496</v>
      </c>
      <c r="E991" s="605">
        <v>38729</v>
      </c>
      <c r="F991" s="610">
        <v>0</v>
      </c>
      <c r="G991" s="610"/>
      <c r="H991" s="610">
        <v>500000000</v>
      </c>
      <c r="I991" s="612" t="s">
        <v>1214</v>
      </c>
      <c r="J991" s="605">
        <v>38832</v>
      </c>
      <c r="K991" s="610">
        <v>0</v>
      </c>
      <c r="L991" s="610"/>
      <c r="M991" s="610">
        <v>4232877</v>
      </c>
      <c r="N991" s="610">
        <v>0</v>
      </c>
      <c r="O991" s="610">
        <f t="shared" si="53"/>
        <v>4232877</v>
      </c>
      <c r="P991" s="610"/>
      <c r="Q991" s="656"/>
      <c r="R991" s="656" t="s">
        <v>493</v>
      </c>
      <c r="S991" s="501" t="s">
        <v>346</v>
      </c>
      <c r="T991" s="501" t="s">
        <v>1208</v>
      </c>
      <c r="U991" s="13"/>
      <c r="AB991" s="252"/>
    </row>
    <row r="992" spans="1:28" s="26" customFormat="1" hidden="1">
      <c r="A992" s="93" t="s">
        <v>1480</v>
      </c>
      <c r="B992" s="474" t="s">
        <v>476</v>
      </c>
      <c r="C992" s="654" t="s">
        <v>492</v>
      </c>
      <c r="D992" s="654" t="s">
        <v>496</v>
      </c>
      <c r="E992" s="627"/>
      <c r="F992" s="657">
        <v>31506</v>
      </c>
      <c r="G992" s="657">
        <v>15870</v>
      </c>
      <c r="H992" s="657"/>
      <c r="I992" s="650" t="s">
        <v>1215</v>
      </c>
      <c r="J992" s="627">
        <v>38923</v>
      </c>
      <c r="K992" s="657">
        <v>0</v>
      </c>
      <c r="L992" s="657"/>
      <c r="M992" s="657">
        <v>3739726</v>
      </c>
      <c r="N992" s="657">
        <v>0</v>
      </c>
      <c r="O992" s="657">
        <f t="shared" si="53"/>
        <v>3739726</v>
      </c>
      <c r="P992" s="657"/>
      <c r="Q992" s="654"/>
      <c r="R992" s="654" t="s">
        <v>493</v>
      </c>
      <c r="S992" s="499" t="s">
        <v>346</v>
      </c>
      <c r="T992" s="499" t="s">
        <v>1208</v>
      </c>
      <c r="U992" s="13"/>
      <c r="AB992" s="252"/>
    </row>
    <row r="993" spans="1:28" s="26" customFormat="1" hidden="1">
      <c r="A993" s="93" t="s">
        <v>1480</v>
      </c>
      <c r="B993" s="474" t="s">
        <v>476</v>
      </c>
      <c r="C993" s="654" t="s">
        <v>492</v>
      </c>
      <c r="D993" s="654" t="s">
        <v>496</v>
      </c>
      <c r="E993" s="627">
        <v>39994</v>
      </c>
      <c r="F993" s="657">
        <v>283554</v>
      </c>
      <c r="G993" s="657">
        <v>1586.9993017203071</v>
      </c>
      <c r="H993" s="657"/>
      <c r="I993" s="650" t="s">
        <v>1139</v>
      </c>
      <c r="J993" s="627">
        <v>39015</v>
      </c>
      <c r="K993" s="657">
        <v>0</v>
      </c>
      <c r="L993" s="657"/>
      <c r="M993" s="657">
        <v>3780822</v>
      </c>
      <c r="N993" s="657">
        <v>0</v>
      </c>
      <c r="O993" s="657">
        <f t="shared" si="53"/>
        <v>3780822</v>
      </c>
      <c r="P993" s="657"/>
      <c r="Q993" s="654"/>
      <c r="R993" s="654" t="s">
        <v>493</v>
      </c>
      <c r="S993" s="499" t="s">
        <v>346</v>
      </c>
      <c r="T993" s="499" t="s">
        <v>1208</v>
      </c>
      <c r="U993" s="13"/>
      <c r="AB993" s="252"/>
    </row>
    <row r="994" spans="1:28" s="26" customFormat="1" hidden="1">
      <c r="A994" s="93" t="s">
        <v>1480</v>
      </c>
      <c r="B994" s="474" t="s">
        <v>476</v>
      </c>
      <c r="C994" s="654" t="s">
        <v>492</v>
      </c>
      <c r="D994" s="654" t="s">
        <v>496</v>
      </c>
      <c r="E994" s="627"/>
      <c r="F994" s="657"/>
      <c r="G994" s="657"/>
      <c r="H994" s="657"/>
      <c r="I994" s="650"/>
      <c r="J994" s="440">
        <v>39107</v>
      </c>
      <c r="K994" s="657">
        <v>0</v>
      </c>
      <c r="L994" s="657"/>
      <c r="M994" s="657">
        <v>3780822</v>
      </c>
      <c r="N994" s="657">
        <v>0</v>
      </c>
      <c r="O994" s="657">
        <f t="shared" si="53"/>
        <v>3780822</v>
      </c>
      <c r="P994" s="657"/>
      <c r="Q994" s="654"/>
      <c r="R994" s="654" t="s">
        <v>493</v>
      </c>
      <c r="S994" s="499" t="s">
        <v>346</v>
      </c>
      <c r="T994" s="499" t="s">
        <v>1208</v>
      </c>
      <c r="U994" s="13"/>
      <c r="AB994" s="252"/>
    </row>
    <row r="995" spans="1:28" s="26" customFormat="1" hidden="1">
      <c r="A995" s="93" t="s">
        <v>1480</v>
      </c>
      <c r="B995" s="474" t="s">
        <v>476</v>
      </c>
      <c r="C995" s="654" t="s">
        <v>492</v>
      </c>
      <c r="D995" s="654" t="s">
        <v>496</v>
      </c>
      <c r="E995" s="627"/>
      <c r="F995" s="657"/>
      <c r="G995" s="657"/>
      <c r="H995" s="657"/>
      <c r="I995" s="650"/>
      <c r="J995" s="440">
        <v>39197</v>
      </c>
      <c r="K995" s="657">
        <v>0</v>
      </c>
      <c r="L995" s="657"/>
      <c r="M995" s="657">
        <v>3698630</v>
      </c>
      <c r="N995" s="657">
        <v>0</v>
      </c>
      <c r="O995" s="657">
        <f t="shared" si="53"/>
        <v>3698630</v>
      </c>
      <c r="P995" s="657"/>
      <c r="Q995" s="654"/>
      <c r="R995" s="654" t="s">
        <v>493</v>
      </c>
      <c r="S995" s="499" t="s">
        <v>346</v>
      </c>
      <c r="T995" s="499" t="s">
        <v>1208</v>
      </c>
      <c r="U995" s="13"/>
      <c r="AB995" s="252"/>
    </row>
    <row r="996" spans="1:28" s="26" customFormat="1" hidden="1">
      <c r="A996" s="93" t="s">
        <v>1480</v>
      </c>
      <c r="B996" s="474" t="s">
        <v>476</v>
      </c>
      <c r="C996" s="654" t="s">
        <v>492</v>
      </c>
      <c r="D996" s="654" t="s">
        <v>496</v>
      </c>
      <c r="E996" s="627"/>
      <c r="F996" s="657"/>
      <c r="G996" s="657"/>
      <c r="H996" s="657"/>
      <c r="I996" s="650"/>
      <c r="J996" s="440">
        <v>39286</v>
      </c>
      <c r="K996" s="657">
        <v>0</v>
      </c>
      <c r="L996" s="657"/>
      <c r="M996" s="657">
        <v>3739726</v>
      </c>
      <c r="N996" s="657">
        <v>0</v>
      </c>
      <c r="O996" s="657">
        <f t="shared" si="53"/>
        <v>3739726</v>
      </c>
      <c r="P996" s="657"/>
      <c r="Q996" s="654"/>
      <c r="R996" s="654" t="s">
        <v>493</v>
      </c>
      <c r="S996" s="499" t="s">
        <v>346</v>
      </c>
      <c r="T996" s="499" t="s">
        <v>1208</v>
      </c>
      <c r="U996" s="13"/>
      <c r="AB996" s="252"/>
    </row>
    <row r="997" spans="1:28" s="26" customFormat="1" hidden="1">
      <c r="A997" s="93" t="s">
        <v>1480</v>
      </c>
      <c r="B997" s="474" t="s">
        <v>476</v>
      </c>
      <c r="C997" s="654" t="s">
        <v>492</v>
      </c>
      <c r="D997" s="654" t="s">
        <v>496</v>
      </c>
      <c r="E997" s="627"/>
      <c r="F997" s="657"/>
      <c r="G997" s="657"/>
      <c r="H997" s="657"/>
      <c r="I997" s="650"/>
      <c r="J997" s="440">
        <v>39380</v>
      </c>
      <c r="K997" s="657">
        <v>0</v>
      </c>
      <c r="L997" s="657"/>
      <c r="M997" s="657">
        <v>3780822</v>
      </c>
      <c r="N997" s="657">
        <v>0</v>
      </c>
      <c r="O997" s="657">
        <f t="shared" ref="O997:O1060" si="54">+M997-N997</f>
        <v>3780822</v>
      </c>
      <c r="P997" s="657"/>
      <c r="Q997" s="654"/>
      <c r="R997" s="654" t="s">
        <v>493</v>
      </c>
      <c r="S997" s="499" t="s">
        <v>346</v>
      </c>
      <c r="T997" s="499" t="s">
        <v>1208</v>
      </c>
      <c r="U997" s="13"/>
      <c r="AB997" s="252"/>
    </row>
    <row r="998" spans="1:28" s="26" customFormat="1" hidden="1">
      <c r="A998" s="93" t="s">
        <v>1480</v>
      </c>
      <c r="B998" s="474" t="s">
        <v>476</v>
      </c>
      <c r="C998" s="654" t="s">
        <v>492</v>
      </c>
      <c r="D998" s="654" t="s">
        <v>496</v>
      </c>
      <c r="E998" s="627"/>
      <c r="F998" s="657"/>
      <c r="G998" s="657"/>
      <c r="H998" s="657"/>
      <c r="I998" s="650"/>
      <c r="J998" s="440">
        <v>39472</v>
      </c>
      <c r="K998" s="657">
        <v>0</v>
      </c>
      <c r="L998" s="657"/>
      <c r="M998" s="657">
        <v>3780822</v>
      </c>
      <c r="N998" s="657">
        <v>0</v>
      </c>
      <c r="O998" s="657">
        <f t="shared" si="54"/>
        <v>3780822</v>
      </c>
      <c r="P998" s="657"/>
      <c r="Q998" s="654"/>
      <c r="R998" s="654" t="s">
        <v>493</v>
      </c>
      <c r="S998" s="499" t="s">
        <v>346</v>
      </c>
      <c r="T998" s="499" t="s">
        <v>1208</v>
      </c>
      <c r="U998" s="13"/>
      <c r="AB998" s="252"/>
    </row>
    <row r="999" spans="1:28" s="26" customFormat="1" hidden="1">
      <c r="A999" s="93" t="s">
        <v>1480</v>
      </c>
      <c r="B999" s="474" t="s">
        <v>476</v>
      </c>
      <c r="C999" s="654" t="s">
        <v>492</v>
      </c>
      <c r="D999" s="654" t="s">
        <v>496</v>
      </c>
      <c r="E999" s="627"/>
      <c r="F999" s="657"/>
      <c r="G999" s="657"/>
      <c r="H999" s="657"/>
      <c r="I999" s="650"/>
      <c r="J999" s="440">
        <v>39563</v>
      </c>
      <c r="K999" s="657">
        <v>0</v>
      </c>
      <c r="L999" s="657"/>
      <c r="M999" s="657">
        <v>3739726</v>
      </c>
      <c r="N999" s="657">
        <v>0</v>
      </c>
      <c r="O999" s="657">
        <f t="shared" si="54"/>
        <v>3739726</v>
      </c>
      <c r="P999" s="657"/>
      <c r="Q999" s="654"/>
      <c r="R999" s="654" t="s">
        <v>493</v>
      </c>
      <c r="S999" s="499" t="s">
        <v>346</v>
      </c>
      <c r="T999" s="499" t="s">
        <v>1208</v>
      </c>
      <c r="U999" s="13"/>
      <c r="AB999" s="252"/>
    </row>
    <row r="1000" spans="1:28" s="26" customFormat="1" hidden="1">
      <c r="A1000" s="93" t="s">
        <v>1480</v>
      </c>
      <c r="B1000" s="474" t="s">
        <v>476</v>
      </c>
      <c r="C1000" s="654" t="s">
        <v>492</v>
      </c>
      <c r="D1000" s="654" t="s">
        <v>496</v>
      </c>
      <c r="E1000" s="627"/>
      <c r="F1000" s="657"/>
      <c r="G1000" s="657"/>
      <c r="H1000" s="657"/>
      <c r="I1000" s="650"/>
      <c r="J1000" s="440">
        <v>39653</v>
      </c>
      <c r="K1000" s="657">
        <v>0</v>
      </c>
      <c r="L1000" s="657"/>
      <c r="M1000" s="657">
        <v>3739726</v>
      </c>
      <c r="N1000" s="657">
        <v>0</v>
      </c>
      <c r="O1000" s="657">
        <f t="shared" si="54"/>
        <v>3739726</v>
      </c>
      <c r="P1000" s="657"/>
      <c r="Q1000" s="654"/>
      <c r="R1000" s="654" t="s">
        <v>493</v>
      </c>
      <c r="S1000" s="499" t="s">
        <v>346</v>
      </c>
      <c r="T1000" s="499" t="s">
        <v>1208</v>
      </c>
      <c r="U1000" s="13"/>
      <c r="AB1000" s="252"/>
    </row>
    <row r="1001" spans="1:28" s="26" customFormat="1" hidden="1">
      <c r="A1001" s="93" t="s">
        <v>1480</v>
      </c>
      <c r="B1001" s="474" t="s">
        <v>476</v>
      </c>
      <c r="C1001" s="654" t="s">
        <v>492</v>
      </c>
      <c r="D1001" s="654" t="s">
        <v>496</v>
      </c>
      <c r="E1001" s="627"/>
      <c r="F1001" s="657"/>
      <c r="G1001" s="657"/>
      <c r="H1001" s="657"/>
      <c r="I1001" s="650"/>
      <c r="J1001" s="440">
        <v>39748</v>
      </c>
      <c r="K1001" s="657">
        <v>0</v>
      </c>
      <c r="L1001" s="657"/>
      <c r="M1001" s="657">
        <v>3780822</v>
      </c>
      <c r="N1001" s="657">
        <v>0</v>
      </c>
      <c r="O1001" s="657">
        <f t="shared" si="54"/>
        <v>3780822</v>
      </c>
      <c r="P1001" s="657"/>
      <c r="Q1001" s="654"/>
      <c r="R1001" s="654" t="s">
        <v>493</v>
      </c>
      <c r="S1001" s="499" t="s">
        <v>346</v>
      </c>
      <c r="T1001" s="499" t="s">
        <v>1208</v>
      </c>
      <c r="U1001" s="13"/>
      <c r="AB1001" s="252"/>
    </row>
    <row r="1002" spans="1:28" s="26" customFormat="1" hidden="1">
      <c r="A1002" s="93" t="s">
        <v>1480</v>
      </c>
      <c r="B1002" s="474" t="s">
        <v>476</v>
      </c>
      <c r="C1002" s="654" t="s">
        <v>492</v>
      </c>
      <c r="D1002" s="654" t="s">
        <v>496</v>
      </c>
      <c r="E1002" s="627"/>
      <c r="F1002" s="657"/>
      <c r="G1002" s="657"/>
      <c r="H1002" s="657"/>
      <c r="I1002" s="650"/>
      <c r="J1002" s="440">
        <v>39825</v>
      </c>
      <c r="K1002" s="657">
        <v>0</v>
      </c>
      <c r="L1002" s="657"/>
      <c r="M1002" s="657">
        <v>3082192</v>
      </c>
      <c r="N1002" s="657">
        <v>0</v>
      </c>
      <c r="O1002" s="657">
        <f t="shared" si="54"/>
        <v>3082192</v>
      </c>
      <c r="P1002" s="657"/>
      <c r="Q1002" s="654"/>
      <c r="R1002" s="654" t="s">
        <v>493</v>
      </c>
      <c r="S1002" s="499" t="s">
        <v>346</v>
      </c>
      <c r="T1002" s="499" t="s">
        <v>1208</v>
      </c>
      <c r="U1002" s="13"/>
      <c r="AB1002" s="252"/>
    </row>
    <row r="1003" spans="1:28" s="26" customFormat="1" hidden="1">
      <c r="A1003" s="93" t="s">
        <v>1480</v>
      </c>
      <c r="B1003" s="474" t="s">
        <v>476</v>
      </c>
      <c r="C1003" s="654" t="s">
        <v>487</v>
      </c>
      <c r="D1003" s="654" t="s">
        <v>496</v>
      </c>
      <c r="E1003" s="440"/>
      <c r="F1003" s="657"/>
      <c r="G1003" s="657"/>
      <c r="H1003" s="657"/>
      <c r="I1003" s="650"/>
      <c r="J1003" s="627">
        <v>40840</v>
      </c>
      <c r="K1003" s="657">
        <v>50000</v>
      </c>
      <c r="L1003" s="657">
        <v>12300</v>
      </c>
      <c r="M1003" s="657">
        <v>615000000</v>
      </c>
      <c r="N1003" s="657">
        <v>79349965.086015359</v>
      </c>
      <c r="O1003" s="657">
        <f t="shared" si="54"/>
        <v>535650034.91398466</v>
      </c>
      <c r="P1003" s="657"/>
      <c r="Q1003" s="654"/>
      <c r="R1003" s="654" t="s">
        <v>1216</v>
      </c>
      <c r="S1003" s="499"/>
      <c r="T1003" s="499" t="s">
        <v>1208</v>
      </c>
      <c r="U1003" s="13"/>
      <c r="AB1003" s="252"/>
    </row>
    <row r="1004" spans="1:28" s="26" customFormat="1" hidden="1">
      <c r="A1004" s="93" t="s">
        <v>1480</v>
      </c>
      <c r="B1004" s="474" t="s">
        <v>476</v>
      </c>
      <c r="C1004" s="654" t="s">
        <v>487</v>
      </c>
      <c r="D1004" s="654" t="s">
        <v>496</v>
      </c>
      <c r="E1004" s="440"/>
      <c r="F1004" s="657"/>
      <c r="G1004" s="657"/>
      <c r="H1004" s="657"/>
      <c r="I1004" s="650"/>
      <c r="J1004" s="627">
        <v>40842</v>
      </c>
      <c r="K1004" s="657">
        <v>65060</v>
      </c>
      <c r="L1004" s="657">
        <v>12000</v>
      </c>
      <c r="M1004" s="657">
        <v>780720000</v>
      </c>
      <c r="N1004" s="657">
        <v>103250174.56992318</v>
      </c>
      <c r="O1004" s="657">
        <f t="shared" si="54"/>
        <v>677469825.43007684</v>
      </c>
      <c r="P1004" s="657"/>
      <c r="Q1004" s="654"/>
      <c r="R1004" s="654" t="s">
        <v>1216</v>
      </c>
      <c r="S1004" s="499"/>
      <c r="T1004" s="499" t="s">
        <v>1208</v>
      </c>
      <c r="U1004" s="13"/>
      <c r="AB1004" s="252"/>
    </row>
    <row r="1005" spans="1:28" s="26" customFormat="1" hidden="1">
      <c r="A1005" s="93" t="s">
        <v>1480</v>
      </c>
      <c r="B1005" s="475" t="s">
        <v>476</v>
      </c>
      <c r="C1005" s="655" t="s">
        <v>487</v>
      </c>
      <c r="D1005" s="655" t="s">
        <v>496</v>
      </c>
      <c r="E1005" s="442"/>
      <c r="F1005" s="614"/>
      <c r="G1005" s="614"/>
      <c r="H1005" s="614"/>
      <c r="I1005" s="613"/>
      <c r="J1005" s="606">
        <v>40847</v>
      </c>
      <c r="K1005" s="614">
        <v>200000</v>
      </c>
      <c r="L1005" s="614">
        <v>12300</v>
      </c>
      <c r="M1005" s="614">
        <v>2460000000</v>
      </c>
      <c r="N1005" s="614">
        <v>317399860.34406143</v>
      </c>
      <c r="O1005" s="614">
        <f t="shared" si="54"/>
        <v>2142600139.6559386</v>
      </c>
      <c r="P1005" s="614">
        <f>+SUM(H991:H1005)-SUM(N991:N1005)</f>
        <v>0</v>
      </c>
      <c r="Q1005" s="655"/>
      <c r="R1005" s="655" t="s">
        <v>1216</v>
      </c>
      <c r="S1005" s="500"/>
      <c r="T1005" s="500" t="s">
        <v>1208</v>
      </c>
      <c r="U1005" s="13"/>
      <c r="AB1005" s="252"/>
    </row>
    <row r="1006" spans="1:28" s="26" customFormat="1" hidden="1">
      <c r="A1006" s="93" t="s">
        <v>1480</v>
      </c>
      <c r="B1006" s="474" t="s">
        <v>476</v>
      </c>
      <c r="C1006" s="664" t="s">
        <v>1204</v>
      </c>
      <c r="D1006" s="664" t="s">
        <v>497</v>
      </c>
      <c r="E1006" s="663">
        <v>38791</v>
      </c>
      <c r="F1006" s="648">
        <v>0</v>
      </c>
      <c r="G1006" s="648"/>
      <c r="H1006" s="648">
        <v>400000000</v>
      </c>
      <c r="I1006" s="736" t="s">
        <v>1205</v>
      </c>
      <c r="J1006" s="663">
        <v>39672</v>
      </c>
      <c r="K1006" s="648">
        <v>0</v>
      </c>
      <c r="L1006" s="648"/>
      <c r="M1006" s="648">
        <v>51668632</v>
      </c>
      <c r="N1006" s="648">
        <v>51668632</v>
      </c>
      <c r="O1006" s="648">
        <f t="shared" si="54"/>
        <v>0</v>
      </c>
      <c r="P1006" s="648"/>
      <c r="Q1006" s="664"/>
      <c r="R1006" s="664" t="s">
        <v>1217</v>
      </c>
      <c r="S1006" s="522" t="s">
        <v>475</v>
      </c>
      <c r="T1006" s="522"/>
      <c r="U1006" s="13"/>
      <c r="AB1006" s="252"/>
    </row>
    <row r="1007" spans="1:28" s="26" customFormat="1" hidden="1">
      <c r="A1007" s="93" t="s">
        <v>1480</v>
      </c>
      <c r="B1007" s="474" t="s">
        <v>476</v>
      </c>
      <c r="C1007" s="654" t="s">
        <v>1204</v>
      </c>
      <c r="D1007" s="654" t="s">
        <v>497</v>
      </c>
      <c r="E1007" s="627">
        <v>38887</v>
      </c>
      <c r="F1007" s="657">
        <v>0</v>
      </c>
      <c r="G1007" s="657"/>
      <c r="H1007" s="657">
        <v>300000000</v>
      </c>
      <c r="I1007" s="650" t="s">
        <v>1205</v>
      </c>
      <c r="J1007" s="627">
        <v>39694</v>
      </c>
      <c r="K1007" s="657">
        <v>0</v>
      </c>
      <c r="L1007" s="657"/>
      <c r="M1007" s="657">
        <v>56362752</v>
      </c>
      <c r="N1007" s="657">
        <v>56362752</v>
      </c>
      <c r="O1007" s="657">
        <f t="shared" si="54"/>
        <v>0</v>
      </c>
      <c r="P1007" s="657"/>
      <c r="Q1007" s="654"/>
      <c r="R1007" s="654" t="s">
        <v>1217</v>
      </c>
      <c r="S1007" s="499" t="s">
        <v>475</v>
      </c>
      <c r="T1007" s="499"/>
      <c r="U1007" s="13"/>
      <c r="AB1007" s="252"/>
    </row>
    <row r="1008" spans="1:28" s="26" customFormat="1" hidden="1">
      <c r="A1008" s="93" t="s">
        <v>1480</v>
      </c>
      <c r="B1008" s="474" t="s">
        <v>476</v>
      </c>
      <c r="C1008" s="655" t="s">
        <v>1204</v>
      </c>
      <c r="D1008" s="655" t="s">
        <v>497</v>
      </c>
      <c r="E1008" s="606">
        <v>38981</v>
      </c>
      <c r="F1008" s="614">
        <v>0</v>
      </c>
      <c r="G1008" s="614"/>
      <c r="H1008" s="614">
        <v>300000000</v>
      </c>
      <c r="I1008" s="613" t="s">
        <v>1205</v>
      </c>
      <c r="J1008" s="606">
        <v>39994</v>
      </c>
      <c r="K1008" s="614"/>
      <c r="L1008" s="614"/>
      <c r="M1008" s="614">
        <v>0</v>
      </c>
      <c r="N1008" s="614">
        <v>891968616</v>
      </c>
      <c r="O1008" s="614">
        <f t="shared" si="54"/>
        <v>-891968616</v>
      </c>
      <c r="P1008" s="614">
        <f>+SUM(H1006:H1008)-SUM(N1006:N1008)</f>
        <v>0</v>
      </c>
      <c r="Q1008" s="655"/>
      <c r="R1008" s="655" t="s">
        <v>23</v>
      </c>
      <c r="S1008" s="500"/>
      <c r="T1008" s="500"/>
      <c r="U1008" s="13"/>
      <c r="AB1008" s="252"/>
    </row>
    <row r="1009" spans="1:28" s="26" customFormat="1" hidden="1">
      <c r="A1009" s="93" t="s">
        <v>1480</v>
      </c>
      <c r="B1009" s="474" t="s">
        <v>476</v>
      </c>
      <c r="C1009" s="656" t="s">
        <v>492</v>
      </c>
      <c r="D1009" s="656" t="s">
        <v>293</v>
      </c>
      <c r="E1009" s="605">
        <v>38852</v>
      </c>
      <c r="F1009" s="610">
        <v>0</v>
      </c>
      <c r="G1009" s="610"/>
      <c r="H1009" s="610">
        <v>1400040000</v>
      </c>
      <c r="I1009" s="612" t="s">
        <v>1214</v>
      </c>
      <c r="J1009" s="605">
        <v>38898</v>
      </c>
      <c r="K1009" s="610">
        <v>0</v>
      </c>
      <c r="L1009" s="610"/>
      <c r="M1009" s="610">
        <v>3175981</v>
      </c>
      <c r="N1009" s="610">
        <v>0</v>
      </c>
      <c r="O1009" s="610">
        <f t="shared" si="54"/>
        <v>3175981</v>
      </c>
      <c r="P1009" s="610"/>
      <c r="Q1009" s="656"/>
      <c r="R1009" s="656" t="s">
        <v>493</v>
      </c>
      <c r="S1009" s="501" t="s">
        <v>346</v>
      </c>
      <c r="T1009" s="501"/>
      <c r="U1009" s="13"/>
      <c r="AB1009" s="252"/>
    </row>
    <row r="1010" spans="1:28" s="26" customFormat="1" hidden="1">
      <c r="A1010" s="93" t="s">
        <v>1480</v>
      </c>
      <c r="B1010" s="474" t="s">
        <v>476</v>
      </c>
      <c r="C1010" s="654" t="s">
        <v>492</v>
      </c>
      <c r="D1010" s="654" t="s">
        <v>293</v>
      </c>
      <c r="E1010" s="627"/>
      <c r="F1010" s="657"/>
      <c r="G1010" s="657"/>
      <c r="H1010" s="657"/>
      <c r="I1010" s="650"/>
      <c r="J1010" s="627">
        <v>38989</v>
      </c>
      <c r="K1010" s="657">
        <v>0</v>
      </c>
      <c r="L1010" s="657"/>
      <c r="M1010" s="657">
        <v>6300180</v>
      </c>
      <c r="N1010" s="657">
        <v>0</v>
      </c>
      <c r="O1010" s="657">
        <f t="shared" si="54"/>
        <v>6300180</v>
      </c>
      <c r="P1010" s="657"/>
      <c r="Q1010" s="654"/>
      <c r="R1010" s="654" t="s">
        <v>493</v>
      </c>
      <c r="S1010" s="499" t="s">
        <v>346</v>
      </c>
      <c r="T1010" s="499"/>
      <c r="U1010" s="13"/>
      <c r="AB1010" s="252"/>
    </row>
    <row r="1011" spans="1:28" s="26" customFormat="1" hidden="1">
      <c r="A1011" s="93" t="s">
        <v>1480</v>
      </c>
      <c r="B1011" s="474" t="s">
        <v>476</v>
      </c>
      <c r="C1011" s="654" t="s">
        <v>492</v>
      </c>
      <c r="D1011" s="654" t="s">
        <v>293</v>
      </c>
      <c r="E1011" s="627"/>
      <c r="F1011" s="657"/>
      <c r="G1011" s="657"/>
      <c r="H1011" s="657"/>
      <c r="I1011" s="650"/>
      <c r="J1011" s="627">
        <v>39036</v>
      </c>
      <c r="K1011" s="657">
        <v>0</v>
      </c>
      <c r="L1011" s="657"/>
      <c r="M1011" s="657">
        <v>3124199</v>
      </c>
      <c r="N1011" s="657">
        <v>0</v>
      </c>
      <c r="O1011" s="657">
        <f t="shared" si="54"/>
        <v>3124199</v>
      </c>
      <c r="P1011" s="657"/>
      <c r="Q1011" s="654"/>
      <c r="R1011" s="654" t="s">
        <v>493</v>
      </c>
      <c r="S1011" s="499" t="s">
        <v>346</v>
      </c>
      <c r="T1011" s="499"/>
      <c r="U1011" s="13"/>
      <c r="AB1011" s="252"/>
    </row>
    <row r="1012" spans="1:28" s="26" customFormat="1" hidden="1">
      <c r="A1012" s="93" t="s">
        <v>1480</v>
      </c>
      <c r="B1012" s="474" t="s">
        <v>476</v>
      </c>
      <c r="C1012" s="654" t="s">
        <v>492</v>
      </c>
      <c r="D1012" s="654" t="s">
        <v>293</v>
      </c>
      <c r="E1012" s="627"/>
      <c r="F1012" s="657"/>
      <c r="G1012" s="657"/>
      <c r="H1012" s="657"/>
      <c r="I1012" s="650"/>
      <c r="J1012" s="440">
        <v>39128</v>
      </c>
      <c r="K1012" s="657">
        <v>0</v>
      </c>
      <c r="L1012" s="657"/>
      <c r="M1012" s="657">
        <v>6300180</v>
      </c>
      <c r="N1012" s="657">
        <v>0</v>
      </c>
      <c r="O1012" s="657">
        <f t="shared" si="54"/>
        <v>6300180</v>
      </c>
      <c r="P1012" s="657"/>
      <c r="Q1012" s="654"/>
      <c r="R1012" s="654" t="s">
        <v>493</v>
      </c>
      <c r="S1012" s="499" t="s">
        <v>346</v>
      </c>
      <c r="T1012" s="499"/>
      <c r="U1012" s="13"/>
      <c r="AB1012" s="252"/>
    </row>
    <row r="1013" spans="1:28" s="26" customFormat="1" hidden="1">
      <c r="A1013" s="93" t="s">
        <v>1480</v>
      </c>
      <c r="B1013" s="474" t="s">
        <v>476</v>
      </c>
      <c r="C1013" s="654" t="s">
        <v>492</v>
      </c>
      <c r="D1013" s="654" t="s">
        <v>293</v>
      </c>
      <c r="E1013" s="627"/>
      <c r="F1013" s="657"/>
      <c r="G1013" s="657"/>
      <c r="H1013" s="657"/>
      <c r="I1013" s="650"/>
      <c r="J1013" s="440">
        <v>39217</v>
      </c>
      <c r="K1013" s="657">
        <v>0</v>
      </c>
      <c r="L1013" s="657"/>
      <c r="M1013" s="657">
        <v>6300180</v>
      </c>
      <c r="N1013" s="657">
        <v>0</v>
      </c>
      <c r="O1013" s="657">
        <f t="shared" si="54"/>
        <v>6300180</v>
      </c>
      <c r="P1013" s="657"/>
      <c r="Q1013" s="654"/>
      <c r="R1013" s="654" t="s">
        <v>493</v>
      </c>
      <c r="S1013" s="499" t="s">
        <v>346</v>
      </c>
      <c r="T1013" s="499"/>
      <c r="U1013" s="13"/>
      <c r="AB1013" s="252"/>
    </row>
    <row r="1014" spans="1:28" s="26" customFormat="1" hidden="1">
      <c r="A1014" s="93" t="s">
        <v>1480</v>
      </c>
      <c r="B1014" s="474" t="s">
        <v>476</v>
      </c>
      <c r="C1014" s="654" t="s">
        <v>492</v>
      </c>
      <c r="D1014" s="654" t="s">
        <v>293</v>
      </c>
      <c r="E1014" s="627"/>
      <c r="F1014" s="657"/>
      <c r="G1014" s="657"/>
      <c r="H1014" s="657"/>
      <c r="I1014" s="650"/>
      <c r="J1014" s="440">
        <v>39308</v>
      </c>
      <c r="K1014" s="657">
        <v>0</v>
      </c>
      <c r="L1014" s="657"/>
      <c r="M1014" s="657">
        <v>6300180</v>
      </c>
      <c r="N1014" s="657">
        <v>0</v>
      </c>
      <c r="O1014" s="657">
        <f t="shared" si="54"/>
        <v>6300180</v>
      </c>
      <c r="P1014" s="657"/>
      <c r="Q1014" s="654"/>
      <c r="R1014" s="654" t="s">
        <v>493</v>
      </c>
      <c r="S1014" s="499" t="s">
        <v>346</v>
      </c>
      <c r="T1014" s="499"/>
      <c r="U1014" s="13"/>
      <c r="AB1014" s="252"/>
    </row>
    <row r="1015" spans="1:28" s="26" customFormat="1" hidden="1">
      <c r="A1015" s="93" t="s">
        <v>1480</v>
      </c>
      <c r="B1015" s="474" t="s">
        <v>476</v>
      </c>
      <c r="C1015" s="654" t="s">
        <v>492</v>
      </c>
      <c r="D1015" s="654" t="s">
        <v>293</v>
      </c>
      <c r="E1015" s="627"/>
      <c r="F1015" s="657"/>
      <c r="G1015" s="657"/>
      <c r="H1015" s="657"/>
      <c r="I1015" s="650"/>
      <c r="J1015" s="440">
        <v>39401</v>
      </c>
      <c r="K1015" s="657">
        <v>0</v>
      </c>
      <c r="L1015" s="657"/>
      <c r="M1015" s="657">
        <v>6300180</v>
      </c>
      <c r="N1015" s="657">
        <v>0</v>
      </c>
      <c r="O1015" s="657">
        <f t="shared" si="54"/>
        <v>6300180</v>
      </c>
      <c r="P1015" s="657"/>
      <c r="Q1015" s="654"/>
      <c r="R1015" s="654" t="s">
        <v>493</v>
      </c>
      <c r="S1015" s="499" t="s">
        <v>346</v>
      </c>
      <c r="T1015" s="499"/>
      <c r="U1015" s="13"/>
      <c r="AB1015" s="252"/>
    </row>
    <row r="1016" spans="1:28" s="26" customFormat="1" hidden="1">
      <c r="A1016" s="93" t="s">
        <v>1480</v>
      </c>
      <c r="B1016" s="474" t="s">
        <v>476</v>
      </c>
      <c r="C1016" s="654" t="s">
        <v>492</v>
      </c>
      <c r="D1016" s="654" t="s">
        <v>293</v>
      </c>
      <c r="E1016" s="627"/>
      <c r="F1016" s="657"/>
      <c r="G1016" s="657"/>
      <c r="H1016" s="657"/>
      <c r="I1016" s="650"/>
      <c r="J1016" s="440">
        <v>39493</v>
      </c>
      <c r="K1016" s="657">
        <v>0</v>
      </c>
      <c r="L1016" s="657"/>
      <c r="M1016" s="657">
        <v>6300180</v>
      </c>
      <c r="N1016" s="657">
        <v>0</v>
      </c>
      <c r="O1016" s="657">
        <f t="shared" si="54"/>
        <v>6300180</v>
      </c>
      <c r="P1016" s="657"/>
      <c r="Q1016" s="654"/>
      <c r="R1016" s="654" t="s">
        <v>493</v>
      </c>
      <c r="S1016" s="499" t="s">
        <v>346</v>
      </c>
      <c r="T1016" s="499"/>
      <c r="U1016" s="13"/>
      <c r="AB1016" s="252"/>
    </row>
    <row r="1017" spans="1:28" s="26" customFormat="1" hidden="1">
      <c r="A1017" s="93" t="s">
        <v>1480</v>
      </c>
      <c r="B1017" s="474" t="s">
        <v>476</v>
      </c>
      <c r="C1017" s="654" t="s">
        <v>492</v>
      </c>
      <c r="D1017" s="654" t="s">
        <v>293</v>
      </c>
      <c r="E1017" s="627"/>
      <c r="F1017" s="657"/>
      <c r="G1017" s="657"/>
      <c r="H1017" s="657"/>
      <c r="I1017" s="650"/>
      <c r="J1017" s="440">
        <v>39583</v>
      </c>
      <c r="K1017" s="657">
        <v>0</v>
      </c>
      <c r="L1017" s="657"/>
      <c r="M1017" s="657">
        <v>6300180</v>
      </c>
      <c r="N1017" s="657">
        <v>0</v>
      </c>
      <c r="O1017" s="657">
        <f t="shared" si="54"/>
        <v>6300180</v>
      </c>
      <c r="P1017" s="657"/>
      <c r="Q1017" s="654"/>
      <c r="R1017" s="654" t="s">
        <v>493</v>
      </c>
      <c r="S1017" s="499" t="s">
        <v>346</v>
      </c>
      <c r="T1017" s="499"/>
      <c r="U1017" s="13"/>
      <c r="AB1017" s="252"/>
    </row>
    <row r="1018" spans="1:28" s="26" customFormat="1" hidden="1">
      <c r="A1018" s="93" t="s">
        <v>1480</v>
      </c>
      <c r="B1018" s="474" t="s">
        <v>476</v>
      </c>
      <c r="C1018" s="654" t="s">
        <v>492</v>
      </c>
      <c r="D1018" s="654" t="s">
        <v>293</v>
      </c>
      <c r="E1018" s="627"/>
      <c r="F1018" s="657"/>
      <c r="G1018" s="657"/>
      <c r="H1018" s="657"/>
      <c r="I1018" s="650"/>
      <c r="J1018" s="440">
        <v>39674</v>
      </c>
      <c r="K1018" s="657">
        <v>0</v>
      </c>
      <c r="L1018" s="657"/>
      <c r="M1018" s="657">
        <v>6300180</v>
      </c>
      <c r="N1018" s="657">
        <v>0</v>
      </c>
      <c r="O1018" s="657">
        <f t="shared" si="54"/>
        <v>6300180</v>
      </c>
      <c r="P1018" s="657"/>
      <c r="Q1018" s="654"/>
      <c r="R1018" s="654" t="s">
        <v>493</v>
      </c>
      <c r="S1018" s="499" t="s">
        <v>346</v>
      </c>
      <c r="T1018" s="499"/>
      <c r="U1018" s="13"/>
      <c r="AB1018" s="252"/>
    </row>
    <row r="1019" spans="1:28" s="26" customFormat="1" hidden="1">
      <c r="A1019" s="93" t="s">
        <v>1480</v>
      </c>
      <c r="B1019" s="474" t="s">
        <v>476</v>
      </c>
      <c r="C1019" s="654" t="s">
        <v>492</v>
      </c>
      <c r="D1019" s="654" t="s">
        <v>293</v>
      </c>
      <c r="E1019" s="627"/>
      <c r="F1019" s="657"/>
      <c r="G1019" s="657"/>
      <c r="H1019" s="657"/>
      <c r="I1019" s="650"/>
      <c r="J1019" s="440">
        <v>39766</v>
      </c>
      <c r="K1019" s="657">
        <v>0</v>
      </c>
      <c r="L1019" s="657"/>
      <c r="M1019" s="657">
        <v>6300180</v>
      </c>
      <c r="N1019" s="657">
        <v>0</v>
      </c>
      <c r="O1019" s="657">
        <f t="shared" si="54"/>
        <v>6300180</v>
      </c>
      <c r="P1019" s="657"/>
      <c r="Q1019" s="654"/>
      <c r="R1019" s="654" t="s">
        <v>493</v>
      </c>
      <c r="S1019" s="499" t="s">
        <v>346</v>
      </c>
      <c r="T1019" s="499"/>
      <c r="U1019" s="13"/>
      <c r="AB1019" s="252"/>
    </row>
    <row r="1020" spans="1:28" s="26" customFormat="1" hidden="1">
      <c r="A1020" s="93" t="s">
        <v>1480</v>
      </c>
      <c r="B1020" s="474" t="s">
        <v>476</v>
      </c>
      <c r="C1020" s="654" t="s">
        <v>492</v>
      </c>
      <c r="D1020" s="654" t="s">
        <v>293</v>
      </c>
      <c r="E1020" s="627"/>
      <c r="F1020" s="657"/>
      <c r="G1020" s="657"/>
      <c r="H1020" s="657"/>
      <c r="I1020" s="650"/>
      <c r="J1020" s="440">
        <v>39857</v>
      </c>
      <c r="K1020" s="657">
        <v>0</v>
      </c>
      <c r="L1020" s="657"/>
      <c r="M1020" s="657">
        <v>6300180</v>
      </c>
      <c r="N1020" s="657">
        <v>0</v>
      </c>
      <c r="O1020" s="657">
        <f t="shared" si="54"/>
        <v>6300180</v>
      </c>
      <c r="P1020" s="657"/>
      <c r="Q1020" s="654"/>
      <c r="R1020" s="654" t="s">
        <v>493</v>
      </c>
      <c r="S1020" s="499" t="s">
        <v>346</v>
      </c>
      <c r="T1020" s="499"/>
      <c r="U1020" s="13"/>
      <c r="AB1020" s="252"/>
    </row>
    <row r="1021" spans="1:28" s="26" customFormat="1" hidden="1">
      <c r="A1021" s="93" t="s">
        <v>1480</v>
      </c>
      <c r="B1021" s="474" t="s">
        <v>476</v>
      </c>
      <c r="C1021" s="654" t="s">
        <v>492</v>
      </c>
      <c r="D1021" s="654" t="s">
        <v>293</v>
      </c>
      <c r="E1021" s="627"/>
      <c r="F1021" s="657"/>
      <c r="G1021" s="657"/>
      <c r="H1021" s="657"/>
      <c r="I1021" s="650"/>
      <c r="J1021" s="440">
        <v>39948</v>
      </c>
      <c r="K1021" s="657">
        <v>0</v>
      </c>
      <c r="L1021" s="657"/>
      <c r="M1021" s="657">
        <v>6300180</v>
      </c>
      <c r="N1021" s="657">
        <v>0</v>
      </c>
      <c r="O1021" s="657">
        <f t="shared" si="54"/>
        <v>6300180</v>
      </c>
      <c r="P1021" s="657"/>
      <c r="Q1021" s="654"/>
      <c r="R1021" s="654" t="s">
        <v>493</v>
      </c>
      <c r="S1021" s="499" t="s">
        <v>346</v>
      </c>
      <c r="T1021" s="499"/>
      <c r="U1021" s="13"/>
      <c r="AB1021" s="252"/>
    </row>
    <row r="1022" spans="1:28" s="26" customFormat="1" hidden="1">
      <c r="A1022" s="93" t="s">
        <v>1480</v>
      </c>
      <c r="B1022" s="474" t="s">
        <v>476</v>
      </c>
      <c r="C1022" s="654" t="s">
        <v>492</v>
      </c>
      <c r="D1022" s="654" t="s">
        <v>293</v>
      </c>
      <c r="E1022" s="627"/>
      <c r="F1022" s="657"/>
      <c r="G1022" s="657"/>
      <c r="H1022" s="657"/>
      <c r="I1022" s="650"/>
      <c r="J1022" s="440">
        <v>40039</v>
      </c>
      <c r="K1022" s="657">
        <v>0</v>
      </c>
      <c r="L1022" s="657"/>
      <c r="M1022" s="657">
        <v>6300180</v>
      </c>
      <c r="N1022" s="657">
        <v>0</v>
      </c>
      <c r="O1022" s="657">
        <f t="shared" si="54"/>
        <v>6300180</v>
      </c>
      <c r="P1022" s="657"/>
      <c r="Q1022" s="654"/>
      <c r="R1022" s="654" t="s">
        <v>493</v>
      </c>
      <c r="S1022" s="499" t="s">
        <v>346</v>
      </c>
      <c r="T1022" s="499"/>
      <c r="U1022" s="13"/>
      <c r="AB1022" s="252"/>
    </row>
    <row r="1023" spans="1:28" s="26" customFormat="1" hidden="1">
      <c r="A1023" s="93" t="s">
        <v>1480</v>
      </c>
      <c r="B1023" s="474" t="s">
        <v>476</v>
      </c>
      <c r="C1023" s="654" t="s">
        <v>492</v>
      </c>
      <c r="D1023" s="654" t="s">
        <v>293</v>
      </c>
      <c r="E1023" s="627"/>
      <c r="F1023" s="657"/>
      <c r="G1023" s="657"/>
      <c r="H1023" s="657"/>
      <c r="I1023" s="650"/>
      <c r="J1023" s="440">
        <v>40130</v>
      </c>
      <c r="K1023" s="657">
        <v>0</v>
      </c>
      <c r="L1023" s="657"/>
      <c r="M1023" s="657">
        <v>6300180</v>
      </c>
      <c r="N1023" s="657">
        <v>0</v>
      </c>
      <c r="O1023" s="657">
        <f t="shared" si="54"/>
        <v>6300180</v>
      </c>
      <c r="P1023" s="657"/>
      <c r="Q1023" s="654"/>
      <c r="R1023" s="654" t="s">
        <v>493</v>
      </c>
      <c r="S1023" s="500" t="s">
        <v>346</v>
      </c>
      <c r="T1023" s="500"/>
      <c r="U1023" s="13"/>
      <c r="AB1023" s="252"/>
    </row>
    <row r="1024" spans="1:28" s="26" customFormat="1" hidden="1">
      <c r="A1024" s="93" t="s">
        <v>1480</v>
      </c>
      <c r="B1024" s="474" t="s">
        <v>476</v>
      </c>
      <c r="C1024" s="476" t="s">
        <v>492</v>
      </c>
      <c r="D1024" s="476" t="s">
        <v>293</v>
      </c>
      <c r="E1024" s="658"/>
      <c r="F1024" s="647"/>
      <c r="G1024" s="647"/>
      <c r="H1024" s="647"/>
      <c r="I1024" s="735"/>
      <c r="J1024" s="530">
        <v>40225</v>
      </c>
      <c r="K1024" s="647">
        <v>0</v>
      </c>
      <c r="L1024" s="647"/>
      <c r="M1024" s="647">
        <v>6300180</v>
      </c>
      <c r="N1024" s="647">
        <v>0</v>
      </c>
      <c r="O1024" s="647">
        <f t="shared" si="54"/>
        <v>6300180</v>
      </c>
      <c r="P1024" s="647"/>
      <c r="Q1024" s="476"/>
      <c r="R1024" s="476" t="s">
        <v>493</v>
      </c>
      <c r="S1024" s="508"/>
      <c r="T1024" s="508"/>
      <c r="U1024" s="13"/>
      <c r="AB1024" s="252"/>
    </row>
    <row r="1025" spans="1:28" s="26" customFormat="1" hidden="1">
      <c r="A1025" s="93" t="s">
        <v>1480</v>
      </c>
      <c r="B1025" s="474" t="s">
        <v>476</v>
      </c>
      <c r="C1025" s="654" t="s">
        <v>492</v>
      </c>
      <c r="D1025" s="654" t="s">
        <v>293</v>
      </c>
      <c r="E1025" s="627"/>
      <c r="F1025" s="657"/>
      <c r="G1025" s="657"/>
      <c r="H1025" s="657"/>
      <c r="I1025" s="650"/>
      <c r="J1025" s="440">
        <v>40310</v>
      </c>
      <c r="K1025" s="657">
        <v>0</v>
      </c>
      <c r="L1025" s="657"/>
      <c r="M1025" s="657">
        <v>6300180</v>
      </c>
      <c r="N1025" s="657"/>
      <c r="O1025" s="657">
        <f t="shared" si="54"/>
        <v>6300180</v>
      </c>
      <c r="P1025" s="657"/>
      <c r="Q1025" s="654"/>
      <c r="R1025" s="654" t="s">
        <v>493</v>
      </c>
      <c r="S1025" s="508"/>
      <c r="T1025" s="508"/>
      <c r="U1025" s="13"/>
      <c r="AB1025" s="252"/>
    </row>
    <row r="1026" spans="1:28" s="26" customFormat="1" hidden="1">
      <c r="A1026" s="93" t="s">
        <v>1480</v>
      </c>
      <c r="B1026" s="474" t="s">
        <v>476</v>
      </c>
      <c r="C1026" s="654" t="s">
        <v>492</v>
      </c>
      <c r="D1026" s="654" t="s">
        <v>293</v>
      </c>
      <c r="E1026" s="627"/>
      <c r="F1026" s="657"/>
      <c r="G1026" s="657"/>
      <c r="H1026" s="657"/>
      <c r="I1026" s="650"/>
      <c r="J1026" s="440">
        <v>40393</v>
      </c>
      <c r="K1026" s="657">
        <v>0</v>
      </c>
      <c r="L1026" s="657"/>
      <c r="M1026" s="657">
        <v>1839445804</v>
      </c>
      <c r="N1026" s="657">
        <v>1400040000</v>
      </c>
      <c r="O1026" s="657">
        <f t="shared" si="54"/>
        <v>439405804</v>
      </c>
      <c r="P1026" s="657"/>
      <c r="Q1026" s="654"/>
      <c r="R1026" s="654" t="s">
        <v>1218</v>
      </c>
      <c r="S1026" s="508"/>
      <c r="T1026" s="508"/>
      <c r="U1026" s="13"/>
      <c r="AB1026" s="252"/>
    </row>
    <row r="1027" spans="1:28" s="26" customFormat="1" hidden="1">
      <c r="A1027" s="93" t="s">
        <v>1480</v>
      </c>
      <c r="B1027" s="474" t="s">
        <v>476</v>
      </c>
      <c r="C1027" s="655" t="s">
        <v>492</v>
      </c>
      <c r="D1027" s="655" t="s">
        <v>293</v>
      </c>
      <c r="E1027" s="606"/>
      <c r="F1027" s="614"/>
      <c r="G1027" s="614"/>
      <c r="H1027" s="614"/>
      <c r="I1027" s="613"/>
      <c r="J1027" s="442">
        <v>40399</v>
      </c>
      <c r="K1027" s="614">
        <v>0</v>
      </c>
      <c r="L1027" s="614">
        <v>0</v>
      </c>
      <c r="M1027" s="614">
        <v>7178371</v>
      </c>
      <c r="N1027" s="614">
        <v>0</v>
      </c>
      <c r="O1027" s="614">
        <f t="shared" si="54"/>
        <v>7178371</v>
      </c>
      <c r="P1027" s="614">
        <f>+SUM(H1009:H1027)-SUM(N1009:N1027)</f>
        <v>0</v>
      </c>
      <c r="Q1027" s="654"/>
      <c r="R1027" s="654" t="s">
        <v>1218</v>
      </c>
      <c r="S1027" s="508"/>
      <c r="T1027" s="508"/>
      <c r="U1027" s="13"/>
      <c r="AB1027" s="252"/>
    </row>
    <row r="1028" spans="1:28" s="26" customFormat="1" hidden="1">
      <c r="A1028" s="93" t="s">
        <v>1480</v>
      </c>
      <c r="B1028" s="474" t="s">
        <v>476</v>
      </c>
      <c r="C1028" s="656" t="s">
        <v>499</v>
      </c>
      <c r="D1028" s="656" t="s">
        <v>294</v>
      </c>
      <c r="E1028" s="605">
        <v>38856</v>
      </c>
      <c r="F1028" s="610">
        <v>16667</v>
      </c>
      <c r="G1028" s="610"/>
      <c r="H1028" s="610">
        <v>500010000</v>
      </c>
      <c r="I1028" s="612" t="s">
        <v>499</v>
      </c>
      <c r="J1028" s="605">
        <v>39049</v>
      </c>
      <c r="K1028" s="610">
        <v>0</v>
      </c>
      <c r="L1028" s="610"/>
      <c r="M1028" s="610">
        <v>100000000</v>
      </c>
      <c r="N1028" s="610">
        <v>100000000</v>
      </c>
      <c r="O1028" s="610">
        <f t="shared" si="54"/>
        <v>0</v>
      </c>
      <c r="P1028" s="610"/>
      <c r="Q1028" s="656"/>
      <c r="R1028" s="656"/>
      <c r="S1028" s="501" t="s">
        <v>498</v>
      </c>
      <c r="T1028" s="501" t="s">
        <v>1208</v>
      </c>
      <c r="U1028" s="13"/>
      <c r="AB1028" s="252"/>
    </row>
    <row r="1029" spans="1:28" s="26" customFormat="1" hidden="1">
      <c r="A1029" s="93" t="s">
        <v>1480</v>
      </c>
      <c r="B1029" s="474" t="s">
        <v>476</v>
      </c>
      <c r="C1029" s="654" t="s">
        <v>499</v>
      </c>
      <c r="D1029" s="654" t="s">
        <v>294</v>
      </c>
      <c r="E1029" s="627"/>
      <c r="F1029" s="657"/>
      <c r="G1029" s="657"/>
      <c r="H1029" s="657"/>
      <c r="I1029" s="650"/>
      <c r="J1029" s="440">
        <v>39085</v>
      </c>
      <c r="K1029" s="657">
        <v>0</v>
      </c>
      <c r="L1029" s="657"/>
      <c r="M1029" s="657">
        <v>75000000</v>
      </c>
      <c r="N1029" s="657">
        <v>75000000</v>
      </c>
      <c r="O1029" s="657">
        <f t="shared" si="54"/>
        <v>0</v>
      </c>
      <c r="P1029" s="657"/>
      <c r="Q1029" s="654"/>
      <c r="R1029" s="654"/>
      <c r="S1029" s="499" t="s">
        <v>498</v>
      </c>
      <c r="T1029" s="499" t="s">
        <v>1208</v>
      </c>
      <c r="U1029" s="13"/>
      <c r="AB1029" s="252"/>
    </row>
    <row r="1030" spans="1:28" s="26" customFormat="1" hidden="1">
      <c r="A1030" s="93" t="s">
        <v>1480</v>
      </c>
      <c r="B1030" s="474" t="s">
        <v>476</v>
      </c>
      <c r="C1030" s="654" t="s">
        <v>499</v>
      </c>
      <c r="D1030" s="654" t="s">
        <v>294</v>
      </c>
      <c r="E1030" s="627"/>
      <c r="F1030" s="657"/>
      <c r="G1030" s="657"/>
      <c r="H1030" s="657"/>
      <c r="I1030" s="650"/>
      <c r="J1030" s="440">
        <v>39114</v>
      </c>
      <c r="K1030" s="657">
        <v>0</v>
      </c>
      <c r="L1030" s="657"/>
      <c r="M1030" s="657">
        <v>37500000</v>
      </c>
      <c r="N1030" s="657">
        <v>37500000</v>
      </c>
      <c r="O1030" s="657">
        <f t="shared" si="54"/>
        <v>0</v>
      </c>
      <c r="P1030" s="657"/>
      <c r="Q1030" s="654"/>
      <c r="R1030" s="654"/>
      <c r="S1030" s="499" t="s">
        <v>498</v>
      </c>
      <c r="T1030" s="499" t="s">
        <v>1208</v>
      </c>
      <c r="U1030" s="13"/>
      <c r="AB1030" s="252"/>
    </row>
    <row r="1031" spans="1:28" s="26" customFormat="1" hidden="1">
      <c r="A1031" s="93" t="s">
        <v>1480</v>
      </c>
      <c r="B1031" s="474" t="s">
        <v>476</v>
      </c>
      <c r="C1031" s="654" t="s">
        <v>499</v>
      </c>
      <c r="D1031" s="654" t="s">
        <v>294</v>
      </c>
      <c r="E1031" s="627"/>
      <c r="F1031" s="657"/>
      <c r="G1031" s="657"/>
      <c r="H1031" s="657"/>
      <c r="I1031" s="650"/>
      <c r="J1031" s="440">
        <v>39160</v>
      </c>
      <c r="K1031" s="657">
        <v>0</v>
      </c>
      <c r="L1031" s="657"/>
      <c r="M1031" s="657">
        <v>37500000</v>
      </c>
      <c r="N1031" s="657">
        <v>37500000</v>
      </c>
      <c r="O1031" s="657">
        <f t="shared" si="54"/>
        <v>0</v>
      </c>
      <c r="P1031" s="657"/>
      <c r="Q1031" s="654"/>
      <c r="R1031" s="654"/>
      <c r="S1031" s="499" t="s">
        <v>498</v>
      </c>
      <c r="T1031" s="499" t="s">
        <v>1208</v>
      </c>
      <c r="U1031" s="13"/>
      <c r="AB1031" s="252"/>
    </row>
    <row r="1032" spans="1:28" s="26" customFormat="1" hidden="1">
      <c r="A1032" s="93" t="s">
        <v>1480</v>
      </c>
      <c r="B1032" s="474" t="s">
        <v>476</v>
      </c>
      <c r="C1032" s="654" t="s">
        <v>499</v>
      </c>
      <c r="D1032" s="654" t="s">
        <v>294</v>
      </c>
      <c r="E1032" s="627"/>
      <c r="F1032" s="657"/>
      <c r="G1032" s="657"/>
      <c r="H1032" s="657"/>
      <c r="I1032" s="650"/>
      <c r="J1032" s="440">
        <v>39302</v>
      </c>
      <c r="K1032" s="657">
        <v>0</v>
      </c>
      <c r="L1032" s="657"/>
      <c r="M1032" s="657">
        <v>500010000</v>
      </c>
      <c r="N1032" s="657">
        <v>500010000</v>
      </c>
      <c r="O1032" s="657">
        <f t="shared" si="54"/>
        <v>0</v>
      </c>
      <c r="P1032" s="657"/>
      <c r="Q1032" s="654"/>
      <c r="R1032" s="654"/>
      <c r="S1032" s="499" t="s">
        <v>500</v>
      </c>
      <c r="T1032" s="499" t="s">
        <v>1208</v>
      </c>
      <c r="U1032" s="13"/>
      <c r="AB1032" s="252"/>
    </row>
    <row r="1033" spans="1:28" s="26" customFormat="1" hidden="1">
      <c r="A1033" s="93" t="s">
        <v>1480</v>
      </c>
      <c r="B1033" s="474" t="s">
        <v>476</v>
      </c>
      <c r="C1033" s="655" t="s">
        <v>499</v>
      </c>
      <c r="D1033" s="655" t="s">
        <v>294</v>
      </c>
      <c r="E1033" s="606"/>
      <c r="F1033" s="614"/>
      <c r="G1033" s="614"/>
      <c r="H1033" s="614"/>
      <c r="I1033" s="613"/>
      <c r="J1033" s="442">
        <v>39302</v>
      </c>
      <c r="K1033" s="614">
        <v>16667</v>
      </c>
      <c r="L1033" s="614"/>
      <c r="M1033" s="614">
        <v>-250000000</v>
      </c>
      <c r="N1033" s="614">
        <v>-250000000</v>
      </c>
      <c r="O1033" s="614">
        <f t="shared" si="54"/>
        <v>0</v>
      </c>
      <c r="P1033" s="614">
        <f>+SUM(H1028:H1033)-SUM(N1028:N1033)</f>
        <v>0</v>
      </c>
      <c r="Q1033" s="655"/>
      <c r="R1033" s="655"/>
      <c r="S1033" s="500" t="s">
        <v>500</v>
      </c>
      <c r="T1033" s="500" t="s">
        <v>1208</v>
      </c>
      <c r="U1033" s="13"/>
      <c r="AB1033" s="252"/>
    </row>
    <row r="1034" spans="1:28" s="26" customFormat="1" hidden="1">
      <c r="A1034" s="93" t="s">
        <v>1480</v>
      </c>
      <c r="B1034" s="474" t="s">
        <v>476</v>
      </c>
      <c r="C1034" s="609" t="s">
        <v>492</v>
      </c>
      <c r="D1034" s="609" t="s">
        <v>294</v>
      </c>
      <c r="E1034" s="444">
        <v>38856</v>
      </c>
      <c r="F1034" s="641">
        <v>0</v>
      </c>
      <c r="G1034" s="641"/>
      <c r="H1034" s="641">
        <v>500000000</v>
      </c>
      <c r="I1034" s="464" t="s">
        <v>1214</v>
      </c>
      <c r="J1034" s="444">
        <v>39303</v>
      </c>
      <c r="K1034" s="641">
        <v>0</v>
      </c>
      <c r="L1034" s="641"/>
      <c r="M1034" s="641">
        <v>561756000</v>
      </c>
      <c r="N1034" s="641">
        <v>500000000</v>
      </c>
      <c r="O1034" s="641">
        <f t="shared" si="54"/>
        <v>61756000</v>
      </c>
      <c r="P1034" s="641">
        <f>+H1034-N1034</f>
        <v>0</v>
      </c>
      <c r="Q1034" s="609"/>
      <c r="R1034" s="609" t="s">
        <v>493</v>
      </c>
      <c r="S1034" s="461" t="s">
        <v>500</v>
      </c>
      <c r="T1034" s="461" t="s">
        <v>1208</v>
      </c>
      <c r="U1034" s="13"/>
      <c r="AB1034" s="252"/>
    </row>
    <row r="1035" spans="1:28" s="26" customFormat="1" hidden="1">
      <c r="A1035" s="93" t="s">
        <v>1480</v>
      </c>
      <c r="B1035" s="474" t="s">
        <v>476</v>
      </c>
      <c r="C1035" s="656" t="s">
        <v>487</v>
      </c>
      <c r="D1035" s="656" t="s">
        <v>296</v>
      </c>
      <c r="E1035" s="605">
        <v>38975</v>
      </c>
      <c r="F1035" s="610">
        <v>16667</v>
      </c>
      <c r="G1035" s="610">
        <v>59998.800023999524</v>
      </c>
      <c r="H1035" s="610">
        <v>1000000000</v>
      </c>
      <c r="I1035" s="612" t="s">
        <v>499</v>
      </c>
      <c r="J1035" s="605">
        <v>39909</v>
      </c>
      <c r="K1035" s="610">
        <v>0</v>
      </c>
      <c r="L1035" s="610"/>
      <c r="M1035" s="610">
        <v>30000600</v>
      </c>
      <c r="N1035" s="610">
        <v>0</v>
      </c>
      <c r="O1035" s="610">
        <f t="shared" si="54"/>
        <v>30000600</v>
      </c>
      <c r="P1035" s="610"/>
      <c r="Q1035" s="656"/>
      <c r="R1035" s="656" t="s">
        <v>1116</v>
      </c>
      <c r="S1035" s="501" t="s">
        <v>501</v>
      </c>
      <c r="T1035" s="501" t="s">
        <v>1208</v>
      </c>
      <c r="U1035" s="13"/>
      <c r="AB1035" s="252"/>
    </row>
    <row r="1036" spans="1:28" s="26" customFormat="1" hidden="1">
      <c r="A1036" s="93" t="s">
        <v>1480</v>
      </c>
      <c r="B1036" s="474" t="s">
        <v>476</v>
      </c>
      <c r="C1036" s="654" t="s">
        <v>487</v>
      </c>
      <c r="D1036" s="654" t="s">
        <v>296</v>
      </c>
      <c r="E1036" s="627">
        <v>39294</v>
      </c>
      <c r="F1036" s="657">
        <v>150003</v>
      </c>
      <c r="G1036" s="657">
        <v>5999.880002399952</v>
      </c>
      <c r="H1036" s="657"/>
      <c r="I1036" s="650" t="s">
        <v>1139</v>
      </c>
      <c r="J1036" s="627">
        <v>40273</v>
      </c>
      <c r="K1036" s="657"/>
      <c r="L1036" s="657"/>
      <c r="M1036" s="657">
        <v>30000600</v>
      </c>
      <c r="N1036" s="657"/>
      <c r="O1036" s="657">
        <f t="shared" si="54"/>
        <v>30000600</v>
      </c>
      <c r="P1036" s="657"/>
      <c r="Q1036" s="654"/>
      <c r="R1036" s="654" t="s">
        <v>1116</v>
      </c>
      <c r="S1036" s="499"/>
      <c r="T1036" s="499" t="s">
        <v>1208</v>
      </c>
      <c r="U1036" s="13"/>
      <c r="AB1036" s="252"/>
    </row>
    <row r="1037" spans="1:28" s="26" customFormat="1" hidden="1">
      <c r="A1037" s="93" t="s">
        <v>1480</v>
      </c>
      <c r="B1037" s="474" t="s">
        <v>476</v>
      </c>
      <c r="C1037" s="655" t="s">
        <v>487</v>
      </c>
      <c r="D1037" s="476" t="s">
        <v>296</v>
      </c>
      <c r="E1037" s="658"/>
      <c r="F1037" s="647"/>
      <c r="G1037" s="647"/>
      <c r="H1037" s="647"/>
      <c r="I1037" s="735"/>
      <c r="J1037" s="658">
        <v>40648</v>
      </c>
      <c r="K1037" s="647"/>
      <c r="L1037" s="647"/>
      <c r="M1037" s="647">
        <v>30000600</v>
      </c>
      <c r="N1037" s="647"/>
      <c r="O1037" s="647">
        <f t="shared" si="54"/>
        <v>30000600</v>
      </c>
      <c r="P1037" s="647"/>
      <c r="Q1037" s="476"/>
      <c r="R1037" s="476" t="s">
        <v>1116</v>
      </c>
      <c r="S1037" s="500"/>
      <c r="T1037" s="500" t="s">
        <v>1208</v>
      </c>
      <c r="U1037" s="13"/>
      <c r="AB1037" s="252"/>
    </row>
    <row r="1038" spans="1:28" s="26" customFormat="1" hidden="1">
      <c r="A1038" s="93" t="s">
        <v>1480</v>
      </c>
      <c r="B1038" s="474" t="s">
        <v>476</v>
      </c>
      <c r="C1038" s="655" t="s">
        <v>487</v>
      </c>
      <c r="D1038" s="655" t="s">
        <v>296</v>
      </c>
      <c r="E1038" s="606"/>
      <c r="F1038" s="614"/>
      <c r="G1038" s="614"/>
      <c r="H1038" s="614"/>
      <c r="I1038" s="613"/>
      <c r="J1038" s="606">
        <v>40816</v>
      </c>
      <c r="K1038" s="614"/>
      <c r="L1038" s="614"/>
      <c r="M1038" s="614">
        <v>1384291624</v>
      </c>
      <c r="N1038" s="614">
        <v>1000000000</v>
      </c>
      <c r="O1038" s="614">
        <f t="shared" si="54"/>
        <v>384291624</v>
      </c>
      <c r="P1038" s="614">
        <f>+SUM(H1035:H1038)-SUM(N1035:N1038)</f>
        <v>0</v>
      </c>
      <c r="Q1038" s="655"/>
      <c r="R1038" s="655" t="s">
        <v>1219</v>
      </c>
      <c r="S1038" s="508"/>
      <c r="T1038" s="508" t="s">
        <v>1208</v>
      </c>
      <c r="U1038" s="13"/>
      <c r="AB1038" s="252"/>
    </row>
    <row r="1039" spans="1:28" s="26" customFormat="1" hidden="1">
      <c r="A1039" s="93" t="s">
        <v>1480</v>
      </c>
      <c r="B1039" s="474" t="s">
        <v>476</v>
      </c>
      <c r="C1039" s="656" t="s">
        <v>487</v>
      </c>
      <c r="D1039" s="656" t="s">
        <v>297</v>
      </c>
      <c r="E1039" s="445">
        <v>39157</v>
      </c>
      <c r="F1039" s="610">
        <v>9525</v>
      </c>
      <c r="G1039" s="610"/>
      <c r="H1039" s="610">
        <v>1000125000</v>
      </c>
      <c r="I1039" s="612" t="s">
        <v>1134</v>
      </c>
      <c r="J1039" s="605">
        <v>40542</v>
      </c>
      <c r="K1039" s="610">
        <v>190500</v>
      </c>
      <c r="L1039" s="610">
        <v>10625</v>
      </c>
      <c r="M1039" s="610">
        <v>2024062500</v>
      </c>
      <c r="N1039" s="610">
        <v>1000125000</v>
      </c>
      <c r="O1039" s="610">
        <f t="shared" si="54"/>
        <v>1023937500</v>
      </c>
      <c r="P1039" s="610"/>
      <c r="Q1039" s="656"/>
      <c r="R1039" s="656" t="s">
        <v>1220</v>
      </c>
      <c r="S1039" s="501"/>
      <c r="T1039" s="501" t="s">
        <v>1208</v>
      </c>
      <c r="U1039" s="13"/>
      <c r="AB1039" s="252"/>
    </row>
    <row r="1040" spans="1:28" s="26" customFormat="1" hidden="1">
      <c r="A1040" s="93" t="s">
        <v>1480</v>
      </c>
      <c r="B1040" s="474" t="s">
        <v>476</v>
      </c>
      <c r="C1040" s="655" t="s">
        <v>487</v>
      </c>
      <c r="D1040" s="655" t="s">
        <v>297</v>
      </c>
      <c r="E1040" s="442">
        <v>39813</v>
      </c>
      <c r="F1040" s="614">
        <v>180975</v>
      </c>
      <c r="G1040" s="614">
        <v>5250</v>
      </c>
      <c r="H1040" s="614"/>
      <c r="I1040" s="613" t="s">
        <v>1139</v>
      </c>
      <c r="J1040" s="523"/>
      <c r="K1040" s="614"/>
      <c r="L1040" s="614"/>
      <c r="M1040" s="614"/>
      <c r="N1040" s="614"/>
      <c r="O1040" s="614">
        <f t="shared" si="54"/>
        <v>0</v>
      </c>
      <c r="P1040" s="614">
        <f>+SUM(H1039:H1040)-SUM(N1039:N1040)</f>
        <v>0</v>
      </c>
      <c r="Q1040" s="655"/>
      <c r="R1040" s="655"/>
      <c r="S1040" s="500"/>
      <c r="T1040" s="500" t="s">
        <v>1208</v>
      </c>
      <c r="U1040" s="13"/>
      <c r="AB1040" s="252"/>
    </row>
    <row r="1041" spans="1:28" s="26" customFormat="1" hidden="1">
      <c r="A1041" s="93" t="s">
        <v>1480</v>
      </c>
      <c r="B1041" s="474" t="s">
        <v>476</v>
      </c>
      <c r="C1041" s="656" t="s">
        <v>487</v>
      </c>
      <c r="D1041" s="656" t="s">
        <v>283</v>
      </c>
      <c r="E1041" s="445">
        <v>39205</v>
      </c>
      <c r="F1041" s="610">
        <v>38585</v>
      </c>
      <c r="G1041" s="610">
        <v>31100</v>
      </c>
      <c r="H1041" s="610">
        <v>1199993500</v>
      </c>
      <c r="I1041" s="612" t="s">
        <v>499</v>
      </c>
      <c r="J1041" s="605">
        <v>40102</v>
      </c>
      <c r="K1041" s="610">
        <v>19293</v>
      </c>
      <c r="L1041" s="610">
        <v>39308.306173223449</v>
      </c>
      <c r="M1041" s="610">
        <v>758375151</v>
      </c>
      <c r="N1041" s="610">
        <v>600012300</v>
      </c>
      <c r="O1041" s="610">
        <f t="shared" si="54"/>
        <v>158362851</v>
      </c>
      <c r="P1041" s="610"/>
      <c r="Q1041" s="656"/>
      <c r="R1041" s="656"/>
      <c r="S1041" s="501" t="s">
        <v>1221</v>
      </c>
      <c r="T1041" s="501"/>
      <c r="U1041" s="13"/>
      <c r="AB1041" s="252"/>
    </row>
    <row r="1042" spans="1:28" s="26" customFormat="1" hidden="1">
      <c r="A1042" s="93" t="s">
        <v>1480</v>
      </c>
      <c r="B1042" s="474" t="s">
        <v>476</v>
      </c>
      <c r="C1042" s="654" t="s">
        <v>487</v>
      </c>
      <c r="D1042" s="654" t="s">
        <v>283</v>
      </c>
      <c r="E1042" s="440"/>
      <c r="F1042" s="657"/>
      <c r="G1042" s="657"/>
      <c r="H1042" s="657"/>
      <c r="I1042" s="650"/>
      <c r="J1042" s="627">
        <v>40269</v>
      </c>
      <c r="K1042" s="657">
        <v>5691</v>
      </c>
      <c r="L1042" s="657">
        <v>41060.374099455279</v>
      </c>
      <c r="M1042" s="657">
        <v>233674589</v>
      </c>
      <c r="N1042" s="657">
        <v>176990100</v>
      </c>
      <c r="O1042" s="657">
        <f t="shared" si="54"/>
        <v>56684489</v>
      </c>
      <c r="P1042" s="657"/>
      <c r="Q1042" s="654"/>
      <c r="R1042" s="654"/>
      <c r="S1042" s="499"/>
      <c r="T1042" s="499"/>
      <c r="U1042" s="13"/>
      <c r="AB1042" s="252"/>
    </row>
    <row r="1043" spans="1:28" s="26" customFormat="1" hidden="1">
      <c r="A1043" s="93" t="s">
        <v>1480</v>
      </c>
      <c r="B1043" s="474" t="s">
        <v>476</v>
      </c>
      <c r="C1043" s="475" t="s">
        <v>487</v>
      </c>
      <c r="D1043" s="653" t="s">
        <v>283</v>
      </c>
      <c r="E1043" s="451"/>
      <c r="F1043" s="637"/>
      <c r="G1043" s="637"/>
      <c r="H1043" s="637"/>
      <c r="I1043" s="470"/>
      <c r="J1043" s="519">
        <v>40301</v>
      </c>
      <c r="K1043" s="636">
        <v>13601</v>
      </c>
      <c r="L1043" s="636">
        <v>31615.322402764501</v>
      </c>
      <c r="M1043" s="636">
        <v>430000000</v>
      </c>
      <c r="N1043" s="636">
        <v>422991100</v>
      </c>
      <c r="O1043" s="636">
        <f t="shared" si="54"/>
        <v>7008900</v>
      </c>
      <c r="P1043" s="636"/>
      <c r="Q1043" s="449"/>
      <c r="R1043" s="449"/>
      <c r="S1043" s="500"/>
      <c r="T1043" s="500"/>
      <c r="U1043" s="13"/>
      <c r="AB1043" s="252"/>
    </row>
    <row r="1044" spans="1:28" s="26" customFormat="1" hidden="1">
      <c r="A1044" s="93" t="s">
        <v>1480</v>
      </c>
      <c r="B1044" s="474" t="s">
        <v>476</v>
      </c>
      <c r="C1044" s="456" t="s">
        <v>487</v>
      </c>
      <c r="D1044" s="456" t="s">
        <v>298</v>
      </c>
      <c r="E1044" s="445">
        <v>39318</v>
      </c>
      <c r="F1044" s="634">
        <v>11765</v>
      </c>
      <c r="G1044" s="634"/>
      <c r="H1044" s="634">
        <v>1000025000</v>
      </c>
      <c r="I1044" s="469" t="s">
        <v>499</v>
      </c>
      <c r="J1044" s="448">
        <v>40967</v>
      </c>
      <c r="K1044" s="634">
        <v>192610</v>
      </c>
      <c r="L1044" s="634">
        <v>520</v>
      </c>
      <c r="M1044" s="634">
        <v>100157200</v>
      </c>
      <c r="N1044" s="634">
        <v>1000025000</v>
      </c>
      <c r="O1044" s="634">
        <f t="shared" si="54"/>
        <v>-899867800</v>
      </c>
      <c r="P1044" s="634"/>
      <c r="Q1044" s="456"/>
      <c r="R1044" s="456"/>
      <c r="S1044" s="501"/>
      <c r="T1044" s="501" t="s">
        <v>1208</v>
      </c>
      <c r="U1044" s="13"/>
      <c r="AB1044" s="252"/>
    </row>
    <row r="1045" spans="1:28" s="26" customFormat="1" hidden="1">
      <c r="A1045" s="93" t="s">
        <v>1480</v>
      </c>
      <c r="B1045" s="474" t="s">
        <v>476</v>
      </c>
      <c r="C1045" s="450" t="s">
        <v>487</v>
      </c>
      <c r="D1045" s="450" t="s">
        <v>298</v>
      </c>
      <c r="E1045" s="440">
        <v>39532</v>
      </c>
      <c r="F1045" s="635">
        <v>7496</v>
      </c>
      <c r="G1045" s="635"/>
      <c r="H1045" s="635"/>
      <c r="I1045" s="471" t="s">
        <v>1138</v>
      </c>
      <c r="J1045" s="575"/>
      <c r="K1045" s="635"/>
      <c r="L1045" s="635"/>
      <c r="M1045" s="635"/>
      <c r="N1045" s="635"/>
      <c r="O1045" s="635">
        <f t="shared" si="54"/>
        <v>0</v>
      </c>
      <c r="P1045" s="635"/>
      <c r="Q1045" s="450"/>
      <c r="R1045" s="450"/>
      <c r="S1045" s="499"/>
      <c r="T1045" s="499" t="s">
        <v>1208</v>
      </c>
      <c r="U1045" s="13"/>
      <c r="AB1045" s="252"/>
    </row>
    <row r="1046" spans="1:28" s="26" customFormat="1" hidden="1">
      <c r="A1046" s="93" t="s">
        <v>1480</v>
      </c>
      <c r="B1046" s="474" t="s">
        <v>476</v>
      </c>
      <c r="C1046" s="449" t="s">
        <v>487</v>
      </c>
      <c r="D1046" s="449" t="s">
        <v>298</v>
      </c>
      <c r="E1046" s="442">
        <v>39566</v>
      </c>
      <c r="F1046" s="636">
        <v>173349</v>
      </c>
      <c r="G1046" s="636">
        <v>5191.9682259488081</v>
      </c>
      <c r="H1046" s="636"/>
      <c r="I1046" s="470" t="s">
        <v>1139</v>
      </c>
      <c r="J1046" s="576"/>
      <c r="K1046" s="636"/>
      <c r="L1046" s="636"/>
      <c r="M1046" s="636"/>
      <c r="N1046" s="636"/>
      <c r="O1046" s="636">
        <f t="shared" si="54"/>
        <v>0</v>
      </c>
      <c r="P1046" s="614">
        <f>+SUM(H1044:H1046)-SUM(N1044:N1046)</f>
        <v>0</v>
      </c>
      <c r="Q1046" s="449"/>
      <c r="R1046" s="449"/>
      <c r="S1046" s="500"/>
      <c r="T1046" s="500" t="s">
        <v>1208</v>
      </c>
      <c r="U1046" s="13"/>
      <c r="AB1046" s="252"/>
    </row>
    <row r="1047" spans="1:28" s="26" customFormat="1" hidden="1">
      <c r="A1047" s="93" t="s">
        <v>1480</v>
      </c>
      <c r="B1047" s="474" t="s">
        <v>476</v>
      </c>
      <c r="C1047" s="456" t="s">
        <v>487</v>
      </c>
      <c r="D1047" s="456" t="s">
        <v>496</v>
      </c>
      <c r="E1047" s="445">
        <v>39421</v>
      </c>
      <c r="F1047" s="634">
        <v>26666</v>
      </c>
      <c r="G1047" s="634">
        <v>6000</v>
      </c>
      <c r="H1047" s="634">
        <v>1999950000</v>
      </c>
      <c r="I1047" s="469" t="s">
        <v>499</v>
      </c>
      <c r="J1047" s="605">
        <v>40911</v>
      </c>
      <c r="K1047" s="610">
        <v>6000</v>
      </c>
      <c r="L1047" s="657">
        <v>18980.271666666667</v>
      </c>
      <c r="M1047" s="531">
        <v>113881630</v>
      </c>
      <c r="N1047" s="634">
        <v>36000000</v>
      </c>
      <c r="O1047" s="634">
        <f t="shared" si="54"/>
        <v>77881630</v>
      </c>
      <c r="P1047" s="634"/>
      <c r="Q1047" s="480"/>
      <c r="R1047" s="480" t="s">
        <v>488</v>
      </c>
      <c r="S1047" s="501"/>
      <c r="T1047" s="501" t="s">
        <v>1208</v>
      </c>
      <c r="U1047" s="13"/>
      <c r="AB1047" s="252"/>
    </row>
    <row r="1048" spans="1:28" s="26" customFormat="1" hidden="1">
      <c r="A1048" s="93" t="s">
        <v>1480</v>
      </c>
      <c r="B1048" s="474" t="s">
        <v>476</v>
      </c>
      <c r="C1048" s="450" t="s">
        <v>487</v>
      </c>
      <c r="D1048" s="450" t="s">
        <v>496</v>
      </c>
      <c r="E1048" s="440">
        <v>39994</v>
      </c>
      <c r="F1048" s="635">
        <v>239994</v>
      </c>
      <c r="G1048" s="635"/>
      <c r="H1048" s="635"/>
      <c r="I1048" s="471" t="s">
        <v>1139</v>
      </c>
      <c r="J1048" s="627">
        <v>40912</v>
      </c>
      <c r="K1048" s="657">
        <v>242400</v>
      </c>
      <c r="L1048" s="657">
        <v>19510.069108910891</v>
      </c>
      <c r="M1048" s="525">
        <v>4729240752</v>
      </c>
      <c r="N1048" s="635">
        <v>1454400000</v>
      </c>
      <c r="O1048" s="635">
        <f t="shared" si="54"/>
        <v>3274840752</v>
      </c>
      <c r="P1048" s="635"/>
      <c r="Q1048" s="481"/>
      <c r="R1048" s="481" t="s">
        <v>488</v>
      </c>
      <c r="S1048" s="499"/>
      <c r="T1048" s="499" t="s">
        <v>1208</v>
      </c>
      <c r="U1048" s="13"/>
      <c r="AB1048" s="252"/>
    </row>
    <row r="1049" spans="1:28" s="26" customFormat="1" hidden="1">
      <c r="A1049" s="93" t="s">
        <v>1480</v>
      </c>
      <c r="B1049" s="474" t="s">
        <v>476</v>
      </c>
      <c r="C1049" s="450" t="s">
        <v>487</v>
      </c>
      <c r="D1049" s="450" t="s">
        <v>496</v>
      </c>
      <c r="E1049" s="440"/>
      <c r="F1049" s="635"/>
      <c r="G1049" s="635"/>
      <c r="H1049" s="635"/>
      <c r="I1049" s="471"/>
      <c r="J1049" s="627">
        <v>40913</v>
      </c>
      <c r="K1049" s="657">
        <v>7000</v>
      </c>
      <c r="L1049" s="657">
        <v>21030.231428571427</v>
      </c>
      <c r="M1049" s="525">
        <v>147211620</v>
      </c>
      <c r="N1049" s="635">
        <v>42000000</v>
      </c>
      <c r="O1049" s="635">
        <f t="shared" si="54"/>
        <v>105211620</v>
      </c>
      <c r="P1049" s="635"/>
      <c r="Q1049" s="481"/>
      <c r="R1049" s="481" t="s">
        <v>488</v>
      </c>
      <c r="S1049" s="499"/>
      <c r="T1049" s="499" t="s">
        <v>1208</v>
      </c>
      <c r="U1049" s="13"/>
      <c r="AB1049" s="252"/>
    </row>
    <row r="1050" spans="1:28" s="26" customFormat="1" hidden="1">
      <c r="A1050" s="93" t="s">
        <v>1480</v>
      </c>
      <c r="B1050" s="474" t="s">
        <v>476</v>
      </c>
      <c r="C1050" s="450" t="s">
        <v>487</v>
      </c>
      <c r="D1050" s="450" t="s">
        <v>496</v>
      </c>
      <c r="E1050" s="440"/>
      <c r="F1050" s="635"/>
      <c r="G1050" s="635"/>
      <c r="H1050" s="635"/>
      <c r="I1050" s="471"/>
      <c r="J1050" s="627">
        <v>40914</v>
      </c>
      <c r="K1050" s="657">
        <v>4000</v>
      </c>
      <c r="L1050" s="657">
        <v>21112.325000000001</v>
      </c>
      <c r="M1050" s="525">
        <v>84449300</v>
      </c>
      <c r="N1050" s="635">
        <v>24000000</v>
      </c>
      <c r="O1050" s="635">
        <f t="shared" si="54"/>
        <v>60449300</v>
      </c>
      <c r="P1050" s="635"/>
      <c r="Q1050" s="481"/>
      <c r="R1050" s="481" t="s">
        <v>488</v>
      </c>
      <c r="S1050" s="499"/>
      <c r="T1050" s="499" t="s">
        <v>1208</v>
      </c>
      <c r="U1050" s="13"/>
      <c r="AB1050" s="252"/>
    </row>
    <row r="1051" spans="1:28" s="26" customFormat="1" hidden="1">
      <c r="A1051" s="93" t="s">
        <v>1480</v>
      </c>
      <c r="B1051" s="474" t="s">
        <v>476</v>
      </c>
      <c r="C1051" s="450" t="s">
        <v>487</v>
      </c>
      <c r="D1051" s="450" t="s">
        <v>496</v>
      </c>
      <c r="E1051" s="440"/>
      <c r="F1051" s="635"/>
      <c r="G1051" s="635"/>
      <c r="H1051" s="635"/>
      <c r="I1051" s="471"/>
      <c r="J1051" s="627">
        <v>40917</v>
      </c>
      <c r="K1051" s="657">
        <v>10000</v>
      </c>
      <c r="L1051" s="657">
        <v>20687.580000000002</v>
      </c>
      <c r="M1051" s="525">
        <v>206875800</v>
      </c>
      <c r="N1051" s="635">
        <v>60000000</v>
      </c>
      <c r="O1051" s="635">
        <f t="shared" si="54"/>
        <v>146875800</v>
      </c>
      <c r="P1051" s="635"/>
      <c r="Q1051" s="481"/>
      <c r="R1051" s="481" t="s">
        <v>488</v>
      </c>
      <c r="S1051" s="499"/>
      <c r="T1051" s="499" t="s">
        <v>1208</v>
      </c>
      <c r="U1051" s="13"/>
      <c r="AB1051" s="252"/>
    </row>
    <row r="1052" spans="1:28" s="26" customFormat="1" hidden="1">
      <c r="A1052" s="93" t="s">
        <v>1480</v>
      </c>
      <c r="B1052" s="474" t="s">
        <v>476</v>
      </c>
      <c r="C1052" s="450" t="s">
        <v>487</v>
      </c>
      <c r="D1052" s="450" t="s">
        <v>496</v>
      </c>
      <c r="E1052" s="440"/>
      <c r="F1052" s="635"/>
      <c r="G1052" s="635"/>
      <c r="H1052" s="635"/>
      <c r="I1052" s="471"/>
      <c r="J1052" s="627">
        <v>40918</v>
      </c>
      <c r="K1052" s="657">
        <v>13500</v>
      </c>
      <c r="L1052" s="657">
        <v>20462.781555555557</v>
      </c>
      <c r="M1052" s="525">
        <v>276247551</v>
      </c>
      <c r="N1052" s="635">
        <v>81000000</v>
      </c>
      <c r="O1052" s="635">
        <f t="shared" si="54"/>
        <v>195247551</v>
      </c>
      <c r="P1052" s="635"/>
      <c r="Q1052" s="481"/>
      <c r="R1052" s="481" t="s">
        <v>488</v>
      </c>
      <c r="S1052" s="499"/>
      <c r="T1052" s="499" t="s">
        <v>1208</v>
      </c>
      <c r="U1052" s="13"/>
      <c r="AB1052" s="252"/>
    </row>
    <row r="1053" spans="1:28" s="26" customFormat="1" hidden="1">
      <c r="A1053" s="93" t="s">
        <v>1480</v>
      </c>
      <c r="B1053" s="474" t="s">
        <v>476</v>
      </c>
      <c r="C1053" s="450" t="s">
        <v>487</v>
      </c>
      <c r="D1053" s="450" t="s">
        <v>496</v>
      </c>
      <c r="E1053" s="440"/>
      <c r="F1053" s="635"/>
      <c r="G1053" s="635"/>
      <c r="H1053" s="635"/>
      <c r="I1053" s="471"/>
      <c r="J1053" s="627">
        <v>40919</v>
      </c>
      <c r="K1053" s="657">
        <v>11800</v>
      </c>
      <c r="L1053" s="657">
        <v>20100.966016949151</v>
      </c>
      <c r="M1053" s="525">
        <v>237191399</v>
      </c>
      <c r="N1053" s="635">
        <v>70800000</v>
      </c>
      <c r="O1053" s="635">
        <f t="shared" si="54"/>
        <v>166391399</v>
      </c>
      <c r="P1053" s="635"/>
      <c r="Q1053" s="481"/>
      <c r="R1053" s="481" t="s">
        <v>488</v>
      </c>
      <c r="S1053" s="499"/>
      <c r="T1053" s="499" t="s">
        <v>1208</v>
      </c>
      <c r="U1053" s="13"/>
      <c r="AB1053" s="252"/>
    </row>
    <row r="1054" spans="1:28" s="26" customFormat="1" hidden="1">
      <c r="A1054" s="93" t="s">
        <v>1480</v>
      </c>
      <c r="B1054" s="474" t="s">
        <v>476</v>
      </c>
      <c r="C1054" s="450" t="s">
        <v>487</v>
      </c>
      <c r="D1054" s="450" t="s">
        <v>496</v>
      </c>
      <c r="E1054" s="440"/>
      <c r="F1054" s="635"/>
      <c r="G1054" s="635"/>
      <c r="H1054" s="635"/>
      <c r="I1054" s="471"/>
      <c r="J1054" s="627">
        <v>40920</v>
      </c>
      <c r="K1054" s="657">
        <v>24500</v>
      </c>
      <c r="L1054" s="657">
        <v>20778.590653061223</v>
      </c>
      <c r="M1054" s="525">
        <v>509075471</v>
      </c>
      <c r="N1054" s="635">
        <v>147000000</v>
      </c>
      <c r="O1054" s="635">
        <f t="shared" si="54"/>
        <v>362075471</v>
      </c>
      <c r="P1054" s="635"/>
      <c r="Q1054" s="481"/>
      <c r="R1054" s="481" t="s">
        <v>488</v>
      </c>
      <c r="S1054" s="499"/>
      <c r="T1054" s="499" t="s">
        <v>1208</v>
      </c>
      <c r="U1054" s="13"/>
      <c r="AB1054" s="252"/>
    </row>
    <row r="1055" spans="1:28" s="26" customFormat="1" hidden="1">
      <c r="A1055" s="93" t="s">
        <v>1480</v>
      </c>
      <c r="B1055" s="474" t="s">
        <v>476</v>
      </c>
      <c r="C1055" s="450" t="s">
        <v>487</v>
      </c>
      <c r="D1055" s="450" t="s">
        <v>496</v>
      </c>
      <c r="E1055" s="440"/>
      <c r="F1055" s="635"/>
      <c r="G1055" s="635"/>
      <c r="H1055" s="635"/>
      <c r="I1055" s="471"/>
      <c r="J1055" s="627">
        <v>40921</v>
      </c>
      <c r="K1055" s="657">
        <v>6000</v>
      </c>
      <c r="L1055" s="657">
        <v>22153.366666666665</v>
      </c>
      <c r="M1055" s="525">
        <v>132920200</v>
      </c>
      <c r="N1055" s="635">
        <v>36000000</v>
      </c>
      <c r="O1055" s="635">
        <f t="shared" si="54"/>
        <v>96920200</v>
      </c>
      <c r="P1055" s="635"/>
      <c r="Q1055" s="481"/>
      <c r="R1055" s="481" t="s">
        <v>488</v>
      </c>
      <c r="S1055" s="499"/>
      <c r="T1055" s="499" t="s">
        <v>1208</v>
      </c>
      <c r="U1055" s="13"/>
      <c r="AB1055" s="252"/>
    </row>
    <row r="1056" spans="1:28" s="26" customFormat="1" hidden="1">
      <c r="A1056" s="93" t="s">
        <v>1480</v>
      </c>
      <c r="B1056" s="474" t="s">
        <v>476</v>
      </c>
      <c r="C1056" s="450" t="s">
        <v>487</v>
      </c>
      <c r="D1056" s="450" t="s">
        <v>496</v>
      </c>
      <c r="E1056" s="440"/>
      <c r="F1056" s="635"/>
      <c r="G1056" s="635"/>
      <c r="H1056" s="635"/>
      <c r="I1056" s="471"/>
      <c r="J1056" s="627">
        <v>40924</v>
      </c>
      <c r="K1056" s="657">
        <v>5500</v>
      </c>
      <c r="L1056" s="657">
        <v>22077.654545454545</v>
      </c>
      <c r="M1056" s="525">
        <v>121427100</v>
      </c>
      <c r="N1056" s="635">
        <v>33000000</v>
      </c>
      <c r="O1056" s="635">
        <f t="shared" si="54"/>
        <v>88427100</v>
      </c>
      <c r="P1056" s="635"/>
      <c r="Q1056" s="481"/>
      <c r="R1056" s="481" t="s">
        <v>488</v>
      </c>
      <c r="S1056" s="499"/>
      <c r="T1056" s="499" t="s">
        <v>1208</v>
      </c>
      <c r="U1056" s="13"/>
      <c r="AB1056" s="252"/>
    </row>
    <row r="1057" spans="1:28" s="26" customFormat="1" hidden="1">
      <c r="A1057" s="93" t="s">
        <v>1480</v>
      </c>
      <c r="B1057" s="475" t="s">
        <v>476</v>
      </c>
      <c r="C1057" s="449" t="s">
        <v>487</v>
      </c>
      <c r="D1057" s="449" t="s">
        <v>496</v>
      </c>
      <c r="E1057" s="442"/>
      <c r="F1057" s="636"/>
      <c r="G1057" s="636"/>
      <c r="H1057" s="636"/>
      <c r="I1057" s="470"/>
      <c r="J1057" s="606">
        <v>40925</v>
      </c>
      <c r="K1057" s="614">
        <v>2625</v>
      </c>
      <c r="L1057" s="614">
        <v>22510.295238095237</v>
      </c>
      <c r="M1057" s="526">
        <v>59089525</v>
      </c>
      <c r="N1057" s="636">
        <v>15750000</v>
      </c>
      <c r="O1057" s="636">
        <f t="shared" si="54"/>
        <v>43339525</v>
      </c>
      <c r="P1057" s="614">
        <f>+SUM(H1047:H1057)-SUM(N1047:N1057)</f>
        <v>0</v>
      </c>
      <c r="Q1057" s="486"/>
      <c r="R1057" s="486" t="s">
        <v>488</v>
      </c>
      <c r="S1057" s="500"/>
      <c r="T1057" s="500" t="s">
        <v>1208</v>
      </c>
      <c r="U1057" s="13"/>
      <c r="AB1057" s="252"/>
    </row>
    <row r="1058" spans="1:28" s="26" customFormat="1" hidden="1">
      <c r="A1058" s="93" t="s">
        <v>1480</v>
      </c>
      <c r="B1058" s="474" t="s">
        <v>476</v>
      </c>
      <c r="C1058" s="664" t="s">
        <v>492</v>
      </c>
      <c r="D1058" s="664" t="s">
        <v>300</v>
      </c>
      <c r="E1058" s="524">
        <v>39478</v>
      </c>
      <c r="F1058" s="648">
        <v>0</v>
      </c>
      <c r="G1058" s="648"/>
      <c r="H1058" s="648">
        <v>450000000</v>
      </c>
      <c r="I1058" s="736" t="s">
        <v>1214</v>
      </c>
      <c r="J1058" s="663">
        <v>40217</v>
      </c>
      <c r="K1058" s="648">
        <v>0</v>
      </c>
      <c r="L1058" s="648">
        <v>0</v>
      </c>
      <c r="M1058" s="648">
        <v>265831472</v>
      </c>
      <c r="N1058" s="648">
        <v>180000000</v>
      </c>
      <c r="O1058" s="648">
        <f t="shared" si="54"/>
        <v>85831472</v>
      </c>
      <c r="P1058" s="648"/>
      <c r="Q1058" s="512"/>
      <c r="R1058" s="512" t="s">
        <v>1222</v>
      </c>
      <c r="S1058" s="520"/>
      <c r="T1058" s="520" t="s">
        <v>1208</v>
      </c>
      <c r="U1058" s="13"/>
      <c r="AB1058" s="252"/>
    </row>
    <row r="1059" spans="1:28" s="26" customFormat="1" hidden="1">
      <c r="A1059" s="93" t="s">
        <v>1480</v>
      </c>
      <c r="B1059" s="474" t="s">
        <v>476</v>
      </c>
      <c r="C1059" s="655" t="s">
        <v>492</v>
      </c>
      <c r="D1059" s="655" t="s">
        <v>300</v>
      </c>
      <c r="E1059" s="442"/>
      <c r="F1059" s="614"/>
      <c r="G1059" s="614"/>
      <c r="H1059" s="614"/>
      <c r="I1059" s="613"/>
      <c r="J1059" s="606">
        <v>40282</v>
      </c>
      <c r="K1059" s="614"/>
      <c r="L1059" s="614"/>
      <c r="M1059" s="614">
        <v>274327397</v>
      </c>
      <c r="N1059" s="614">
        <v>270000000</v>
      </c>
      <c r="O1059" s="614">
        <f t="shared" si="54"/>
        <v>4327397</v>
      </c>
      <c r="P1059" s="614">
        <f>+SUM(H1058:H1059)-SUM(N1058:N1059)</f>
        <v>0</v>
      </c>
      <c r="Q1059" s="449"/>
      <c r="R1059" s="449" t="s">
        <v>1222</v>
      </c>
      <c r="S1059" s="479"/>
      <c r="T1059" s="479" t="s">
        <v>1208</v>
      </c>
      <c r="U1059" s="13"/>
      <c r="AB1059" s="252"/>
    </row>
    <row r="1060" spans="1:28" s="26" customFormat="1" hidden="1">
      <c r="A1060" s="93" t="s">
        <v>1480</v>
      </c>
      <c r="B1060" s="474" t="s">
        <v>476</v>
      </c>
      <c r="C1060" s="656" t="s">
        <v>492</v>
      </c>
      <c r="D1060" s="656" t="s">
        <v>301</v>
      </c>
      <c r="E1060" s="445">
        <v>39534</v>
      </c>
      <c r="F1060" s="610">
        <v>0</v>
      </c>
      <c r="G1060" s="610"/>
      <c r="H1060" s="610">
        <v>3790000000</v>
      </c>
      <c r="I1060" s="612" t="s">
        <v>1214</v>
      </c>
      <c r="J1060" s="605">
        <v>39639</v>
      </c>
      <c r="K1060" s="610">
        <v>0</v>
      </c>
      <c r="L1060" s="610"/>
      <c r="M1060" s="610">
        <v>9449041</v>
      </c>
      <c r="N1060" s="610">
        <v>0</v>
      </c>
      <c r="O1060" s="610">
        <f t="shared" si="54"/>
        <v>9449041</v>
      </c>
      <c r="P1060" s="610"/>
      <c r="Q1060" s="456"/>
      <c r="R1060" s="456" t="s">
        <v>493</v>
      </c>
      <c r="S1060" s="501" t="s">
        <v>346</v>
      </c>
      <c r="T1060" s="501" t="s">
        <v>1208</v>
      </c>
      <c r="U1060" s="13"/>
      <c r="AB1060" s="252"/>
    </row>
    <row r="1061" spans="1:28" s="26" customFormat="1" hidden="1">
      <c r="A1061" s="93" t="s">
        <v>1480</v>
      </c>
      <c r="B1061" s="474" t="s">
        <v>476</v>
      </c>
      <c r="C1061" s="654" t="s">
        <v>492</v>
      </c>
      <c r="D1061" s="654" t="s">
        <v>301</v>
      </c>
      <c r="E1061" s="440"/>
      <c r="F1061" s="657"/>
      <c r="G1061" s="657"/>
      <c r="H1061" s="657"/>
      <c r="I1061" s="650"/>
      <c r="J1061" s="627">
        <v>39731</v>
      </c>
      <c r="K1061" s="657">
        <v>0</v>
      </c>
      <c r="L1061" s="657"/>
      <c r="M1061" s="657">
        <v>9552877</v>
      </c>
      <c r="N1061" s="657">
        <v>0</v>
      </c>
      <c r="O1061" s="657">
        <f t="shared" ref="O1061:O1077" si="55">+M1061-N1061</f>
        <v>9552877</v>
      </c>
      <c r="P1061" s="657"/>
      <c r="Q1061" s="450"/>
      <c r="R1061" s="450" t="s">
        <v>493</v>
      </c>
      <c r="S1061" s="499" t="s">
        <v>346</v>
      </c>
      <c r="T1061" s="499" t="s">
        <v>1208</v>
      </c>
      <c r="U1061" s="13"/>
      <c r="AB1061" s="252"/>
    </row>
    <row r="1062" spans="1:28" s="26" customFormat="1" hidden="1">
      <c r="A1062" s="93" t="s">
        <v>1480</v>
      </c>
      <c r="B1062" s="474" t="s">
        <v>476</v>
      </c>
      <c r="C1062" s="654" t="s">
        <v>492</v>
      </c>
      <c r="D1062" s="654" t="s">
        <v>301</v>
      </c>
      <c r="E1062" s="440"/>
      <c r="F1062" s="657"/>
      <c r="G1062" s="657"/>
      <c r="H1062" s="657"/>
      <c r="I1062" s="650"/>
      <c r="J1062" s="627">
        <v>39825</v>
      </c>
      <c r="K1062" s="657">
        <v>0</v>
      </c>
      <c r="L1062" s="657"/>
      <c r="M1062" s="657">
        <v>9552877</v>
      </c>
      <c r="N1062" s="657">
        <v>0</v>
      </c>
      <c r="O1062" s="657">
        <f t="shared" si="55"/>
        <v>9552877</v>
      </c>
      <c r="P1062" s="657"/>
      <c r="Q1062" s="450"/>
      <c r="R1062" s="450" t="s">
        <v>493</v>
      </c>
      <c r="S1062" s="499" t="s">
        <v>346</v>
      </c>
      <c r="T1062" s="499" t="s">
        <v>1208</v>
      </c>
      <c r="U1062" s="13"/>
      <c r="AB1062" s="252"/>
    </row>
    <row r="1063" spans="1:28" s="26" customFormat="1" hidden="1">
      <c r="A1063" s="93" t="s">
        <v>1480</v>
      </c>
      <c r="B1063" s="474" t="s">
        <v>476</v>
      </c>
      <c r="C1063" s="654" t="s">
        <v>492</v>
      </c>
      <c r="D1063" s="654" t="s">
        <v>301</v>
      </c>
      <c r="E1063" s="440"/>
      <c r="F1063" s="657"/>
      <c r="G1063" s="657"/>
      <c r="H1063" s="657"/>
      <c r="I1063" s="650"/>
      <c r="J1063" s="627">
        <v>39913</v>
      </c>
      <c r="K1063" s="657">
        <v>0</v>
      </c>
      <c r="L1063" s="657"/>
      <c r="M1063" s="657">
        <v>9345205</v>
      </c>
      <c r="N1063" s="657">
        <v>0</v>
      </c>
      <c r="O1063" s="657">
        <f t="shared" si="55"/>
        <v>9345205</v>
      </c>
      <c r="P1063" s="657"/>
      <c r="Q1063" s="450"/>
      <c r="R1063" s="450" t="s">
        <v>493</v>
      </c>
      <c r="S1063" s="499" t="s">
        <v>346</v>
      </c>
      <c r="T1063" s="499" t="s">
        <v>1208</v>
      </c>
      <c r="U1063" s="13"/>
      <c r="AB1063" s="252"/>
    </row>
    <row r="1064" spans="1:28" s="26" customFormat="1" hidden="1">
      <c r="A1064" s="93" t="s">
        <v>1480</v>
      </c>
      <c r="B1064" s="474" t="s">
        <v>476</v>
      </c>
      <c r="C1064" s="654" t="s">
        <v>492</v>
      </c>
      <c r="D1064" s="654" t="s">
        <v>301</v>
      </c>
      <c r="E1064" s="440"/>
      <c r="F1064" s="657"/>
      <c r="G1064" s="657"/>
      <c r="H1064" s="657"/>
      <c r="I1064" s="650"/>
      <c r="J1064" s="627">
        <v>39913</v>
      </c>
      <c r="K1064" s="657">
        <v>0</v>
      </c>
      <c r="L1064" s="657"/>
      <c r="M1064" s="657">
        <v>426000000</v>
      </c>
      <c r="N1064" s="657">
        <v>400000000</v>
      </c>
      <c r="O1064" s="657">
        <f t="shared" si="55"/>
        <v>26000000</v>
      </c>
      <c r="P1064" s="657"/>
      <c r="Q1064" s="450"/>
      <c r="R1064" s="450" t="s">
        <v>493</v>
      </c>
      <c r="S1064" s="499" t="s">
        <v>1223</v>
      </c>
      <c r="T1064" s="499" t="s">
        <v>1208</v>
      </c>
      <c r="U1064" s="13"/>
      <c r="AB1064" s="252"/>
    </row>
    <row r="1065" spans="1:28" s="26" customFormat="1" hidden="1">
      <c r="A1065" s="93" t="s">
        <v>1480</v>
      </c>
      <c r="B1065" s="474" t="s">
        <v>476</v>
      </c>
      <c r="C1065" s="654" t="s">
        <v>492</v>
      </c>
      <c r="D1065" s="654" t="s">
        <v>301</v>
      </c>
      <c r="E1065" s="440"/>
      <c r="F1065" s="657"/>
      <c r="G1065" s="657"/>
      <c r="H1065" s="657"/>
      <c r="I1065" s="650"/>
      <c r="J1065" s="627">
        <v>39974</v>
      </c>
      <c r="K1065" s="657">
        <v>0</v>
      </c>
      <c r="L1065" s="657"/>
      <c r="M1065" s="657">
        <v>215614358</v>
      </c>
      <c r="N1065" s="657">
        <v>200000000</v>
      </c>
      <c r="O1065" s="657">
        <f t="shared" si="55"/>
        <v>15614358</v>
      </c>
      <c r="P1065" s="657"/>
      <c r="Q1065" s="450"/>
      <c r="R1065" s="450" t="s">
        <v>493</v>
      </c>
      <c r="S1065" s="499" t="s">
        <v>1223</v>
      </c>
      <c r="T1065" s="499" t="s">
        <v>1208</v>
      </c>
      <c r="U1065" s="13"/>
      <c r="AB1065" s="252"/>
    </row>
    <row r="1066" spans="1:28" s="26" customFormat="1" hidden="1">
      <c r="A1066" s="93" t="s">
        <v>1480</v>
      </c>
      <c r="B1066" s="474" t="s">
        <v>476</v>
      </c>
      <c r="C1066" s="654" t="s">
        <v>492</v>
      </c>
      <c r="D1066" s="654" t="s">
        <v>301</v>
      </c>
      <c r="E1066" s="440"/>
      <c r="F1066" s="657"/>
      <c r="G1066" s="657"/>
      <c r="H1066" s="657"/>
      <c r="I1066" s="650"/>
      <c r="J1066" s="627">
        <v>40004</v>
      </c>
      <c r="K1066" s="657">
        <v>0</v>
      </c>
      <c r="L1066" s="657" t="s">
        <v>1224</v>
      </c>
      <c r="M1066" s="657">
        <v>8287397</v>
      </c>
      <c r="N1066" s="657">
        <v>0</v>
      </c>
      <c r="O1066" s="657">
        <f t="shared" si="55"/>
        <v>8287397</v>
      </c>
      <c r="P1066" s="657"/>
      <c r="Q1066" s="450"/>
      <c r="R1066" s="450" t="s">
        <v>493</v>
      </c>
      <c r="S1066" s="499" t="s">
        <v>346</v>
      </c>
      <c r="T1066" s="499" t="s">
        <v>1208</v>
      </c>
      <c r="U1066" s="13"/>
      <c r="AB1066" s="252"/>
    </row>
    <row r="1067" spans="1:28" s="26" customFormat="1" hidden="1">
      <c r="A1067" s="93" t="s">
        <v>1480</v>
      </c>
      <c r="B1067" s="474" t="s">
        <v>476</v>
      </c>
      <c r="C1067" s="654" t="s">
        <v>492</v>
      </c>
      <c r="D1067" s="654" t="s">
        <v>301</v>
      </c>
      <c r="E1067" s="440"/>
      <c r="F1067" s="657"/>
      <c r="G1067" s="657"/>
      <c r="H1067" s="657"/>
      <c r="I1067" s="650"/>
      <c r="J1067" s="627">
        <v>40035</v>
      </c>
      <c r="K1067" s="657">
        <v>0</v>
      </c>
      <c r="L1067" s="657" t="s">
        <v>1224</v>
      </c>
      <c r="M1067" s="657">
        <v>217761875</v>
      </c>
      <c r="N1067" s="657">
        <v>200000000</v>
      </c>
      <c r="O1067" s="657">
        <f t="shared" si="55"/>
        <v>17761875</v>
      </c>
      <c r="P1067" s="657"/>
      <c r="Q1067" s="450"/>
      <c r="R1067" s="450" t="s">
        <v>493</v>
      </c>
      <c r="S1067" s="499" t="s">
        <v>1223</v>
      </c>
      <c r="T1067" s="499" t="s">
        <v>1208</v>
      </c>
      <c r="U1067" s="13"/>
      <c r="AB1067" s="252"/>
    </row>
    <row r="1068" spans="1:28" s="26" customFormat="1" hidden="1">
      <c r="A1068" s="93" t="s">
        <v>1480</v>
      </c>
      <c r="B1068" s="474" t="s">
        <v>476</v>
      </c>
      <c r="C1068" s="654" t="s">
        <v>492</v>
      </c>
      <c r="D1068" s="654" t="s">
        <v>301</v>
      </c>
      <c r="E1068" s="440"/>
      <c r="F1068" s="657"/>
      <c r="G1068" s="657"/>
      <c r="H1068" s="657"/>
      <c r="I1068" s="650"/>
      <c r="J1068" s="627">
        <v>40098</v>
      </c>
      <c r="K1068" s="657"/>
      <c r="L1068" s="657"/>
      <c r="M1068" s="657">
        <v>7706301</v>
      </c>
      <c r="N1068" s="657">
        <v>0</v>
      </c>
      <c r="O1068" s="657">
        <f t="shared" si="55"/>
        <v>7706301</v>
      </c>
      <c r="P1068" s="657"/>
      <c r="Q1068" s="450"/>
      <c r="R1068" s="450" t="s">
        <v>493</v>
      </c>
      <c r="S1068" s="499"/>
      <c r="T1068" s="499" t="s">
        <v>1208</v>
      </c>
      <c r="U1068" s="13"/>
      <c r="AB1068" s="252"/>
    </row>
    <row r="1069" spans="1:28" s="26" customFormat="1" hidden="1">
      <c r="A1069" s="93" t="s">
        <v>1480</v>
      </c>
      <c r="B1069" s="474" t="s">
        <v>476</v>
      </c>
      <c r="C1069" s="654" t="s">
        <v>492</v>
      </c>
      <c r="D1069" s="654" t="s">
        <v>301</v>
      </c>
      <c r="E1069" s="440"/>
      <c r="F1069" s="657"/>
      <c r="G1069" s="657"/>
      <c r="H1069" s="657"/>
      <c r="I1069" s="650"/>
      <c r="J1069" s="627">
        <v>40190</v>
      </c>
      <c r="K1069" s="657"/>
      <c r="L1069" s="657"/>
      <c r="M1069" s="657">
        <v>7540361</v>
      </c>
      <c r="N1069" s="657">
        <v>0</v>
      </c>
      <c r="O1069" s="657">
        <f t="shared" si="55"/>
        <v>7540361</v>
      </c>
      <c r="P1069" s="657"/>
      <c r="Q1069" s="450"/>
      <c r="R1069" s="450" t="s">
        <v>493</v>
      </c>
      <c r="S1069" s="499"/>
      <c r="T1069" s="499" t="s">
        <v>1208</v>
      </c>
      <c r="U1069" s="13"/>
      <c r="AB1069" s="252"/>
    </row>
    <row r="1070" spans="1:28" s="26" customFormat="1" hidden="1">
      <c r="A1070" s="93" t="s">
        <v>1480</v>
      </c>
      <c r="B1070" s="474" t="s">
        <v>476</v>
      </c>
      <c r="C1070" s="654" t="s">
        <v>492</v>
      </c>
      <c r="D1070" s="654" t="s">
        <v>301</v>
      </c>
      <c r="E1070" s="440"/>
      <c r="F1070" s="657"/>
      <c r="G1070" s="657"/>
      <c r="H1070" s="657"/>
      <c r="I1070" s="650"/>
      <c r="J1070" s="627">
        <v>40280</v>
      </c>
      <c r="K1070" s="657"/>
      <c r="L1070" s="657"/>
      <c r="M1070" s="657">
        <v>7372603</v>
      </c>
      <c r="N1070" s="657"/>
      <c r="O1070" s="657">
        <f t="shared" si="55"/>
        <v>7372603</v>
      </c>
      <c r="P1070" s="657"/>
      <c r="Q1070" s="450"/>
      <c r="R1070" s="450" t="s">
        <v>493</v>
      </c>
      <c r="S1070" s="499"/>
      <c r="T1070" s="499" t="s">
        <v>1208</v>
      </c>
      <c r="U1070" s="13"/>
      <c r="AB1070" s="252"/>
    </row>
    <row r="1071" spans="1:28" s="26" customFormat="1" hidden="1">
      <c r="A1071" s="93" t="s">
        <v>1480</v>
      </c>
      <c r="B1071" s="474" t="s">
        <v>476</v>
      </c>
      <c r="C1071" s="654" t="s">
        <v>492</v>
      </c>
      <c r="D1071" s="654" t="s">
        <v>301</v>
      </c>
      <c r="E1071" s="440"/>
      <c r="F1071" s="657"/>
      <c r="G1071" s="657"/>
      <c r="H1071" s="657"/>
      <c r="I1071" s="650"/>
      <c r="J1071" s="627">
        <v>40371</v>
      </c>
      <c r="K1071" s="657"/>
      <c r="L1071" s="657"/>
      <c r="M1071" s="657">
        <v>7454521</v>
      </c>
      <c r="N1071" s="657"/>
      <c r="O1071" s="657">
        <f t="shared" si="55"/>
        <v>7454521</v>
      </c>
      <c r="P1071" s="657"/>
      <c r="Q1071" s="450"/>
      <c r="R1071" s="450" t="s">
        <v>493</v>
      </c>
      <c r="S1071" s="499"/>
      <c r="T1071" s="499" t="s">
        <v>1208</v>
      </c>
      <c r="U1071" s="13"/>
      <c r="AB1071" s="252"/>
    </row>
    <row r="1072" spans="1:28" s="26" customFormat="1" hidden="1">
      <c r="A1072" s="93" t="s">
        <v>1480</v>
      </c>
      <c r="B1072" s="474" t="s">
        <v>476</v>
      </c>
      <c r="C1072" s="654" t="s">
        <v>492</v>
      </c>
      <c r="D1072" s="654" t="s">
        <v>301</v>
      </c>
      <c r="E1072" s="440"/>
      <c r="F1072" s="657"/>
      <c r="G1072" s="657"/>
      <c r="H1072" s="657"/>
      <c r="I1072" s="650"/>
      <c r="J1072" s="627">
        <v>40462</v>
      </c>
      <c r="K1072" s="657"/>
      <c r="L1072" s="657"/>
      <c r="M1072" s="657">
        <v>7536438</v>
      </c>
      <c r="N1072" s="657"/>
      <c r="O1072" s="657">
        <f t="shared" si="55"/>
        <v>7536438</v>
      </c>
      <c r="P1072" s="657"/>
      <c r="Q1072" s="450"/>
      <c r="R1072" s="450" t="s">
        <v>493</v>
      </c>
      <c r="S1072" s="499"/>
      <c r="T1072" s="499" t="s">
        <v>1208</v>
      </c>
      <c r="U1072" s="13"/>
      <c r="AB1072" s="252"/>
    </row>
    <row r="1073" spans="1:28" s="26" customFormat="1" hidden="1">
      <c r="A1073" s="93" t="s">
        <v>1480</v>
      </c>
      <c r="B1073" s="474" t="s">
        <v>476</v>
      </c>
      <c r="C1073" s="654" t="s">
        <v>492</v>
      </c>
      <c r="D1073" s="654" t="s">
        <v>301</v>
      </c>
      <c r="E1073" s="440"/>
      <c r="F1073" s="657"/>
      <c r="G1073" s="657"/>
      <c r="H1073" s="657"/>
      <c r="I1073" s="650"/>
      <c r="J1073" s="627">
        <v>40553</v>
      </c>
      <c r="K1073" s="657"/>
      <c r="L1073" s="657"/>
      <c r="M1073" s="657">
        <v>7536438</v>
      </c>
      <c r="N1073" s="657"/>
      <c r="O1073" s="657">
        <f t="shared" si="55"/>
        <v>7536438</v>
      </c>
      <c r="P1073" s="657"/>
      <c r="Q1073" s="450"/>
      <c r="R1073" s="450" t="s">
        <v>493</v>
      </c>
      <c r="S1073" s="499"/>
      <c r="T1073" s="499" t="s">
        <v>1208</v>
      </c>
      <c r="U1073" s="13"/>
      <c r="AB1073" s="252"/>
    </row>
    <row r="1074" spans="1:28" s="26" customFormat="1" hidden="1">
      <c r="A1074" s="93" t="s">
        <v>1480</v>
      </c>
      <c r="B1074" s="474" t="s">
        <v>476</v>
      </c>
      <c r="C1074" s="655" t="s">
        <v>492</v>
      </c>
      <c r="D1074" s="655" t="s">
        <v>301</v>
      </c>
      <c r="E1074" s="442"/>
      <c r="F1074" s="614"/>
      <c r="G1074" s="614"/>
      <c r="H1074" s="614"/>
      <c r="I1074" s="613"/>
      <c r="J1074" s="606">
        <v>40644</v>
      </c>
      <c r="K1074" s="614"/>
      <c r="L1074" s="614"/>
      <c r="M1074" s="614">
        <v>3632140259</v>
      </c>
      <c r="N1074" s="614">
        <v>2990000000</v>
      </c>
      <c r="O1074" s="614">
        <f t="shared" si="55"/>
        <v>642140259</v>
      </c>
      <c r="P1074" s="614">
        <f>+SUM(H1060:H1074)-SUM(N1060:N1074)</f>
        <v>0</v>
      </c>
      <c r="Q1074" s="449"/>
      <c r="R1074" s="449" t="s">
        <v>1225</v>
      </c>
      <c r="S1074" s="500"/>
      <c r="T1074" s="500" t="s">
        <v>1208</v>
      </c>
      <c r="U1074" s="13"/>
      <c r="AB1074" s="252"/>
    </row>
    <row r="1075" spans="1:28" s="26" customFormat="1" hidden="1">
      <c r="A1075" s="93" t="s">
        <v>1480</v>
      </c>
      <c r="B1075" s="474" t="s">
        <v>476</v>
      </c>
      <c r="C1075" s="656" t="s">
        <v>487</v>
      </c>
      <c r="D1075" s="656" t="s">
        <v>300</v>
      </c>
      <c r="E1075" s="445">
        <v>39657</v>
      </c>
      <c r="F1075" s="610">
        <v>4500</v>
      </c>
      <c r="G1075" s="610"/>
      <c r="H1075" s="610">
        <v>450000000</v>
      </c>
      <c r="I1075" s="612" t="s">
        <v>499</v>
      </c>
      <c r="J1075" s="605">
        <v>41009</v>
      </c>
      <c r="K1075" s="610"/>
      <c r="L1075" s="610"/>
      <c r="M1075" s="610">
        <v>100000000</v>
      </c>
      <c r="N1075" s="610"/>
      <c r="O1075" s="610">
        <f t="shared" si="55"/>
        <v>100000000</v>
      </c>
      <c r="P1075" s="610"/>
      <c r="Q1075" s="656"/>
      <c r="R1075" s="656"/>
      <c r="S1075" s="501"/>
      <c r="T1075" s="501" t="s">
        <v>1208</v>
      </c>
      <c r="U1075" s="13"/>
      <c r="AB1075" s="252"/>
    </row>
    <row r="1076" spans="1:28" s="26" customFormat="1" hidden="1">
      <c r="A1076" s="93" t="s">
        <v>1480</v>
      </c>
      <c r="B1076" s="474" t="s">
        <v>476</v>
      </c>
      <c r="C1076" s="654" t="s">
        <v>487</v>
      </c>
      <c r="D1076" s="654" t="s">
        <v>300</v>
      </c>
      <c r="E1076" s="440"/>
      <c r="F1076" s="657"/>
      <c r="G1076" s="657"/>
      <c r="H1076" s="657"/>
      <c r="I1076" s="650"/>
      <c r="J1076" s="627">
        <v>41060</v>
      </c>
      <c r="K1076" s="657"/>
      <c r="L1076" s="657"/>
      <c r="M1076" s="657">
        <v>100000000</v>
      </c>
      <c r="N1076" s="657"/>
      <c r="O1076" s="657">
        <f t="shared" si="55"/>
        <v>100000000</v>
      </c>
      <c r="P1076" s="657"/>
      <c r="Q1076" s="654"/>
      <c r="R1076" s="654"/>
      <c r="S1076" s="479"/>
      <c r="T1076" s="479"/>
      <c r="U1076" s="13"/>
      <c r="AB1076" s="252"/>
    </row>
    <row r="1077" spans="1:28" s="26" customFormat="1" hidden="1">
      <c r="A1077" s="93" t="s">
        <v>1480</v>
      </c>
      <c r="B1077" s="474" t="s">
        <v>476</v>
      </c>
      <c r="C1077" s="655" t="s">
        <v>487</v>
      </c>
      <c r="D1077" s="655" t="s">
        <v>300</v>
      </c>
      <c r="E1077" s="442"/>
      <c r="F1077" s="614"/>
      <c r="G1077" s="614"/>
      <c r="H1077" s="614"/>
      <c r="I1077" s="613"/>
      <c r="J1077" s="606">
        <v>41075</v>
      </c>
      <c r="K1077" s="614"/>
      <c r="L1077" s="614"/>
      <c r="M1077" s="614">
        <v>160000000</v>
      </c>
      <c r="N1077" s="614">
        <v>450000000</v>
      </c>
      <c r="O1077" s="614">
        <f t="shared" si="55"/>
        <v>-290000000</v>
      </c>
      <c r="P1077" s="607">
        <f>+H1077-N1077</f>
        <v>-450000000</v>
      </c>
      <c r="Q1077" s="655"/>
      <c r="R1077" s="655"/>
      <c r="S1077" s="479"/>
      <c r="T1077" s="479"/>
      <c r="U1077" s="13"/>
      <c r="AB1077" s="252"/>
    </row>
    <row r="1078" spans="1:28" s="26" customFormat="1" hidden="1">
      <c r="A1078" s="272" t="s">
        <v>1480</v>
      </c>
      <c r="B1078" s="474" t="s">
        <v>476</v>
      </c>
      <c r="C1078" s="467" t="s">
        <v>1101</v>
      </c>
      <c r="D1078" s="467"/>
      <c r="E1078" s="446"/>
      <c r="F1078" s="498"/>
      <c r="G1078" s="498"/>
      <c r="H1078" s="498">
        <f t="shared" ref="H1078" si="56">SUM(H932:H1077)</f>
        <v>21035696000</v>
      </c>
      <c r="I1078" s="468"/>
      <c r="J1078" s="447"/>
      <c r="K1078" s="498"/>
      <c r="L1078" s="498"/>
      <c r="M1078" s="498">
        <f t="shared" ref="M1078:N1078" si="57">SUM(M932:M1077)</f>
        <v>35024644259</v>
      </c>
      <c r="N1078" s="498">
        <f t="shared" si="57"/>
        <v>21035696000</v>
      </c>
      <c r="O1078" s="498">
        <f>SUM(O932:O1077)</f>
        <v>13988948259</v>
      </c>
      <c r="P1078" s="498">
        <f>SUM(P932:P1077)</f>
        <v>-450000000</v>
      </c>
      <c r="Q1078" s="467"/>
      <c r="R1078" s="467"/>
      <c r="S1078" s="478"/>
      <c r="T1078" s="478"/>
      <c r="U1078" s="13"/>
      <c r="AB1078" s="252"/>
    </row>
    <row r="1079" spans="1:28" s="26" customFormat="1" hidden="1">
      <c r="A1079" s="93" t="s">
        <v>1480</v>
      </c>
      <c r="B1079" s="473" t="s">
        <v>1226</v>
      </c>
      <c r="C1079" s="509" t="s">
        <v>1227</v>
      </c>
      <c r="D1079" s="453" t="s">
        <v>1228</v>
      </c>
      <c r="E1079" s="640">
        <v>38806</v>
      </c>
      <c r="F1079" s="607"/>
      <c r="G1079" s="607"/>
      <c r="H1079" s="607">
        <v>700000000</v>
      </c>
      <c r="I1079" s="463" t="s">
        <v>1229</v>
      </c>
      <c r="J1079" s="454">
        <v>38818</v>
      </c>
      <c r="K1079" s="607"/>
      <c r="L1079" s="607"/>
      <c r="M1079" s="607">
        <v>702761644</v>
      </c>
      <c r="N1079" s="607">
        <v>700000000</v>
      </c>
      <c r="O1079" s="607">
        <v>2761644</v>
      </c>
      <c r="P1079" s="607">
        <f>+H1079-N1079</f>
        <v>0</v>
      </c>
      <c r="Q1079" s="453"/>
      <c r="R1079" s="453"/>
      <c r="S1079" s="453" t="s">
        <v>1222</v>
      </c>
      <c r="T1079" s="13"/>
      <c r="U1079" s="13"/>
      <c r="AB1079" s="252"/>
    </row>
    <row r="1080" spans="1:28" s="26" customFormat="1" hidden="1">
      <c r="A1080" s="93" t="s">
        <v>1480</v>
      </c>
      <c r="B1080" s="474" t="s">
        <v>1226</v>
      </c>
      <c r="C1080" s="509" t="s">
        <v>304</v>
      </c>
      <c r="D1080" s="453" t="s">
        <v>1230</v>
      </c>
      <c r="E1080" s="640">
        <v>38826</v>
      </c>
      <c r="F1080" s="607">
        <v>60000</v>
      </c>
      <c r="G1080" s="607">
        <v>5000</v>
      </c>
      <c r="H1080" s="607">
        <v>300000000</v>
      </c>
      <c r="I1080" s="463" t="s">
        <v>958</v>
      </c>
      <c r="J1080" s="454">
        <v>40164</v>
      </c>
      <c r="K1080" s="607">
        <v>60000</v>
      </c>
      <c r="L1080" s="607">
        <v>5704.3013666666666</v>
      </c>
      <c r="M1080" s="607">
        <v>342258082</v>
      </c>
      <c r="N1080" s="607">
        <v>300000000</v>
      </c>
      <c r="O1080" s="607">
        <v>42258082</v>
      </c>
      <c r="P1080" s="607">
        <f>+H1080-N1080</f>
        <v>0</v>
      </c>
      <c r="Q1080" s="453"/>
      <c r="R1080" s="453" t="s">
        <v>1137</v>
      </c>
      <c r="S1080" s="453"/>
      <c r="T1080" s="13"/>
      <c r="U1080" s="13"/>
      <c r="AB1080" s="252"/>
    </row>
    <row r="1081" spans="1:28" s="26" customFormat="1" hidden="1">
      <c r="A1081" s="93" t="s">
        <v>1480</v>
      </c>
      <c r="B1081" s="491" t="s">
        <v>1226</v>
      </c>
      <c r="C1081" s="656" t="s">
        <v>487</v>
      </c>
      <c r="D1081" s="656" t="s">
        <v>660</v>
      </c>
      <c r="E1081" s="642">
        <v>39337</v>
      </c>
      <c r="F1081" s="610">
        <v>12000</v>
      </c>
      <c r="G1081" s="610">
        <v>25000</v>
      </c>
      <c r="H1081" s="610">
        <v>300000000</v>
      </c>
      <c r="I1081" s="612" t="s">
        <v>961</v>
      </c>
      <c r="J1081" s="642">
        <v>40557</v>
      </c>
      <c r="K1081" s="610"/>
      <c r="L1081" s="610"/>
      <c r="M1081" s="610">
        <v>13843011</v>
      </c>
      <c r="N1081" s="610">
        <v>0</v>
      </c>
      <c r="O1081" s="610">
        <v>13843011</v>
      </c>
      <c r="P1081" s="610"/>
      <c r="Q1081" s="656"/>
      <c r="R1081" s="656" t="s">
        <v>803</v>
      </c>
      <c r="S1081" s="656"/>
      <c r="T1081" s="13"/>
      <c r="U1081" s="13"/>
      <c r="AB1081" s="252"/>
    </row>
    <row r="1082" spans="1:28" s="26" customFormat="1" hidden="1">
      <c r="A1082" s="93" t="s">
        <v>1480</v>
      </c>
      <c r="B1082" s="491" t="s">
        <v>1226</v>
      </c>
      <c r="C1082" s="654" t="s">
        <v>304</v>
      </c>
      <c r="D1082" s="654" t="s">
        <v>660</v>
      </c>
      <c r="E1082" s="652">
        <v>39337</v>
      </c>
      <c r="F1082" s="657">
        <v>12800</v>
      </c>
      <c r="G1082" s="657">
        <v>25000</v>
      </c>
      <c r="H1082" s="657">
        <v>320000000</v>
      </c>
      <c r="I1082" s="650" t="s">
        <v>958</v>
      </c>
      <c r="J1082" s="652">
        <v>40602</v>
      </c>
      <c r="K1082" s="657"/>
      <c r="L1082" s="657"/>
      <c r="M1082" s="657">
        <v>13843011</v>
      </c>
      <c r="N1082" s="657">
        <v>0</v>
      </c>
      <c r="O1082" s="657">
        <v>13843011</v>
      </c>
      <c r="P1082" s="657"/>
      <c r="Q1082" s="654"/>
      <c r="R1082" s="654" t="s">
        <v>803</v>
      </c>
      <c r="S1082" s="654"/>
      <c r="T1082" s="13"/>
      <c r="U1082" s="13"/>
      <c r="AB1082" s="252"/>
    </row>
    <row r="1083" spans="1:28" s="26" customFormat="1" hidden="1">
      <c r="A1083" s="93" t="s">
        <v>1480</v>
      </c>
      <c r="B1083" s="491" t="s">
        <v>1226</v>
      </c>
      <c r="C1083" s="654" t="s">
        <v>304</v>
      </c>
      <c r="D1083" s="654" t="s">
        <v>660</v>
      </c>
      <c r="E1083" s="652">
        <v>39337</v>
      </c>
      <c r="F1083" s="657">
        <v>15200</v>
      </c>
      <c r="G1083" s="657">
        <v>25000</v>
      </c>
      <c r="H1083" s="657">
        <v>380000000</v>
      </c>
      <c r="I1083" s="650" t="s">
        <v>958</v>
      </c>
      <c r="J1083" s="652">
        <v>40639</v>
      </c>
      <c r="K1083" s="657"/>
      <c r="L1083" s="657"/>
      <c r="M1083" s="657">
        <v>13542076</v>
      </c>
      <c r="N1083" s="657">
        <v>0</v>
      </c>
      <c r="O1083" s="657">
        <v>13542076</v>
      </c>
      <c r="P1083" s="657"/>
      <c r="Q1083" s="654"/>
      <c r="R1083" s="654" t="s">
        <v>803</v>
      </c>
      <c r="S1083" s="655"/>
      <c r="T1083" s="13"/>
      <c r="U1083" s="13"/>
      <c r="AB1083" s="252"/>
    </row>
    <row r="1084" spans="1:28" s="26" customFormat="1" hidden="1">
      <c r="A1084" s="93" t="s">
        <v>1480</v>
      </c>
      <c r="B1084" s="491" t="s">
        <v>1226</v>
      </c>
      <c r="C1084" s="654" t="s">
        <v>304</v>
      </c>
      <c r="D1084" s="654" t="s">
        <v>660</v>
      </c>
      <c r="E1084" s="652"/>
      <c r="F1084" s="657"/>
      <c r="G1084" s="657"/>
      <c r="H1084" s="657"/>
      <c r="I1084" s="650"/>
      <c r="J1084" s="652">
        <v>40731</v>
      </c>
      <c r="K1084" s="657"/>
      <c r="L1084" s="657"/>
      <c r="M1084" s="657">
        <v>13692543</v>
      </c>
      <c r="N1084" s="657">
        <v>0</v>
      </c>
      <c r="O1084" s="657">
        <v>13692543</v>
      </c>
      <c r="P1084" s="657"/>
      <c r="Q1084" s="654"/>
      <c r="R1084" s="654" t="s">
        <v>803</v>
      </c>
      <c r="S1084" s="653"/>
      <c r="T1084" s="13"/>
      <c r="U1084" s="13"/>
      <c r="AB1084" s="252"/>
    </row>
    <row r="1085" spans="1:28" s="26" customFormat="1" hidden="1">
      <c r="A1085" s="93" t="s">
        <v>1480</v>
      </c>
      <c r="B1085" s="491" t="s">
        <v>1226</v>
      </c>
      <c r="C1085" s="654" t="s">
        <v>304</v>
      </c>
      <c r="D1085" s="654" t="s">
        <v>660</v>
      </c>
      <c r="E1085" s="652"/>
      <c r="F1085" s="657"/>
      <c r="G1085" s="657"/>
      <c r="H1085" s="657"/>
      <c r="I1085" s="650"/>
      <c r="J1085" s="652">
        <v>40822</v>
      </c>
      <c r="K1085" s="657"/>
      <c r="L1085" s="657"/>
      <c r="M1085" s="657">
        <v>13843011</v>
      </c>
      <c r="N1085" s="657">
        <v>0</v>
      </c>
      <c r="O1085" s="657">
        <v>13843011</v>
      </c>
      <c r="P1085" s="657"/>
      <c r="Q1085" s="654"/>
      <c r="R1085" s="654" t="s">
        <v>803</v>
      </c>
      <c r="S1085" s="653"/>
      <c r="T1085" s="13"/>
      <c r="U1085" s="13"/>
      <c r="AB1085" s="252"/>
    </row>
    <row r="1086" spans="1:28" s="26" customFormat="1" hidden="1">
      <c r="A1086" s="93" t="s">
        <v>1480</v>
      </c>
      <c r="B1086" s="491" t="s">
        <v>1226</v>
      </c>
      <c r="C1086" s="654" t="s">
        <v>304</v>
      </c>
      <c r="D1086" s="654" t="s">
        <v>660</v>
      </c>
      <c r="E1086" s="652"/>
      <c r="F1086" s="657"/>
      <c r="G1086" s="657"/>
      <c r="H1086" s="657"/>
      <c r="I1086" s="650"/>
      <c r="J1086" s="652">
        <v>40914</v>
      </c>
      <c r="K1086" s="657"/>
      <c r="L1086" s="657"/>
      <c r="M1086" s="657">
        <v>13843011</v>
      </c>
      <c r="N1086" s="657">
        <v>0</v>
      </c>
      <c r="O1086" s="657">
        <v>13843011</v>
      </c>
      <c r="P1086" s="657"/>
      <c r="Q1086" s="654"/>
      <c r="R1086" s="654" t="s">
        <v>803</v>
      </c>
      <c r="S1086" s="653"/>
      <c r="T1086" s="13"/>
      <c r="U1086" s="13"/>
      <c r="AB1086" s="252"/>
    </row>
    <row r="1087" spans="1:28" s="26" customFormat="1" hidden="1">
      <c r="A1087" s="93" t="s">
        <v>1480</v>
      </c>
      <c r="B1087" s="491" t="s">
        <v>1226</v>
      </c>
      <c r="C1087" s="654" t="s">
        <v>304</v>
      </c>
      <c r="D1087" s="654" t="s">
        <v>660</v>
      </c>
      <c r="E1087" s="652"/>
      <c r="F1087" s="657"/>
      <c r="G1087" s="657"/>
      <c r="H1087" s="657"/>
      <c r="I1087" s="650"/>
      <c r="J1087" s="652">
        <v>41011</v>
      </c>
      <c r="K1087" s="657"/>
      <c r="L1087" s="657"/>
      <c r="M1087" s="657">
        <v>14595348</v>
      </c>
      <c r="N1087" s="657">
        <v>0</v>
      </c>
      <c r="O1087" s="657">
        <v>14595348</v>
      </c>
      <c r="P1087" s="657"/>
      <c r="Q1087" s="654"/>
      <c r="R1087" s="654" t="s">
        <v>803</v>
      </c>
      <c r="S1087" s="653"/>
      <c r="T1087" s="13"/>
      <c r="U1087" s="13"/>
      <c r="AB1087" s="252"/>
    </row>
    <row r="1088" spans="1:28" s="26" customFormat="1" hidden="1">
      <c r="A1088" s="93" t="s">
        <v>1480</v>
      </c>
      <c r="B1088" s="491" t="s">
        <v>1226</v>
      </c>
      <c r="C1088" s="654" t="s">
        <v>304</v>
      </c>
      <c r="D1088" s="654" t="s">
        <v>660</v>
      </c>
      <c r="E1088" s="652"/>
      <c r="F1088" s="657"/>
      <c r="G1088" s="657"/>
      <c r="H1088" s="657"/>
      <c r="I1088" s="650"/>
      <c r="J1088" s="652">
        <v>41080</v>
      </c>
      <c r="K1088" s="657"/>
      <c r="L1088" s="657"/>
      <c r="M1088" s="657">
        <v>84000000</v>
      </c>
      <c r="N1088" s="657">
        <v>200000000</v>
      </c>
      <c r="O1088" s="657">
        <v>-116000000</v>
      </c>
      <c r="P1088" s="657"/>
      <c r="Q1088" s="654"/>
      <c r="R1088" s="654" t="s">
        <v>1231</v>
      </c>
      <c r="S1088" s="653"/>
      <c r="T1088" s="13"/>
      <c r="U1088" s="13"/>
      <c r="AB1088" s="252"/>
    </row>
    <row r="1089" spans="1:28" s="26" customFormat="1" hidden="1">
      <c r="A1089" s="93" t="s">
        <v>1480</v>
      </c>
      <c r="B1089" s="491" t="s">
        <v>1226</v>
      </c>
      <c r="C1089" s="654" t="s">
        <v>304</v>
      </c>
      <c r="D1089" s="654" t="s">
        <v>660</v>
      </c>
      <c r="E1089" s="646"/>
      <c r="F1089" s="647"/>
      <c r="G1089" s="647"/>
      <c r="H1089" s="647"/>
      <c r="I1089" s="735"/>
      <c r="J1089" s="646">
        <v>41102</v>
      </c>
      <c r="K1089" s="647"/>
      <c r="L1089" s="647"/>
      <c r="M1089" s="647">
        <v>13692543</v>
      </c>
      <c r="N1089" s="647">
        <v>0</v>
      </c>
      <c r="O1089" s="647">
        <v>13692543</v>
      </c>
      <c r="P1089" s="647"/>
      <c r="Q1089" s="476"/>
      <c r="R1089" s="476" t="s">
        <v>803</v>
      </c>
      <c r="S1089" s="653"/>
      <c r="T1089" s="13"/>
      <c r="U1089" s="13"/>
      <c r="AB1089" s="252"/>
    </row>
    <row r="1090" spans="1:28" s="26" customFormat="1" hidden="1">
      <c r="A1090" s="93" t="s">
        <v>1480</v>
      </c>
      <c r="B1090" s="491" t="s">
        <v>1226</v>
      </c>
      <c r="C1090" s="654" t="s">
        <v>304</v>
      </c>
      <c r="D1090" s="654" t="s">
        <v>660</v>
      </c>
      <c r="E1090" s="652"/>
      <c r="F1090" s="657"/>
      <c r="G1090" s="657"/>
      <c r="H1090" s="657"/>
      <c r="I1090" s="650"/>
      <c r="J1090" s="652">
        <v>41108</v>
      </c>
      <c r="K1090" s="657"/>
      <c r="L1090" s="657"/>
      <c r="M1090" s="657">
        <v>336000000</v>
      </c>
      <c r="N1090" s="657">
        <v>800000000</v>
      </c>
      <c r="O1090" s="657">
        <v>-464000000</v>
      </c>
      <c r="P1090" s="657"/>
      <c r="Q1090" s="654"/>
      <c r="R1090" s="654" t="s">
        <v>1137</v>
      </c>
      <c r="S1090" s="653"/>
      <c r="T1090" s="13"/>
      <c r="U1090" s="13"/>
      <c r="AB1090" s="252"/>
    </row>
    <row r="1091" spans="1:28" s="26" customFormat="1" hidden="1">
      <c r="A1091" s="93" t="s">
        <v>1480</v>
      </c>
      <c r="B1091" s="491" t="s">
        <v>1226</v>
      </c>
      <c r="C1091" s="655" t="s">
        <v>304</v>
      </c>
      <c r="D1091" s="655" t="s">
        <v>660</v>
      </c>
      <c r="E1091" s="651"/>
      <c r="F1091" s="614"/>
      <c r="G1091" s="614"/>
      <c r="H1091" s="614"/>
      <c r="I1091" s="613"/>
      <c r="J1091" s="651">
        <v>41194</v>
      </c>
      <c r="K1091" s="614"/>
      <c r="L1091" s="614"/>
      <c r="M1091" s="614">
        <v>902805</v>
      </c>
      <c r="N1091" s="614">
        <v>0</v>
      </c>
      <c r="O1091" s="614">
        <v>902805</v>
      </c>
      <c r="P1091" s="607">
        <f>+H1084:H1091-N1081:N1091</f>
        <v>0</v>
      </c>
      <c r="Q1091" s="655"/>
      <c r="R1091" s="655" t="s">
        <v>803</v>
      </c>
      <c r="S1091" s="653"/>
      <c r="T1091" s="13"/>
      <c r="U1091" s="13"/>
      <c r="AB1091" s="252"/>
    </row>
    <row r="1092" spans="1:28" s="26" customFormat="1" hidden="1">
      <c r="A1092" s="93" t="s">
        <v>1480</v>
      </c>
      <c r="B1092" s="474" t="s">
        <v>1226</v>
      </c>
      <c r="C1092" s="509" t="s">
        <v>1204</v>
      </c>
      <c r="D1092" s="453" t="s">
        <v>660</v>
      </c>
      <c r="E1092" s="640">
        <v>39806</v>
      </c>
      <c r="F1092" s="607"/>
      <c r="G1092" s="607"/>
      <c r="H1092" s="607">
        <v>1000000000</v>
      </c>
      <c r="I1092" s="463" t="s">
        <v>1205</v>
      </c>
      <c r="J1092" s="454">
        <v>39896</v>
      </c>
      <c r="K1092" s="607"/>
      <c r="L1092" s="607"/>
      <c r="M1092" s="607">
        <v>1011416438</v>
      </c>
      <c r="N1092" s="607">
        <v>1000000000</v>
      </c>
      <c r="O1092" s="607">
        <v>11416438</v>
      </c>
      <c r="P1092" s="607">
        <f>+H1092-N1092</f>
        <v>0</v>
      </c>
      <c r="Q1092" s="453"/>
      <c r="R1092" s="453" t="s">
        <v>478</v>
      </c>
      <c r="S1092" s="453" t="s">
        <v>1232</v>
      </c>
      <c r="T1092" s="13"/>
      <c r="U1092" s="13"/>
      <c r="AB1092" s="252"/>
    </row>
    <row r="1093" spans="1:28" s="26" customFormat="1" hidden="1">
      <c r="A1093" s="272" t="s">
        <v>1480</v>
      </c>
      <c r="B1093" s="475" t="s">
        <v>1226</v>
      </c>
      <c r="C1093" s="466" t="s">
        <v>1101</v>
      </c>
      <c r="D1093" s="467"/>
      <c r="E1093" s="446"/>
      <c r="F1093" s="498"/>
      <c r="G1093" s="498"/>
      <c r="H1093" s="498">
        <f>SUM(H1079:H1092)</f>
        <v>3000000000</v>
      </c>
      <c r="I1093" s="468"/>
      <c r="J1093" s="447"/>
      <c r="K1093" s="498"/>
      <c r="L1093" s="498"/>
      <c r="M1093" s="498">
        <f>SUM(M1079:M1092)</f>
        <v>2588233523</v>
      </c>
      <c r="N1093" s="498">
        <f t="shared" ref="N1093:P1093" si="58">SUM(N1079:N1092)</f>
        <v>3000000000</v>
      </c>
      <c r="O1093" s="498">
        <f>SUM(O1079:O1092)</f>
        <v>-411766477</v>
      </c>
      <c r="P1093" s="498">
        <f t="shared" si="58"/>
        <v>0</v>
      </c>
      <c r="Q1093" s="498"/>
      <c r="R1093" s="498">
        <f t="shared" ref="R1093" si="59">SUM(R1079:R1092)</f>
        <v>0</v>
      </c>
      <c r="S1093" s="13"/>
      <c r="T1093" s="13"/>
      <c r="U1093" s="13"/>
      <c r="AB1093" s="252"/>
    </row>
    <row r="1094" spans="1:28" s="26" customFormat="1" hidden="1">
      <c r="A1094" s="13"/>
      <c r="B1094" s="13"/>
      <c r="C1094" s="13"/>
      <c r="E1094" s="236"/>
      <c r="I1094" s="13"/>
      <c r="J1094" s="13"/>
      <c r="R1094" s="13"/>
      <c r="S1094" s="13"/>
      <c r="T1094" s="13"/>
      <c r="U1094" s="13"/>
      <c r="AB1094" s="252"/>
    </row>
    <row r="1095" spans="1:28" s="26" customFormat="1" hidden="1">
      <c r="A1095" s="13"/>
      <c r="B1095" s="13"/>
      <c r="C1095" s="13"/>
      <c r="E1095" s="236"/>
      <c r="I1095" s="13"/>
      <c r="J1095" s="13"/>
      <c r="R1095" s="13"/>
      <c r="S1095" s="13"/>
      <c r="T1095" s="13"/>
      <c r="U1095" s="13"/>
      <c r="AB1095" s="252"/>
    </row>
    <row r="1096" spans="1:28" s="26" customFormat="1" hidden="1">
      <c r="A1096" s="13"/>
      <c r="B1096" s="13"/>
      <c r="C1096" s="13"/>
      <c r="E1096" s="236"/>
      <c r="I1096" s="13"/>
      <c r="J1096" s="13"/>
      <c r="R1096" s="13"/>
      <c r="S1096" s="13"/>
      <c r="T1096" s="13"/>
      <c r="U1096" s="13"/>
      <c r="AB1096" s="252"/>
    </row>
    <row r="1097" spans="1:28" s="26" customFormat="1" hidden="1">
      <c r="A1097" s="13"/>
      <c r="B1097" s="13"/>
      <c r="C1097" s="13"/>
      <c r="E1097" s="236"/>
      <c r="I1097" s="13"/>
      <c r="J1097" s="13"/>
      <c r="R1097" s="13"/>
      <c r="S1097" s="13"/>
      <c r="T1097" s="13"/>
      <c r="U1097" s="13"/>
      <c r="AB1097" s="252"/>
    </row>
    <row r="1098" spans="1:28" s="26" customFormat="1" hidden="1">
      <c r="A1098" s="13"/>
      <c r="B1098" s="13"/>
      <c r="C1098" s="13"/>
      <c r="E1098" s="236"/>
      <c r="I1098" s="13"/>
      <c r="J1098" s="13"/>
      <c r="R1098" s="13"/>
      <c r="S1098" s="13"/>
      <c r="T1098" s="13"/>
      <c r="U1098" s="13"/>
      <c r="AB1098" s="252"/>
    </row>
    <row r="1099" spans="1:28" s="26" customFormat="1" hidden="1">
      <c r="A1099" s="13"/>
      <c r="B1099" s="13"/>
      <c r="C1099" s="13"/>
      <c r="E1099" s="236"/>
      <c r="I1099" s="13"/>
      <c r="J1099" s="13"/>
      <c r="R1099" s="13"/>
      <c r="S1099" s="13"/>
      <c r="T1099" s="13"/>
      <c r="U1099" s="13"/>
      <c r="AB1099" s="252"/>
    </row>
    <row r="1100" spans="1:28" s="26" customFormat="1" hidden="1">
      <c r="A1100" s="13"/>
      <c r="B1100" s="13"/>
      <c r="C1100" s="13"/>
      <c r="E1100" s="236"/>
      <c r="I1100" s="13"/>
      <c r="J1100" s="13"/>
      <c r="R1100" s="13"/>
      <c r="S1100" s="13"/>
      <c r="T1100" s="13"/>
      <c r="U1100" s="13"/>
      <c r="AB1100" s="252"/>
    </row>
    <row r="1101" spans="1:28" s="26" customFormat="1" hidden="1">
      <c r="A1101" s="13"/>
      <c r="B1101" s="13"/>
      <c r="C1101" s="13"/>
      <c r="E1101" s="236"/>
      <c r="I1101" s="13"/>
      <c r="J1101" s="13"/>
      <c r="R1101" s="13"/>
      <c r="S1101" s="13"/>
      <c r="T1101" s="13"/>
      <c r="U1101" s="13"/>
      <c r="AB1101" s="252"/>
    </row>
    <row r="1102" spans="1:28" s="26" customFormat="1" hidden="1">
      <c r="A1102" s="13"/>
      <c r="B1102" s="13"/>
      <c r="C1102" s="13"/>
      <c r="E1102" s="236"/>
      <c r="I1102" s="13"/>
      <c r="J1102" s="13"/>
      <c r="R1102" s="13"/>
      <c r="S1102" s="13"/>
      <c r="T1102" s="13"/>
      <c r="U1102" s="13"/>
      <c r="AB1102" s="252"/>
    </row>
    <row r="1103" spans="1:28" s="26" customFormat="1" hidden="1">
      <c r="A1103" s="13"/>
      <c r="B1103" s="13"/>
      <c r="C1103" s="13"/>
      <c r="E1103" s="236"/>
      <c r="I1103" s="13"/>
      <c r="J1103" s="13"/>
      <c r="R1103" s="13"/>
      <c r="S1103" s="13"/>
      <c r="T1103" s="13"/>
      <c r="U1103" s="13"/>
      <c r="AB1103" s="252"/>
    </row>
    <row r="1104" spans="1:28" hidden="1">
      <c r="H1104" s="4">
        <f>+H931+H702+H698+H683+H669+H589+H540+H536+H419+H379+H324+H273+H232+H227+H159+H151+H101+H70+H49+H36+H9</f>
        <v>168076266914</v>
      </c>
    </row>
    <row r="1105" spans="4:9" hidden="1">
      <c r="D1105" s="15" t="s">
        <v>368</v>
      </c>
      <c r="E1105" s="42">
        <v>37434</v>
      </c>
      <c r="F1105" s="15">
        <v>100000</v>
      </c>
      <c r="G1105" s="15">
        <v>5000</v>
      </c>
      <c r="H1105" s="15">
        <v>-500000000</v>
      </c>
      <c r="I1105" s="299"/>
    </row>
    <row r="1106" spans="4:9" hidden="1">
      <c r="E1106" s="42">
        <v>38719</v>
      </c>
      <c r="F1106" s="15">
        <v>100000</v>
      </c>
      <c r="G1106" s="15">
        <f>+H1106/F1106</f>
        <v>6094</v>
      </c>
      <c r="H1106" s="15">
        <v>609400000</v>
      </c>
      <c r="I1106" s="299">
        <f>+XIRR(H1105:H1106,E1105:E1106)</f>
        <v>5.781282484531404E-2</v>
      </c>
    </row>
    <row r="1107" spans="4:9" hidden="1">
      <c r="D1107" s="20" t="s">
        <v>369</v>
      </c>
      <c r="E1107" s="44">
        <v>37442</v>
      </c>
      <c r="F1107" s="20">
        <v>20000</v>
      </c>
      <c r="G1107" s="20">
        <v>50000</v>
      </c>
      <c r="H1107" s="20">
        <v>-1000000000</v>
      </c>
      <c r="I1107" s="299"/>
    </row>
    <row r="1108" spans="4:9" hidden="1">
      <c r="D1108" s="14" t="s">
        <v>369</v>
      </c>
      <c r="E1108" s="44">
        <v>37809</v>
      </c>
      <c r="F1108" s="20">
        <v>4000</v>
      </c>
      <c r="G1108" s="20">
        <v>65000</v>
      </c>
      <c r="H1108" s="20">
        <f>+F1108*G1108</f>
        <v>260000000</v>
      </c>
      <c r="I1108" s="299"/>
    </row>
    <row r="1109" spans="4:9" hidden="1">
      <c r="D1109" s="14" t="s">
        <v>369</v>
      </c>
      <c r="E1109" s="45">
        <v>38814</v>
      </c>
      <c r="F1109" s="14">
        <v>15000</v>
      </c>
      <c r="G1109" s="14">
        <f>+H1109/F1109</f>
        <v>31800</v>
      </c>
      <c r="H1109" s="14">
        <v>477000000</v>
      </c>
      <c r="I1109" s="299"/>
    </row>
    <row r="1110" spans="4:9" hidden="1">
      <c r="D1110" s="14" t="s">
        <v>369</v>
      </c>
      <c r="E1110" s="45">
        <v>38916</v>
      </c>
      <c r="F1110" s="14">
        <v>12000</v>
      </c>
      <c r="G1110" s="14">
        <f t="shared" ref="G1110:G1115" si="60">+H1110/F1110</f>
        <v>36923.42083333333</v>
      </c>
      <c r="H1110" s="14">
        <v>443081050</v>
      </c>
      <c r="I1110" s="299"/>
    </row>
    <row r="1111" spans="4:9" hidden="1">
      <c r="D1111" s="14" t="s">
        <v>369</v>
      </c>
      <c r="E1111" s="45">
        <v>38917</v>
      </c>
      <c r="F1111" s="14">
        <v>5000</v>
      </c>
      <c r="G1111" s="14">
        <f t="shared" si="60"/>
        <v>41047.08</v>
      </c>
      <c r="H1111" s="14">
        <v>205235400</v>
      </c>
      <c r="I1111" s="299"/>
    </row>
    <row r="1112" spans="4:9" hidden="1">
      <c r="D1112" s="14" t="s">
        <v>369</v>
      </c>
      <c r="E1112" s="45">
        <v>38919</v>
      </c>
      <c r="F1112" s="14">
        <v>10000</v>
      </c>
      <c r="G1112" s="14">
        <f t="shared" si="60"/>
        <v>40405.06</v>
      </c>
      <c r="H1112" s="14">
        <v>404050600</v>
      </c>
      <c r="I1112" s="299"/>
    </row>
    <row r="1113" spans="4:9" hidden="1">
      <c r="D1113" s="14" t="s">
        <v>369</v>
      </c>
      <c r="E1113" s="45">
        <v>38922</v>
      </c>
      <c r="F1113" s="14">
        <v>1000</v>
      </c>
      <c r="G1113" s="14">
        <f t="shared" si="60"/>
        <v>44000</v>
      </c>
      <c r="H1113" s="14">
        <v>44000000</v>
      </c>
      <c r="I1113" s="299"/>
    </row>
    <row r="1114" spans="4:9" hidden="1">
      <c r="D1114" s="14" t="s">
        <v>369</v>
      </c>
      <c r="E1114" s="45">
        <v>38929</v>
      </c>
      <c r="F1114" s="14">
        <v>6000</v>
      </c>
      <c r="G1114" s="14">
        <f t="shared" si="60"/>
        <v>41674.941666666666</v>
      </c>
      <c r="H1114" s="14">
        <v>250049650</v>
      </c>
      <c r="I1114" s="299"/>
    </row>
    <row r="1115" spans="4:9" hidden="1">
      <c r="D1115" s="14" t="s">
        <v>369</v>
      </c>
      <c r="E1115" s="46">
        <v>38966</v>
      </c>
      <c r="F1115" s="11">
        <v>3000</v>
      </c>
      <c r="G1115" s="11">
        <f t="shared" si="60"/>
        <v>30544.916666666668</v>
      </c>
      <c r="H1115" s="11">
        <v>91634750</v>
      </c>
      <c r="I1115" s="299">
        <f>+XIRR(H1107:H1115,E1107:E1115)</f>
        <v>0.24835593104362488</v>
      </c>
    </row>
    <row r="1116" spans="4:9" hidden="1">
      <c r="D1116" s="20" t="s">
        <v>371</v>
      </c>
      <c r="E1116" s="44">
        <v>37482</v>
      </c>
      <c r="F1116" s="20"/>
      <c r="G1116" s="20"/>
      <c r="H1116" s="20">
        <v>-400000000</v>
      </c>
      <c r="I1116" s="299"/>
    </row>
    <row r="1117" spans="4:9" hidden="1">
      <c r="E1117" s="44">
        <v>37624</v>
      </c>
      <c r="F1117" s="20"/>
      <c r="G1117" s="20"/>
      <c r="H1117" s="20">
        <v>1545205</v>
      </c>
      <c r="I1117" s="299"/>
    </row>
    <row r="1118" spans="4:9" hidden="1">
      <c r="E1118" s="45">
        <v>37986</v>
      </c>
      <c r="F1118" s="14"/>
      <c r="G1118" s="14"/>
      <c r="H1118" s="14">
        <v>4000000</v>
      </c>
      <c r="I1118" s="299"/>
    </row>
    <row r="1119" spans="4:9" hidden="1">
      <c r="E1119" s="46">
        <v>38786</v>
      </c>
      <c r="F1119" s="11"/>
      <c r="G1119" s="11"/>
      <c r="H1119" s="11">
        <v>414634147</v>
      </c>
      <c r="I1119" s="299">
        <f>+XIRR(H1116:H1119,E1116:E1119)</f>
        <v>1.4002409577369691E-2</v>
      </c>
    </row>
    <row r="1120" spans="4:9" hidden="1">
      <c r="D1120" s="20" t="s">
        <v>374</v>
      </c>
      <c r="E1120" s="44">
        <v>37320</v>
      </c>
      <c r="F1120" s="20"/>
      <c r="G1120" s="20"/>
      <c r="H1120" s="20">
        <v>-300000000</v>
      </c>
      <c r="I1120" s="299"/>
    </row>
    <row r="1121" spans="4:9" hidden="1">
      <c r="E1121" s="44">
        <v>37526</v>
      </c>
      <c r="F1121" s="20"/>
      <c r="G1121" s="20"/>
      <c r="H1121" s="20">
        <v>7000000</v>
      </c>
      <c r="I1121" s="299"/>
    </row>
    <row r="1122" spans="4:9" hidden="1">
      <c r="E1122" s="45">
        <v>37553</v>
      </c>
      <c r="F1122" s="14"/>
      <c r="G1122" s="14"/>
      <c r="H1122" s="14">
        <v>10000000</v>
      </c>
      <c r="I1122" s="299"/>
    </row>
    <row r="1123" spans="4:9" hidden="1">
      <c r="E1123" s="45">
        <v>37582</v>
      </c>
      <c r="F1123" s="14"/>
      <c r="G1123" s="14"/>
      <c r="H1123" s="14">
        <v>7000000</v>
      </c>
      <c r="I1123" s="299"/>
    </row>
    <row r="1124" spans="4:9" hidden="1">
      <c r="E1124" s="45">
        <v>37613</v>
      </c>
      <c r="F1124" s="14"/>
      <c r="G1124" s="14"/>
      <c r="H1124" s="14">
        <v>14000000</v>
      </c>
      <c r="I1124" s="299"/>
    </row>
    <row r="1125" spans="4:9" hidden="1">
      <c r="E1125" s="45">
        <v>37986</v>
      </c>
      <c r="F1125" s="14"/>
      <c r="G1125" s="14"/>
      <c r="H1125" s="14">
        <f>13000000+1000000</f>
        <v>14000000</v>
      </c>
      <c r="I1125" s="299"/>
    </row>
    <row r="1126" spans="4:9" hidden="1">
      <c r="E1126" s="45">
        <v>38019</v>
      </c>
      <c r="F1126" s="14"/>
      <c r="G1126" s="14"/>
      <c r="H1126" s="14">
        <f>5000000+7000000</f>
        <v>12000000</v>
      </c>
      <c r="I1126" s="299"/>
    </row>
    <row r="1127" spans="4:9" hidden="1">
      <c r="E1127" s="46">
        <v>39444</v>
      </c>
      <c r="F1127" s="11"/>
      <c r="G1127" s="11"/>
      <c r="H1127" s="11">
        <f>5827916+1910534</f>
        <v>7738450</v>
      </c>
      <c r="I1127" s="299">
        <f>+XIRR(H1120:H1127,E1120:E1127)</f>
        <v>-0.41433690059930095</v>
      </c>
    </row>
    <row r="1128" spans="4:9" hidden="1">
      <c r="D1128" s="20" t="s">
        <v>377</v>
      </c>
      <c r="E1128" s="44">
        <v>37323</v>
      </c>
      <c r="F1128" s="20"/>
      <c r="G1128" s="20"/>
      <c r="H1128" s="20">
        <v>-700000000</v>
      </c>
      <c r="I1128" s="299"/>
    </row>
    <row r="1129" spans="4:9" hidden="1">
      <c r="E1129" s="45">
        <v>39245</v>
      </c>
      <c r="F1129" s="14"/>
      <c r="G1129" s="14"/>
      <c r="H1129" s="14">
        <f>200000000+427068492</f>
        <v>627068492</v>
      </c>
      <c r="I1129" s="299"/>
    </row>
    <row r="1130" spans="4:9" hidden="1">
      <c r="E1130" s="46">
        <v>39475</v>
      </c>
      <c r="F1130" s="11"/>
      <c r="G1130" s="11"/>
      <c r="H1130" s="11">
        <v>1000</v>
      </c>
      <c r="I1130" s="299">
        <f>+XIRR(H1128:H1130,E1128:E1130)</f>
        <v>-2.0677289366722112E-2</v>
      </c>
    </row>
    <row r="1131" spans="4:9" hidden="1">
      <c r="D1131" s="20" t="s">
        <v>380</v>
      </c>
      <c r="E1131" s="44">
        <v>37356</v>
      </c>
      <c r="F1131" s="20"/>
      <c r="G1131" s="20"/>
      <c r="H1131" s="20">
        <v>-100000000</v>
      </c>
      <c r="I1131" s="299"/>
    </row>
    <row r="1132" spans="4:9" hidden="1">
      <c r="D1132" s="14" t="s">
        <v>380</v>
      </c>
      <c r="E1132" s="45">
        <v>37461</v>
      </c>
      <c r="F1132" s="14"/>
      <c r="G1132" s="14"/>
      <c r="H1132" s="14">
        <v>-24306440</v>
      </c>
      <c r="I1132" s="299"/>
    </row>
    <row r="1133" spans="4:9" hidden="1">
      <c r="E1133" s="44">
        <v>37736</v>
      </c>
      <c r="F1133" s="20"/>
      <c r="G1133" s="20"/>
      <c r="H1133" s="20">
        <v>238441360</v>
      </c>
      <c r="I1133" s="299"/>
    </row>
    <row r="1134" spans="4:9" hidden="1">
      <c r="E1134" s="45">
        <v>37771</v>
      </c>
      <c r="F1134" s="14"/>
      <c r="G1134" s="14"/>
      <c r="H1134" s="14">
        <v>16726492</v>
      </c>
      <c r="I1134" s="299"/>
    </row>
    <row r="1135" spans="4:9" hidden="1">
      <c r="E1135" s="45">
        <v>37862</v>
      </c>
      <c r="F1135" s="14"/>
      <c r="G1135" s="14"/>
      <c r="H1135" s="14">
        <v>2337707</v>
      </c>
      <c r="I1135" s="299"/>
    </row>
    <row r="1136" spans="4:9" hidden="1">
      <c r="E1136" s="45">
        <v>37924</v>
      </c>
      <c r="F1136" s="14"/>
      <c r="G1136" s="14"/>
      <c r="H1136" s="14">
        <v>8107549</v>
      </c>
      <c r="I1136" s="299"/>
    </row>
    <row r="1137" spans="4:9" hidden="1">
      <c r="E1137" s="45">
        <v>38042</v>
      </c>
      <c r="F1137" s="14"/>
      <c r="G1137" s="14"/>
      <c r="H1137" s="14">
        <v>614810</v>
      </c>
      <c r="I1137" s="299"/>
    </row>
    <row r="1138" spans="4:9" hidden="1">
      <c r="E1138" s="46">
        <v>39451</v>
      </c>
      <c r="F1138" s="11"/>
      <c r="G1138" s="11"/>
      <c r="H1138" s="11">
        <v>20341883</v>
      </c>
      <c r="I1138" s="299">
        <f>+XIRR(H1131:H1138,E1131:E1138)</f>
        <v>1.1261270403861998</v>
      </c>
    </row>
    <row r="1139" spans="4:9" hidden="1">
      <c r="D1139" s="20" t="s">
        <v>381</v>
      </c>
      <c r="E1139" s="44">
        <v>37356</v>
      </c>
      <c r="F1139" s="20"/>
      <c r="G1139" s="20"/>
      <c r="H1139" s="20">
        <v>-400000000</v>
      </c>
      <c r="I1139" s="299"/>
    </row>
    <row r="1140" spans="4:9" hidden="1">
      <c r="E1140" s="46">
        <v>39475</v>
      </c>
      <c r="F1140" s="11"/>
      <c r="G1140" s="11"/>
      <c r="H1140" s="11">
        <v>1000</v>
      </c>
      <c r="I1140" s="299">
        <f>+XIRR(H1139:H1140,E1139:E1140)</f>
        <v>-0.89159752018749694</v>
      </c>
    </row>
    <row r="1141" spans="4:9" hidden="1">
      <c r="D1141" s="20" t="s">
        <v>382</v>
      </c>
      <c r="E1141" s="44">
        <v>37419</v>
      </c>
      <c r="F1141" s="20"/>
      <c r="G1141" s="20"/>
      <c r="H1141" s="20">
        <v>-100000000</v>
      </c>
      <c r="I1141" s="299"/>
    </row>
    <row r="1142" spans="4:9" hidden="1">
      <c r="E1142" s="44">
        <v>37613</v>
      </c>
      <c r="F1142" s="20"/>
      <c r="G1142" s="20"/>
      <c r="H1142" s="20">
        <v>12000000</v>
      </c>
      <c r="I1142" s="299"/>
    </row>
    <row r="1143" spans="4:9" hidden="1">
      <c r="E1143" s="45">
        <v>37645</v>
      </c>
      <c r="F1143" s="14"/>
      <c r="G1143" s="14"/>
      <c r="H1143" s="14">
        <v>8000000</v>
      </c>
      <c r="I1143" s="299"/>
    </row>
    <row r="1144" spans="4:9" hidden="1">
      <c r="E1144" s="45">
        <v>37704</v>
      </c>
      <c r="F1144" s="14"/>
      <c r="G1144" s="14"/>
      <c r="H1144" s="14">
        <v>1500000</v>
      </c>
      <c r="I1144" s="299"/>
    </row>
    <row r="1145" spans="4:9" hidden="1">
      <c r="E1145" s="45">
        <v>37833</v>
      </c>
      <c r="F1145" s="14"/>
      <c r="G1145" s="14"/>
      <c r="H1145" s="14">
        <v>5000000</v>
      </c>
      <c r="I1145" s="299"/>
    </row>
    <row r="1146" spans="4:9" hidden="1">
      <c r="E1146" s="45">
        <v>37894</v>
      </c>
      <c r="F1146" s="14"/>
      <c r="G1146" s="14"/>
      <c r="H1146" s="14">
        <v>2000000</v>
      </c>
      <c r="I1146" s="299"/>
    </row>
    <row r="1147" spans="4:9" hidden="1">
      <c r="E1147" s="45">
        <v>37925</v>
      </c>
      <c r="F1147" s="14"/>
      <c r="G1147" s="14"/>
      <c r="H1147" s="14">
        <v>1000000</v>
      </c>
      <c r="I1147" s="299"/>
    </row>
    <row r="1148" spans="4:9" hidden="1">
      <c r="E1148" s="45">
        <v>37953</v>
      </c>
      <c r="F1148" s="14"/>
      <c r="G1148" s="14"/>
      <c r="H1148" s="14">
        <v>1000000</v>
      </c>
      <c r="I1148" s="299"/>
    </row>
    <row r="1149" spans="4:9" hidden="1">
      <c r="E1149" s="45">
        <v>38019</v>
      </c>
      <c r="F1149" s="14"/>
      <c r="G1149" s="14"/>
      <c r="H1149" s="14">
        <v>2500000</v>
      </c>
      <c r="I1149" s="299"/>
    </row>
    <row r="1150" spans="4:9" hidden="1">
      <c r="E1150" s="45">
        <v>38079</v>
      </c>
      <c r="F1150" s="14"/>
      <c r="G1150" s="14"/>
      <c r="H1150" s="14">
        <v>1000000</v>
      </c>
      <c r="I1150" s="299"/>
    </row>
    <row r="1151" spans="4:9" hidden="1">
      <c r="E1151" s="46">
        <v>39444</v>
      </c>
      <c r="F1151" s="11"/>
      <c r="G1151" s="11"/>
      <c r="H1151" s="11">
        <v>4958296</v>
      </c>
      <c r="I1151" s="299">
        <f>+XIRR(H1141:H1151,E1141:E1151)</f>
        <v>-0.34155807755887513</v>
      </c>
    </row>
    <row r="1152" spans="4:9" hidden="1">
      <c r="D1152" s="20" t="s">
        <v>383</v>
      </c>
      <c r="E1152" s="44">
        <v>37419</v>
      </c>
      <c r="F1152" s="20"/>
      <c r="G1152" s="20"/>
      <c r="H1152" s="20">
        <v>-200000000</v>
      </c>
      <c r="I1152" s="299"/>
    </row>
    <row r="1153" spans="4:9" hidden="1">
      <c r="E1153" s="45">
        <v>37704</v>
      </c>
      <c r="F1153" s="14"/>
      <c r="G1153" s="14"/>
      <c r="H1153" s="14">
        <v>20000000</v>
      </c>
      <c r="I1153" s="299"/>
    </row>
    <row r="1154" spans="4:9" hidden="1">
      <c r="E1154" s="45">
        <v>37740</v>
      </c>
      <c r="F1154" s="14"/>
      <c r="G1154" s="14"/>
      <c r="H1154" s="14">
        <f>20000000</f>
        <v>20000000</v>
      </c>
      <c r="I1154" s="299"/>
    </row>
    <row r="1155" spans="4:9" hidden="1">
      <c r="E1155" s="45">
        <v>37770</v>
      </c>
      <c r="F1155" s="14"/>
      <c r="G1155" s="14"/>
      <c r="H1155" s="14">
        <v>8000000</v>
      </c>
      <c r="I1155" s="299"/>
    </row>
    <row r="1156" spans="4:9" hidden="1">
      <c r="E1156" s="45">
        <v>38111</v>
      </c>
      <c r="F1156" s="14"/>
      <c r="G1156" s="14"/>
      <c r="H1156" s="14">
        <f>4000000+13000000</f>
        <v>17000000</v>
      </c>
      <c r="I1156" s="299"/>
    </row>
    <row r="1157" spans="4:9" hidden="1">
      <c r="E1157" s="45">
        <v>38295</v>
      </c>
      <c r="F1157" s="14"/>
      <c r="G1157" s="14"/>
      <c r="H1157" s="14">
        <v>1000000</v>
      </c>
      <c r="I1157" s="299"/>
    </row>
    <row r="1158" spans="4:9" hidden="1">
      <c r="E1158" s="45">
        <v>39283</v>
      </c>
      <c r="F1158" s="14"/>
      <c r="G1158" s="14"/>
      <c r="H1158" s="14">
        <v>5711253</v>
      </c>
      <c r="I1158" s="299"/>
    </row>
    <row r="1159" spans="4:9" hidden="1">
      <c r="E1159" s="46">
        <v>39444</v>
      </c>
      <c r="F1159" s="11"/>
      <c r="G1159" s="11"/>
      <c r="H1159" s="11">
        <v>4496559</v>
      </c>
      <c r="I1159" s="299">
        <f>+XIRR(H1152:H1159,E1152:E1159)</f>
        <v>-0.33866752460598953</v>
      </c>
    </row>
    <row r="1160" spans="4:9" hidden="1">
      <c r="D1160" s="20" t="s">
        <v>384</v>
      </c>
      <c r="E1160" s="44">
        <v>37526</v>
      </c>
      <c r="F1160" s="20"/>
      <c r="G1160" s="20"/>
      <c r="H1160" s="20">
        <v>-413280000</v>
      </c>
      <c r="I1160" s="299"/>
    </row>
    <row r="1161" spans="4:9" hidden="1">
      <c r="E1161" s="44">
        <v>37802</v>
      </c>
      <c r="F1161" s="20"/>
      <c r="G1161" s="20"/>
      <c r="H1161" s="20">
        <v>191675159</v>
      </c>
      <c r="I1161" s="299"/>
    </row>
    <row r="1162" spans="4:9" hidden="1">
      <c r="E1162" s="45">
        <v>37868</v>
      </c>
      <c r="F1162" s="14"/>
      <c r="G1162" s="14"/>
      <c r="H1162" s="14">
        <v>51750075</v>
      </c>
      <c r="I1162" s="299"/>
    </row>
    <row r="1163" spans="4:9" hidden="1">
      <c r="E1163" s="45">
        <v>37938</v>
      </c>
      <c r="F1163" s="14"/>
      <c r="G1163" s="14"/>
      <c r="H1163" s="14">
        <v>20742940</v>
      </c>
      <c r="I1163" s="299"/>
    </row>
    <row r="1164" spans="4:9" hidden="1">
      <c r="E1164" s="45">
        <v>38289</v>
      </c>
      <c r="F1164" s="14"/>
      <c r="G1164" s="14"/>
      <c r="H1164" s="14">
        <v>21897089</v>
      </c>
      <c r="I1164" s="299"/>
    </row>
    <row r="1165" spans="4:9" hidden="1">
      <c r="E1165" s="45">
        <v>38548</v>
      </c>
      <c r="F1165" s="14"/>
      <c r="G1165" s="14"/>
      <c r="H1165" s="14">
        <v>294005</v>
      </c>
      <c r="I1165" s="299"/>
    </row>
    <row r="1166" spans="4:9" hidden="1">
      <c r="E1166" s="45">
        <v>39315</v>
      </c>
      <c r="F1166" s="14"/>
      <c r="G1166" s="14"/>
      <c r="H1166" s="14">
        <v>16856344</v>
      </c>
      <c r="I1166" s="299"/>
    </row>
    <row r="1167" spans="4:9" hidden="1">
      <c r="E1167" s="46">
        <v>39475</v>
      </c>
      <c r="F1167" s="11"/>
      <c r="G1167" s="11"/>
      <c r="H1167" s="11">
        <v>1000</v>
      </c>
      <c r="I1167" s="299">
        <f>+XIRR(H1160:H1167,E1160:E1167)</f>
        <v>-0.21345952674746516</v>
      </c>
    </row>
    <row r="1168" spans="4:9" hidden="1">
      <c r="D1168" s="20" t="s">
        <v>385</v>
      </c>
      <c r="E1168" s="44">
        <v>37529</v>
      </c>
      <c r="F1168" s="20"/>
      <c r="G1168" s="20"/>
      <c r="H1168" s="20">
        <v>-200000000</v>
      </c>
      <c r="I1168" s="299"/>
    </row>
    <row r="1169" spans="4:9" hidden="1">
      <c r="E1169" s="45">
        <v>37680</v>
      </c>
      <c r="F1169" s="14"/>
      <c r="G1169" s="14"/>
      <c r="H1169" s="14">
        <v>97890102</v>
      </c>
      <c r="I1169" s="299"/>
    </row>
    <row r="1170" spans="4:9" hidden="1">
      <c r="E1170" s="45">
        <v>37741</v>
      </c>
      <c r="F1170" s="14"/>
      <c r="G1170" s="14"/>
      <c r="H1170" s="14">
        <v>19607843</v>
      </c>
      <c r="I1170" s="299"/>
    </row>
    <row r="1171" spans="4:9" hidden="1">
      <c r="E1171" s="45">
        <v>37894</v>
      </c>
      <c r="F1171" s="14"/>
      <c r="G1171" s="14"/>
      <c r="H1171" s="14">
        <v>2495544</v>
      </c>
      <c r="I1171" s="299"/>
    </row>
    <row r="1172" spans="4:9" hidden="1">
      <c r="E1172" s="45">
        <v>38016</v>
      </c>
      <c r="F1172" s="14"/>
      <c r="G1172" s="14"/>
      <c r="H1172" s="14">
        <v>891266</v>
      </c>
      <c r="I1172" s="299"/>
    </row>
    <row r="1173" spans="4:9" hidden="1">
      <c r="E1173" s="45">
        <v>38379</v>
      </c>
      <c r="F1173" s="14"/>
      <c r="G1173" s="14"/>
      <c r="H1173" s="14">
        <v>8663101</v>
      </c>
      <c r="I1173" s="299"/>
    </row>
    <row r="1174" spans="4:9" hidden="1">
      <c r="E1174" s="46">
        <v>39444</v>
      </c>
      <c r="F1174" s="11"/>
      <c r="G1174" s="11"/>
      <c r="H1174" s="11">
        <v>513555</v>
      </c>
      <c r="I1174" s="299">
        <f>+XIRR(H1168:H1174,E1168:E1174)</f>
        <v>-0.43326800391078013</v>
      </c>
    </row>
    <row r="1175" spans="4:9" hidden="1">
      <c r="D1175" s="20" t="s">
        <v>386</v>
      </c>
      <c r="E1175" s="44">
        <v>37529</v>
      </c>
      <c r="F1175" s="20"/>
      <c r="G1175" s="20"/>
      <c r="H1175" s="20">
        <v>-100000000</v>
      </c>
      <c r="I1175" s="299"/>
    </row>
    <row r="1176" spans="4:9" hidden="1">
      <c r="E1176" s="44">
        <v>37894</v>
      </c>
      <c r="F1176" s="20"/>
      <c r="G1176" s="20"/>
      <c r="H1176" s="20">
        <v>15701137</v>
      </c>
      <c r="I1176" s="299"/>
    </row>
    <row r="1177" spans="4:9" hidden="1">
      <c r="E1177" s="45">
        <v>38016</v>
      </c>
      <c r="F1177" s="14"/>
      <c r="G1177" s="14"/>
      <c r="H1177" s="14">
        <v>2003249</v>
      </c>
      <c r="I1177" s="299"/>
    </row>
    <row r="1178" spans="4:9" hidden="1">
      <c r="E1178" s="45">
        <v>38379</v>
      </c>
      <c r="F1178" s="14"/>
      <c r="G1178" s="14"/>
      <c r="H1178" s="14">
        <v>541418</v>
      </c>
      <c r="I1178" s="299"/>
    </row>
    <row r="1179" spans="4:9" hidden="1">
      <c r="E1179" s="46">
        <v>39444</v>
      </c>
      <c r="F1179" s="11"/>
      <c r="G1179" s="11"/>
      <c r="H1179" s="11">
        <v>2522529</v>
      </c>
      <c r="I1179" s="299">
        <f>+XIRR(H1175:H1179,E1175:E1179)</f>
        <v>-0.4602012414485217</v>
      </c>
    </row>
    <row r="1180" spans="4:9" hidden="1">
      <c r="D1180" s="20" t="s">
        <v>387</v>
      </c>
      <c r="E1180" s="44">
        <v>37568</v>
      </c>
      <c r="F1180" s="20"/>
      <c r="G1180" s="20"/>
      <c r="H1180" s="20">
        <v>-500000000</v>
      </c>
      <c r="I1180" s="299"/>
    </row>
    <row r="1181" spans="4:9" hidden="1">
      <c r="E1181" s="45">
        <v>39154</v>
      </c>
      <c r="F1181" s="14"/>
      <c r="G1181" s="14"/>
      <c r="H1181" s="14">
        <v>30123567</v>
      </c>
      <c r="I1181" s="299"/>
    </row>
    <row r="1182" spans="4:9" hidden="1">
      <c r="E1182" s="46">
        <v>39475</v>
      </c>
      <c r="F1182" s="11"/>
      <c r="G1182" s="11"/>
      <c r="H1182" s="11">
        <v>1000</v>
      </c>
      <c r="I1182" s="299">
        <f>+XIRR(H1180:H1182,E1180:E1182)</f>
        <v>-0.4761318581178785</v>
      </c>
    </row>
    <row r="1183" spans="4:9" hidden="1">
      <c r="D1183" s="20" t="s">
        <v>388</v>
      </c>
      <c r="E1183" s="44">
        <v>37569</v>
      </c>
      <c r="F1183" s="20"/>
      <c r="G1183" s="20"/>
      <c r="H1183" s="20">
        <v>-100000000</v>
      </c>
      <c r="I1183" s="299"/>
    </row>
    <row r="1184" spans="4:9" hidden="1">
      <c r="E1184" s="44">
        <v>37741</v>
      </c>
      <c r="F1184" s="20"/>
      <c r="G1184" s="20"/>
      <c r="H1184" s="20">
        <v>74918341</v>
      </c>
      <c r="I1184" s="299"/>
    </row>
    <row r="1185" spans="4:9" hidden="1">
      <c r="E1185" s="45">
        <v>37986</v>
      </c>
      <c r="F1185" s="14"/>
      <c r="G1185" s="14"/>
      <c r="H1185" s="14">
        <v>7984968</v>
      </c>
      <c r="I1185" s="299"/>
    </row>
    <row r="1186" spans="4:9" hidden="1">
      <c r="E1186" s="45">
        <v>38643</v>
      </c>
      <c r="F1186" s="14"/>
      <c r="G1186" s="14"/>
      <c r="H1186" s="14">
        <v>313512</v>
      </c>
      <c r="I1186" s="299"/>
    </row>
    <row r="1187" spans="4:9" hidden="1">
      <c r="E1187" s="45">
        <v>38716</v>
      </c>
      <c r="F1187" s="14"/>
      <c r="G1187" s="14"/>
      <c r="H1187" s="14">
        <v>13416569</v>
      </c>
      <c r="I1187" s="299"/>
    </row>
    <row r="1188" spans="4:9" hidden="1">
      <c r="E1188" s="46">
        <v>39493</v>
      </c>
      <c r="F1188" s="11"/>
      <c r="G1188" s="11"/>
      <c r="H1188" s="11">
        <v>5180597</v>
      </c>
      <c r="I1188" s="299">
        <f>+XIRR(H1183:H1188,E1183:E1188)</f>
        <v>1.6269806027412414E-2</v>
      </c>
    </row>
    <row r="1189" spans="4:9" hidden="1">
      <c r="D1189" s="20" t="s">
        <v>389</v>
      </c>
      <c r="E1189" s="44">
        <v>37569</v>
      </c>
      <c r="F1189" s="20"/>
      <c r="G1189" s="20"/>
      <c r="H1189" s="20">
        <v>-200000000</v>
      </c>
      <c r="I1189" s="299"/>
    </row>
    <row r="1190" spans="4:9" hidden="1">
      <c r="E1190" s="44">
        <v>37803</v>
      </c>
      <c r="F1190" s="20"/>
      <c r="G1190" s="20"/>
      <c r="H1190" s="20">
        <v>93578008</v>
      </c>
      <c r="I1190" s="299"/>
    </row>
    <row r="1191" spans="4:9" hidden="1">
      <c r="E1191" s="45">
        <v>37804</v>
      </c>
      <c r="F1191" s="14"/>
      <c r="G1191" s="14"/>
      <c r="H1191" s="14">
        <v>31205624</v>
      </c>
      <c r="I1191" s="299"/>
    </row>
    <row r="1192" spans="4:9" hidden="1">
      <c r="E1192" s="45">
        <v>37986</v>
      </c>
      <c r="F1192" s="14"/>
      <c r="G1192" s="14"/>
      <c r="H1192" s="14">
        <v>7069492</v>
      </c>
      <c r="I1192" s="299"/>
    </row>
    <row r="1193" spans="4:9" hidden="1">
      <c r="E1193" s="45">
        <v>38643</v>
      </c>
      <c r="F1193" s="14"/>
      <c r="G1193" s="14"/>
      <c r="H1193" s="14">
        <v>1068982</v>
      </c>
      <c r="I1193" s="299"/>
    </row>
    <row r="1194" spans="4:9" hidden="1">
      <c r="E1194" s="45">
        <v>39493</v>
      </c>
      <c r="F1194" s="14"/>
      <c r="G1194" s="14"/>
      <c r="H1194" s="14">
        <v>402367</v>
      </c>
      <c r="I1194" s="299"/>
    </row>
    <row r="1195" spans="4:9" hidden="1">
      <c r="E1195" s="46">
        <v>40358</v>
      </c>
      <c r="F1195" s="11"/>
      <c r="G1195" s="11"/>
      <c r="H1195" s="11">
        <v>40817494</v>
      </c>
      <c r="I1195" s="299">
        <f>+XIRR(H1189:H1195,E1189:E1195)</f>
        <v>-5.2306136488914495E-2</v>
      </c>
    </row>
    <row r="1196" spans="4:9" hidden="1">
      <c r="D1196" s="20" t="s">
        <v>390</v>
      </c>
      <c r="E1196" s="44">
        <v>37569</v>
      </c>
      <c r="F1196" s="20"/>
      <c r="G1196" s="20"/>
      <c r="H1196" s="20">
        <v>-200000000</v>
      </c>
      <c r="I1196" s="299"/>
    </row>
    <row r="1197" spans="4:9" hidden="1">
      <c r="E1197" s="45">
        <v>38643</v>
      </c>
      <c r="F1197" s="14"/>
      <c r="G1197" s="14"/>
      <c r="H1197" s="14">
        <v>6565477</v>
      </c>
      <c r="I1197" s="299"/>
    </row>
    <row r="1198" spans="4:9" hidden="1">
      <c r="E1198" s="45">
        <v>38929</v>
      </c>
      <c r="F1198" s="14"/>
      <c r="G1198" s="14"/>
      <c r="H1198" s="14">
        <v>4688048</v>
      </c>
      <c r="I1198" s="299"/>
    </row>
    <row r="1199" spans="4:9" hidden="1">
      <c r="E1199" s="45">
        <v>39493</v>
      </c>
      <c r="F1199" s="14"/>
      <c r="G1199" s="14"/>
      <c r="H1199" s="14">
        <v>2141870</v>
      </c>
      <c r="I1199" s="299"/>
    </row>
    <row r="1200" spans="4:9" hidden="1">
      <c r="E1200" s="45">
        <v>40358</v>
      </c>
      <c r="F1200" s="14"/>
      <c r="G1200" s="14"/>
      <c r="H1200" s="14">
        <v>40817495</v>
      </c>
      <c r="I1200" s="299">
        <f>+XIRR(H1196:H1200,E1196:E1200)</f>
        <v>-0.1723716653883457</v>
      </c>
    </row>
    <row r="1201" spans="4:9" hidden="1">
      <c r="D1201" s="20" t="s">
        <v>147</v>
      </c>
      <c r="E1201" s="44">
        <v>37747</v>
      </c>
      <c r="F1201" s="20">
        <v>-96000</v>
      </c>
      <c r="G1201" s="20">
        <v>25000</v>
      </c>
      <c r="H1201" s="20">
        <f>+F1201*G1201</f>
        <v>-2400000000</v>
      </c>
      <c r="I1201" s="299"/>
    </row>
    <row r="1202" spans="4:9" hidden="1">
      <c r="D1202" s="14" t="s">
        <v>147</v>
      </c>
      <c r="E1202" s="45">
        <v>38336</v>
      </c>
      <c r="F1202" s="14">
        <v>-997622</v>
      </c>
      <c r="G1202" s="14">
        <f>+H1202/F1202</f>
        <v>640</v>
      </c>
      <c r="H1202" s="14">
        <v>-638478080</v>
      </c>
      <c r="I1202" s="299"/>
    </row>
    <row r="1203" spans="4:9" hidden="1">
      <c r="E1203" s="45">
        <v>38380</v>
      </c>
      <c r="F1203" s="14">
        <v>30000</v>
      </c>
      <c r="G1203" s="14">
        <f>+H1203/F1203</f>
        <v>2031.7249999999999</v>
      </c>
      <c r="H1203" s="14">
        <v>60951750</v>
      </c>
      <c r="I1203" s="299"/>
    </row>
    <row r="1204" spans="4:9" hidden="1">
      <c r="E1204" s="45">
        <v>38383</v>
      </c>
      <c r="F1204" s="14">
        <v>213000</v>
      </c>
      <c r="G1204" s="14">
        <f t="shared" ref="G1204:G1214" si="61">+H1204/F1204</f>
        <v>2157.1485915492958</v>
      </c>
      <c r="H1204" s="14">
        <v>459472650</v>
      </c>
      <c r="I1204" s="299"/>
    </row>
    <row r="1205" spans="4:9" hidden="1">
      <c r="E1205" s="45">
        <v>38384</v>
      </c>
      <c r="F1205" s="14">
        <v>600000</v>
      </c>
      <c r="G1205" s="14">
        <f t="shared" si="61"/>
        <v>2026.45625</v>
      </c>
      <c r="H1205" s="14">
        <v>1215873750</v>
      </c>
      <c r="I1205" s="299"/>
    </row>
    <row r="1206" spans="4:9" hidden="1">
      <c r="E1206" s="45">
        <v>38385</v>
      </c>
      <c r="F1206" s="14">
        <v>104622</v>
      </c>
      <c r="G1206" s="14">
        <f t="shared" si="61"/>
        <v>2251.5074267362506</v>
      </c>
      <c r="H1206" s="14">
        <v>235557210</v>
      </c>
      <c r="I1206" s="299"/>
    </row>
    <row r="1207" spans="4:9" hidden="1">
      <c r="E1207" s="45">
        <v>38387</v>
      </c>
      <c r="F1207" s="14">
        <v>50000</v>
      </c>
      <c r="G1207" s="14">
        <f t="shared" si="61"/>
        <v>2904.9639999999999</v>
      </c>
      <c r="H1207" s="14">
        <v>145248200</v>
      </c>
      <c r="I1207" s="299"/>
    </row>
    <row r="1208" spans="4:9" hidden="1">
      <c r="E1208" s="45">
        <v>38523</v>
      </c>
      <c r="F1208" s="14">
        <v>22000</v>
      </c>
      <c r="G1208" s="14">
        <f t="shared" si="61"/>
        <v>5710.6090909090908</v>
      </c>
      <c r="H1208" s="14">
        <v>125633400</v>
      </c>
      <c r="I1208" s="299"/>
    </row>
    <row r="1209" spans="4:9" hidden="1">
      <c r="E1209" s="45">
        <v>38527</v>
      </c>
      <c r="F1209" s="14">
        <v>100000</v>
      </c>
      <c r="G1209" s="14">
        <f t="shared" si="61"/>
        <v>5779.9369999999999</v>
      </c>
      <c r="H1209" s="14">
        <v>577993700</v>
      </c>
      <c r="I1209" s="299"/>
    </row>
    <row r="1210" spans="4:9" hidden="1">
      <c r="E1210" s="45">
        <v>38530</v>
      </c>
      <c r="F1210" s="14">
        <v>100000</v>
      </c>
      <c r="G1210" s="14">
        <f t="shared" si="61"/>
        <v>6392.76</v>
      </c>
      <c r="H1210" s="14">
        <v>639276000</v>
      </c>
      <c r="I1210" s="299"/>
    </row>
    <row r="1211" spans="4:9" hidden="1">
      <c r="E1211" s="45">
        <v>38532</v>
      </c>
      <c r="F1211" s="14">
        <v>113790</v>
      </c>
      <c r="G1211" s="14">
        <f t="shared" si="61"/>
        <v>6614.9644081202214</v>
      </c>
      <c r="H1211" s="14">
        <v>752716800</v>
      </c>
      <c r="I1211" s="299"/>
    </row>
    <row r="1212" spans="4:9" hidden="1">
      <c r="E1212" s="45">
        <v>38621</v>
      </c>
      <c r="F1212" s="14">
        <v>30000</v>
      </c>
      <c r="G1212" s="14">
        <f t="shared" si="61"/>
        <v>7278.67</v>
      </c>
      <c r="H1212" s="14">
        <v>218360100</v>
      </c>
      <c r="I1212" s="299"/>
    </row>
    <row r="1213" spans="4:9" hidden="1">
      <c r="E1213" s="45">
        <v>38638</v>
      </c>
      <c r="F1213" s="14">
        <v>40000</v>
      </c>
      <c r="G1213" s="14">
        <f t="shared" si="61"/>
        <v>8292.9174999999996</v>
      </c>
      <c r="H1213" s="14">
        <v>331716700</v>
      </c>
      <c r="I1213" s="299"/>
    </row>
    <row r="1214" spans="4:9" hidden="1">
      <c r="E1214" s="45">
        <v>38666</v>
      </c>
      <c r="F1214" s="14">
        <v>41830</v>
      </c>
      <c r="G1214" s="14">
        <f t="shared" si="61"/>
        <v>9150.6741573033705</v>
      </c>
      <c r="H1214" s="14">
        <v>382772700</v>
      </c>
      <c r="I1214" s="299"/>
    </row>
    <row r="1215" spans="4:9" hidden="1">
      <c r="E1215" s="45">
        <v>38980</v>
      </c>
      <c r="F1215" s="14">
        <v>5500</v>
      </c>
      <c r="G1215" s="14">
        <f>+H1215/F1215</f>
        <v>8226.4</v>
      </c>
      <c r="H1215" s="14">
        <v>45245200</v>
      </c>
      <c r="I1215" s="299"/>
    </row>
    <row r="1216" spans="4:9" hidden="1">
      <c r="E1216" s="45">
        <v>38981</v>
      </c>
      <c r="F1216" s="14">
        <v>20000</v>
      </c>
      <c r="G1216" s="14">
        <f>+H1216/F1216</f>
        <v>8345.83</v>
      </c>
      <c r="H1216" s="14">
        <v>166916600</v>
      </c>
      <c r="I1216" s="299"/>
    </row>
    <row r="1217" spans="4:9" hidden="1">
      <c r="E1217" s="45">
        <v>39260</v>
      </c>
      <c r="F1217" s="14">
        <v>25350</v>
      </c>
      <c r="G1217" s="14">
        <f t="shared" ref="G1217:G1228" si="62">+H1217/F1217</f>
        <v>5230.9704142011833</v>
      </c>
      <c r="H1217" s="14">
        <v>132605100</v>
      </c>
      <c r="I1217" s="299"/>
    </row>
    <row r="1218" spans="4:9" hidden="1">
      <c r="E1218" s="45">
        <v>39261</v>
      </c>
      <c r="F1218" s="14">
        <v>27160</v>
      </c>
      <c r="G1218" s="14">
        <f t="shared" si="62"/>
        <v>5230.684830633284</v>
      </c>
      <c r="H1218" s="14">
        <v>142065400</v>
      </c>
      <c r="I1218" s="299"/>
    </row>
    <row r="1219" spans="4:9" hidden="1">
      <c r="E1219" s="45">
        <v>39262</v>
      </c>
      <c r="F1219" s="14">
        <v>48300</v>
      </c>
      <c r="G1219" s="14">
        <f t="shared" si="62"/>
        <v>5337.5693581780542</v>
      </c>
      <c r="H1219" s="14">
        <v>257804600</v>
      </c>
      <c r="I1219" s="299"/>
    </row>
    <row r="1220" spans="4:9" hidden="1">
      <c r="E1220" s="45">
        <v>39265</v>
      </c>
      <c r="F1220" s="14">
        <v>6000</v>
      </c>
      <c r="G1220" s="14">
        <f t="shared" si="62"/>
        <v>5429.8666666666668</v>
      </c>
      <c r="H1220" s="14">
        <v>32579200</v>
      </c>
      <c r="I1220" s="299"/>
    </row>
    <row r="1221" spans="4:9" hidden="1">
      <c r="E1221" s="45">
        <v>39384</v>
      </c>
      <c r="F1221" s="14">
        <v>47560</v>
      </c>
      <c r="G1221" s="14">
        <f t="shared" si="62"/>
        <v>4075.2617746005049</v>
      </c>
      <c r="H1221" s="14">
        <v>193819450</v>
      </c>
      <c r="I1221" s="299"/>
    </row>
    <row r="1222" spans="4:9" hidden="1">
      <c r="E1222" s="45">
        <v>39385</v>
      </c>
      <c r="F1222" s="14">
        <v>9632</v>
      </c>
      <c r="G1222" s="14">
        <f t="shared" si="62"/>
        <v>4019.3054401993354</v>
      </c>
      <c r="H1222" s="14">
        <v>38713950</v>
      </c>
      <c r="I1222" s="299"/>
    </row>
    <row r="1223" spans="4:9" hidden="1">
      <c r="E1223" s="45">
        <v>39386</v>
      </c>
      <c r="F1223" s="14">
        <v>36790</v>
      </c>
      <c r="G1223" s="14">
        <f t="shared" si="62"/>
        <v>4015.3384071758628</v>
      </c>
      <c r="H1223" s="14">
        <v>147724300</v>
      </c>
      <c r="I1223" s="299"/>
    </row>
    <row r="1224" spans="4:9" hidden="1">
      <c r="E1224" s="45">
        <v>39387</v>
      </c>
      <c r="F1224" s="14">
        <v>4480</v>
      </c>
      <c r="G1224" s="14">
        <f t="shared" si="62"/>
        <v>4025.4799107142858</v>
      </c>
      <c r="H1224" s="14">
        <v>18034150</v>
      </c>
      <c r="I1224" s="299"/>
    </row>
    <row r="1225" spans="4:9" hidden="1">
      <c r="E1225" s="45">
        <v>39398</v>
      </c>
      <c r="F1225" s="14">
        <v>159950</v>
      </c>
      <c r="G1225" s="14">
        <f t="shared" si="62"/>
        <v>4100.8155673648016</v>
      </c>
      <c r="H1225" s="14">
        <v>655925450</v>
      </c>
      <c r="I1225" s="299"/>
    </row>
    <row r="1226" spans="4:9" hidden="1">
      <c r="E1226" s="45">
        <v>39399</v>
      </c>
      <c r="F1226" s="14">
        <v>31480</v>
      </c>
      <c r="G1226" s="14">
        <f t="shared" si="62"/>
        <v>4064.2900254129604</v>
      </c>
      <c r="H1226" s="14">
        <v>127943850</v>
      </c>
      <c r="I1226" s="299"/>
    </row>
    <row r="1227" spans="4:9" hidden="1">
      <c r="E1227" s="45">
        <v>39400</v>
      </c>
      <c r="F1227" s="14">
        <v>17580</v>
      </c>
      <c r="G1227" s="14">
        <f t="shared" si="62"/>
        <v>4068.3390216154721</v>
      </c>
      <c r="H1227" s="14">
        <v>71521400</v>
      </c>
      <c r="I1227" s="299"/>
    </row>
    <row r="1228" spans="4:9" hidden="1">
      <c r="E1228" s="45">
        <v>39405</v>
      </c>
      <c r="F1228" s="14">
        <v>20010</v>
      </c>
      <c r="G1228" s="14">
        <f t="shared" si="62"/>
        <v>4017.2188905547227</v>
      </c>
      <c r="H1228" s="14">
        <v>80384550</v>
      </c>
      <c r="I1228" s="299"/>
    </row>
    <row r="1229" spans="4:9" hidden="1">
      <c r="E1229" s="45">
        <v>39464</v>
      </c>
      <c r="F1229" s="11">
        <v>90210</v>
      </c>
      <c r="G1229" s="11">
        <f>+H1229/F1229</f>
        <v>3501.6960425673428</v>
      </c>
      <c r="H1229" s="11">
        <v>315888000</v>
      </c>
      <c r="I1229" s="299">
        <f>+XIRR(H1201:H1229,E1201:E1229)</f>
        <v>0.4882648408412934</v>
      </c>
    </row>
    <row r="1230" spans="4:9" hidden="1">
      <c r="D1230" s="20" t="s">
        <v>397</v>
      </c>
      <c r="E1230" s="44">
        <v>37641</v>
      </c>
      <c r="F1230" s="20"/>
      <c r="G1230" s="20"/>
      <c r="H1230" s="20">
        <v>-1000000000</v>
      </c>
      <c r="I1230" s="299"/>
    </row>
    <row r="1231" spans="4:9" hidden="1">
      <c r="E1231" s="44">
        <v>38636</v>
      </c>
      <c r="F1231" s="20"/>
      <c r="G1231" s="20"/>
      <c r="H1231" s="20">
        <v>1109041096</v>
      </c>
      <c r="I1231" s="299"/>
    </row>
    <row r="1232" spans="4:9" hidden="1">
      <c r="E1232" s="46">
        <v>39475</v>
      </c>
      <c r="F1232" s="11"/>
      <c r="G1232" s="11"/>
      <c r="H1232" s="11">
        <v>1000</v>
      </c>
      <c r="I1232" s="299">
        <f>+XIRR(H1230:H1232,E1230:E1232)</f>
        <v>3.8696005940437317E-2</v>
      </c>
    </row>
    <row r="1233" spans="4:9" hidden="1">
      <c r="D1233" s="20" t="s">
        <v>398</v>
      </c>
      <c r="E1233" s="44">
        <v>37666</v>
      </c>
      <c r="F1233" s="20"/>
      <c r="G1233" s="20"/>
      <c r="H1233" s="20">
        <v>-200000000</v>
      </c>
      <c r="I1233" s="299"/>
    </row>
    <row r="1234" spans="4:9" hidden="1">
      <c r="E1234" s="44">
        <v>37833</v>
      </c>
      <c r="F1234" s="20"/>
      <c r="G1234" s="20"/>
      <c r="H1234" s="20">
        <v>351000000</v>
      </c>
      <c r="I1234" s="299"/>
    </row>
    <row r="1235" spans="4:9" hidden="1">
      <c r="E1235" s="45">
        <v>37862</v>
      </c>
      <c r="F1235" s="14"/>
      <c r="G1235" s="14"/>
      <c r="H1235" s="14">
        <v>67950000</v>
      </c>
      <c r="I1235" s="299"/>
    </row>
    <row r="1236" spans="4:9" hidden="1">
      <c r="E1236" s="45">
        <v>37894</v>
      </c>
      <c r="F1236" s="14"/>
      <c r="G1236" s="14"/>
      <c r="H1236" s="14">
        <v>7550000</v>
      </c>
      <c r="I1236" s="299"/>
    </row>
    <row r="1237" spans="4:9" hidden="1">
      <c r="E1237" s="45">
        <v>38019</v>
      </c>
      <c r="F1237" s="14"/>
      <c r="G1237" s="14"/>
      <c r="H1237" s="14">
        <v>22500000</v>
      </c>
      <c r="I1237" s="299"/>
    </row>
    <row r="1238" spans="4:9" hidden="1">
      <c r="E1238" s="45">
        <v>38049</v>
      </c>
      <c r="F1238" s="14"/>
      <c r="G1238" s="14"/>
      <c r="H1238" s="14">
        <v>9815000</v>
      </c>
      <c r="I1238" s="299"/>
    </row>
    <row r="1239" spans="4:9" hidden="1">
      <c r="E1239" s="45">
        <v>38085</v>
      </c>
      <c r="F1239" s="14"/>
      <c r="G1239" s="14"/>
      <c r="H1239" s="14">
        <v>2265000</v>
      </c>
      <c r="I1239" s="299"/>
    </row>
    <row r="1240" spans="4:9" hidden="1">
      <c r="E1240" s="45">
        <v>38111</v>
      </c>
      <c r="F1240" s="14"/>
      <c r="G1240" s="14"/>
      <c r="H1240" s="14">
        <v>755000</v>
      </c>
      <c r="I1240" s="299"/>
    </row>
    <row r="1241" spans="4:9" hidden="1">
      <c r="E1241" s="45">
        <v>38180</v>
      </c>
      <c r="F1241" s="14"/>
      <c r="G1241" s="14"/>
      <c r="H1241" s="14">
        <v>5285000</v>
      </c>
      <c r="I1241" s="299"/>
    </row>
    <row r="1242" spans="4:9" hidden="1">
      <c r="E1242" s="45">
        <v>38202</v>
      </c>
      <c r="F1242" s="14"/>
      <c r="G1242" s="14"/>
      <c r="H1242" s="14">
        <v>755000</v>
      </c>
      <c r="I1242" s="299"/>
    </row>
    <row r="1243" spans="4:9" hidden="1">
      <c r="E1243" s="45">
        <v>38294</v>
      </c>
      <c r="F1243" s="14"/>
      <c r="G1243" s="14"/>
      <c r="H1243" s="14">
        <v>2265000</v>
      </c>
      <c r="I1243" s="299"/>
    </row>
    <row r="1244" spans="4:9" hidden="1">
      <c r="E1244" s="45">
        <v>38331</v>
      </c>
      <c r="F1244" s="14"/>
      <c r="G1244" s="14"/>
      <c r="H1244" s="14">
        <v>755000</v>
      </c>
      <c r="I1244" s="299"/>
    </row>
    <row r="1245" spans="4:9" hidden="1">
      <c r="E1245" s="45">
        <v>38421</v>
      </c>
      <c r="F1245" s="14"/>
      <c r="G1245" s="14"/>
      <c r="H1245" s="14">
        <v>3000000</v>
      </c>
      <c r="I1245" s="299"/>
    </row>
    <row r="1246" spans="4:9" hidden="1">
      <c r="E1246" s="45">
        <v>38512</v>
      </c>
      <c r="F1246" s="14"/>
      <c r="G1246" s="14"/>
      <c r="H1246" s="14">
        <v>364281</v>
      </c>
      <c r="I1246" s="299"/>
    </row>
    <row r="1247" spans="4:9" hidden="1">
      <c r="E1247" s="45">
        <v>38527</v>
      </c>
      <c r="F1247" s="14"/>
      <c r="G1247" s="14"/>
      <c r="H1247" s="14">
        <v>690573</v>
      </c>
      <c r="I1247" s="299"/>
    </row>
    <row r="1248" spans="4:9" hidden="1">
      <c r="E1248" s="46">
        <v>39444</v>
      </c>
      <c r="F1248" s="11"/>
      <c r="G1248" s="11"/>
      <c r="H1248" s="11">
        <v>35683206</v>
      </c>
      <c r="I1248" s="299">
        <f>+XIRR(H1233:H1248,E1233:E1248)</f>
        <v>4.3837152957916254</v>
      </c>
    </row>
    <row r="1249" spans="4:9" hidden="1">
      <c r="D1249" s="20" t="s">
        <v>399</v>
      </c>
      <c r="E1249" s="44">
        <v>37700</v>
      </c>
      <c r="F1249" s="20"/>
      <c r="G1249" s="20"/>
      <c r="H1249" s="20">
        <v>-200000000</v>
      </c>
      <c r="I1249" s="299"/>
    </row>
    <row r="1250" spans="4:9" hidden="1">
      <c r="E1250" s="44">
        <v>38117</v>
      </c>
      <c r="F1250" s="20"/>
      <c r="G1250" s="20"/>
      <c r="H1250" s="20">
        <v>234748000</v>
      </c>
      <c r="I1250" s="299"/>
    </row>
    <row r="1251" spans="4:9" hidden="1">
      <c r="E1251" s="45">
        <v>38153</v>
      </c>
      <c r="F1251" s="14"/>
      <c r="G1251" s="14"/>
      <c r="H1251" s="14">
        <v>56957380</v>
      </c>
      <c r="I1251" s="299"/>
    </row>
    <row r="1252" spans="4:9" hidden="1">
      <c r="E1252" s="45">
        <v>38166</v>
      </c>
      <c r="F1252" s="14"/>
      <c r="G1252" s="14"/>
      <c r="H1252" s="14">
        <v>28902960</v>
      </c>
      <c r="I1252" s="299"/>
    </row>
    <row r="1253" spans="4:9" hidden="1">
      <c r="E1253" s="45">
        <v>38190</v>
      </c>
      <c r="F1253" s="14"/>
      <c r="G1253" s="14"/>
      <c r="H1253" s="14">
        <v>19056027</v>
      </c>
      <c r="I1253" s="299"/>
    </row>
    <row r="1254" spans="4:9" hidden="1">
      <c r="E1254" s="45">
        <v>38216</v>
      </c>
      <c r="F1254" s="14"/>
      <c r="G1254" s="14"/>
      <c r="H1254" s="14">
        <v>14565760</v>
      </c>
      <c r="I1254" s="299"/>
    </row>
    <row r="1255" spans="4:9" hidden="1">
      <c r="E1255" s="45">
        <v>38246</v>
      </c>
      <c r="F1255" s="14"/>
      <c r="G1255" s="14"/>
      <c r="H1255" s="14">
        <v>12314660</v>
      </c>
      <c r="I1255" s="299"/>
    </row>
    <row r="1256" spans="4:9" hidden="1">
      <c r="E1256" s="45">
        <v>38278</v>
      </c>
      <c r="F1256" s="14"/>
      <c r="G1256" s="14"/>
      <c r="H1256" s="14">
        <v>7161830</v>
      </c>
      <c r="I1256" s="299"/>
    </row>
    <row r="1257" spans="4:9" hidden="1">
      <c r="E1257" s="45">
        <v>38309</v>
      </c>
      <c r="F1257" s="14"/>
      <c r="G1257" s="14"/>
      <c r="H1257" s="14">
        <v>6667420</v>
      </c>
      <c r="I1257" s="299"/>
    </row>
    <row r="1258" spans="4:9" hidden="1">
      <c r="E1258" s="45">
        <v>38344</v>
      </c>
      <c r="F1258" s="14"/>
      <c r="G1258" s="14"/>
      <c r="H1258" s="14">
        <v>5517670</v>
      </c>
      <c r="I1258" s="299"/>
    </row>
    <row r="1259" spans="4:9" hidden="1">
      <c r="E1259" s="45">
        <v>38384</v>
      </c>
      <c r="F1259" s="14"/>
      <c r="G1259" s="14"/>
      <c r="H1259" s="14">
        <v>5162534</v>
      </c>
      <c r="I1259" s="299"/>
    </row>
    <row r="1260" spans="4:9" hidden="1">
      <c r="E1260" s="45">
        <v>38540</v>
      </c>
      <c r="F1260" s="14"/>
      <c r="G1260" s="14"/>
      <c r="H1260" s="14">
        <v>4669460</v>
      </c>
      <c r="I1260" s="299"/>
    </row>
    <row r="1261" spans="4:9" hidden="1">
      <c r="E1261" s="45">
        <v>38548</v>
      </c>
      <c r="F1261" s="14"/>
      <c r="G1261" s="14"/>
      <c r="H1261" s="14">
        <v>3966722</v>
      </c>
      <c r="I1261" s="299"/>
    </row>
    <row r="1262" spans="4:9" hidden="1">
      <c r="E1262" s="46">
        <v>39475</v>
      </c>
      <c r="F1262" s="11"/>
      <c r="G1262" s="11"/>
      <c r="H1262" s="11">
        <v>77000</v>
      </c>
      <c r="I1262" s="299">
        <f>+XIRR(H1249:H1262,E1249:E1262)</f>
        <v>0.74421752691268939</v>
      </c>
    </row>
    <row r="1263" spans="4:9" hidden="1">
      <c r="D1263" s="20" t="s">
        <v>400</v>
      </c>
      <c r="E1263" s="44">
        <v>37757</v>
      </c>
      <c r="F1263" s="20"/>
      <c r="G1263" s="20"/>
      <c r="H1263" s="20">
        <v>-500000000</v>
      </c>
      <c r="I1263" s="299"/>
    </row>
    <row r="1264" spans="4:9" hidden="1">
      <c r="E1264" s="44">
        <v>38895</v>
      </c>
      <c r="F1264" s="20"/>
      <c r="G1264" s="20"/>
      <c r="H1264" s="20">
        <v>50000000</v>
      </c>
      <c r="I1264" s="299"/>
    </row>
    <row r="1265" spans="4:9" hidden="1">
      <c r="E1265" s="45">
        <v>39311</v>
      </c>
      <c r="F1265" s="14"/>
      <c r="G1265" s="14"/>
      <c r="H1265" s="14">
        <v>60000000</v>
      </c>
      <c r="I1265" s="299"/>
    </row>
    <row r="1266" spans="4:9" hidden="1">
      <c r="E1266" s="45">
        <v>39329</v>
      </c>
      <c r="F1266" s="14"/>
      <c r="G1266" s="14"/>
      <c r="H1266" s="14">
        <v>40000000</v>
      </c>
      <c r="I1266" s="299"/>
    </row>
    <row r="1267" spans="4:9" hidden="1">
      <c r="E1267" s="45">
        <v>39336</v>
      </c>
      <c r="F1267" s="14"/>
      <c r="G1267" s="14"/>
      <c r="H1267" s="14">
        <v>30000000</v>
      </c>
      <c r="I1267" s="299"/>
    </row>
    <row r="1268" spans="4:9" hidden="1">
      <c r="E1268" s="45">
        <v>39450</v>
      </c>
      <c r="F1268" s="14"/>
      <c r="G1268" s="14"/>
      <c r="H1268" s="14">
        <v>45000000</v>
      </c>
      <c r="I1268" s="299"/>
    </row>
    <row r="1269" spans="4:9" hidden="1">
      <c r="E1269" s="45">
        <v>39455</v>
      </c>
      <c r="F1269" s="14"/>
      <c r="G1269" s="14"/>
      <c r="H1269" s="14">
        <v>30000000</v>
      </c>
      <c r="I1269" s="299"/>
    </row>
    <row r="1270" spans="4:9" hidden="1">
      <c r="E1270" s="45">
        <v>39472</v>
      </c>
      <c r="F1270" s="14"/>
      <c r="G1270" s="14"/>
      <c r="H1270" s="14">
        <v>25000000</v>
      </c>
      <c r="I1270" s="299"/>
    </row>
    <row r="1271" spans="4:9" hidden="1">
      <c r="E1271" s="46">
        <v>39475</v>
      </c>
      <c r="F1271" s="11"/>
      <c r="G1271" s="11"/>
      <c r="H1271" s="11">
        <v>10000</v>
      </c>
      <c r="I1271" s="299">
        <f>+XIRR(H1263:H1271,E1263:E1271)</f>
        <v>-0.12807524837553499</v>
      </c>
    </row>
    <row r="1272" spans="4:9" hidden="1">
      <c r="D1272" s="20" t="s">
        <v>401</v>
      </c>
      <c r="E1272" s="44">
        <v>37803</v>
      </c>
      <c r="F1272" s="20"/>
      <c r="G1272" s="20"/>
      <c r="H1272" s="20">
        <v>-1147500000</v>
      </c>
      <c r="I1272" s="299"/>
    </row>
    <row r="1273" spans="4:9" hidden="1">
      <c r="D1273" s="14" t="s">
        <v>401</v>
      </c>
      <c r="E1273" s="45">
        <v>37896</v>
      </c>
      <c r="F1273" s="14"/>
      <c r="G1273" s="14"/>
      <c r="H1273" s="14">
        <v>-420750000</v>
      </c>
      <c r="I1273" s="299"/>
    </row>
    <row r="1274" spans="4:9" hidden="1">
      <c r="D1274" s="14" t="s">
        <v>401</v>
      </c>
      <c r="E1274" s="45">
        <v>37991</v>
      </c>
      <c r="F1274" s="14"/>
      <c r="G1274" s="14"/>
      <c r="H1274" s="14">
        <v>-420750000</v>
      </c>
      <c r="I1274" s="299"/>
    </row>
    <row r="1275" spans="4:9" hidden="1">
      <c r="E1275" s="44">
        <v>38401</v>
      </c>
      <c r="F1275" s="20"/>
      <c r="G1275" s="20"/>
      <c r="H1275" s="20">
        <v>7800596</v>
      </c>
      <c r="I1275" s="299"/>
    </row>
    <row r="1276" spans="4:9" hidden="1">
      <c r="E1276" s="45">
        <v>38548</v>
      </c>
      <c r="F1276" s="14"/>
      <c r="G1276" s="14"/>
      <c r="H1276" s="14">
        <v>36341225</v>
      </c>
      <c r="I1276" s="299"/>
    </row>
    <row r="1277" spans="4:9" hidden="1">
      <c r="E1277" s="45">
        <v>38799</v>
      </c>
      <c r="F1277" s="14"/>
      <c r="G1277" s="14"/>
      <c r="H1277" s="14">
        <v>185883311</v>
      </c>
      <c r="I1277" s="299"/>
    </row>
    <row r="1278" spans="4:9" hidden="1">
      <c r="E1278" s="45">
        <v>39149</v>
      </c>
      <c r="F1278" s="14"/>
      <c r="G1278" s="14"/>
      <c r="H1278" s="14">
        <v>37248182</v>
      </c>
      <c r="I1278" s="299"/>
    </row>
    <row r="1279" spans="4:9" hidden="1">
      <c r="E1279" s="45">
        <v>39356</v>
      </c>
      <c r="F1279" s="14"/>
      <c r="G1279" s="14"/>
      <c r="H1279" s="14">
        <v>350000000</v>
      </c>
      <c r="I1279" s="299"/>
    </row>
    <row r="1280" spans="4:9" hidden="1">
      <c r="E1280" s="46">
        <v>39475</v>
      </c>
      <c r="F1280" s="11"/>
      <c r="G1280" s="11"/>
      <c r="H1280" s="11">
        <v>1000</v>
      </c>
      <c r="I1280" s="299">
        <f>+XIRR(H1272:H1280,E1272:E1280)</f>
        <v>-0.28210377320647251</v>
      </c>
    </row>
    <row r="1281" spans="4:9" hidden="1">
      <c r="D1281" s="20" t="s">
        <v>402</v>
      </c>
      <c r="E1281" s="44">
        <v>37834</v>
      </c>
      <c r="F1281" s="20"/>
      <c r="G1281" s="20"/>
      <c r="H1281" s="20">
        <v>-200000000</v>
      </c>
      <c r="I1281" s="299"/>
    </row>
    <row r="1282" spans="4:9" hidden="1">
      <c r="D1282" s="14" t="s">
        <v>402</v>
      </c>
      <c r="E1282" s="45">
        <v>38107</v>
      </c>
      <c r="F1282" s="14"/>
      <c r="G1282" s="14"/>
      <c r="H1282" s="14">
        <v>-23701688</v>
      </c>
      <c r="I1282" s="299"/>
    </row>
    <row r="1283" spans="4:9" hidden="1">
      <c r="E1283" s="44">
        <v>38111</v>
      </c>
      <c r="F1283" s="20"/>
      <c r="G1283" s="20"/>
      <c r="H1283" s="20">
        <f>223701688+70000000</f>
        <v>293701688</v>
      </c>
      <c r="I1283" s="299"/>
    </row>
    <row r="1284" spans="4:9" hidden="1">
      <c r="E1284" s="45">
        <v>38153</v>
      </c>
      <c r="F1284" s="14"/>
      <c r="G1284" s="14"/>
      <c r="H1284" s="14">
        <v>13000000</v>
      </c>
      <c r="I1284" s="299"/>
    </row>
    <row r="1285" spans="4:9" hidden="1">
      <c r="E1285" s="45">
        <v>38232</v>
      </c>
      <c r="F1285" s="14"/>
      <c r="G1285" s="14"/>
      <c r="H1285" s="14">
        <v>5000000</v>
      </c>
      <c r="I1285" s="299"/>
    </row>
    <row r="1286" spans="4:9" hidden="1">
      <c r="E1286" s="45">
        <v>38267</v>
      </c>
      <c r="F1286" s="14"/>
      <c r="G1286" s="14"/>
      <c r="H1286" s="14">
        <v>10000000</v>
      </c>
      <c r="I1286" s="299"/>
    </row>
    <row r="1287" spans="4:9" hidden="1">
      <c r="E1287" s="45">
        <v>38294</v>
      </c>
      <c r="F1287" s="14"/>
      <c r="G1287" s="14"/>
      <c r="H1287" s="14">
        <v>2000000</v>
      </c>
      <c r="I1287" s="299"/>
    </row>
    <row r="1288" spans="4:9" hidden="1">
      <c r="E1288" s="45">
        <v>38512</v>
      </c>
      <c r="F1288" s="14"/>
      <c r="G1288" s="14"/>
      <c r="H1288" s="14">
        <v>1000000</v>
      </c>
      <c r="I1288" s="299"/>
    </row>
    <row r="1289" spans="4:9" hidden="1">
      <c r="E1289" s="45">
        <v>38527</v>
      </c>
      <c r="F1289" s="14"/>
      <c r="G1289" s="14"/>
      <c r="H1289" s="14">
        <v>3000000</v>
      </c>
      <c r="I1289" s="299"/>
    </row>
    <row r="1290" spans="4:9" hidden="1">
      <c r="E1290" s="45">
        <v>38713</v>
      </c>
      <c r="F1290" s="14"/>
      <c r="G1290" s="14"/>
      <c r="H1290" s="14">
        <v>9000000</v>
      </c>
      <c r="I1290" s="299"/>
    </row>
    <row r="1291" spans="4:9" hidden="1">
      <c r="E1291" s="45">
        <v>39119</v>
      </c>
      <c r="F1291" s="14"/>
      <c r="G1291" s="14"/>
      <c r="H1291" s="14">
        <v>88970</v>
      </c>
      <c r="I1291" s="299"/>
    </row>
    <row r="1292" spans="4:9" hidden="1">
      <c r="E1292" s="45">
        <v>39254</v>
      </c>
      <c r="F1292" s="14"/>
      <c r="G1292" s="14"/>
      <c r="H1292" s="14">
        <v>705582</v>
      </c>
      <c r="I1292" s="299"/>
    </row>
    <row r="1293" spans="4:9" hidden="1">
      <c r="E1293" s="46">
        <v>39444</v>
      </c>
      <c r="F1293" s="11"/>
      <c r="G1293" s="11"/>
      <c r="H1293" s="11">
        <v>1645062</v>
      </c>
      <c r="I1293" s="299">
        <f>+XIRR(H1281:H1293,E1281:E1293)</f>
        <v>0.72063089609146114</v>
      </c>
    </row>
    <row r="1294" spans="4:9" hidden="1">
      <c r="D1294" s="20" t="s">
        <v>403</v>
      </c>
      <c r="E1294" s="44">
        <v>37834</v>
      </c>
      <c r="F1294" s="20"/>
      <c r="G1294" s="20"/>
      <c r="H1294" s="20">
        <v>-200000000</v>
      </c>
      <c r="I1294" s="299"/>
    </row>
    <row r="1295" spans="4:9" hidden="1">
      <c r="E1295" s="44">
        <v>38111</v>
      </c>
      <c r="F1295" s="20"/>
      <c r="G1295" s="20"/>
      <c r="H1295" s="20">
        <v>115000000</v>
      </c>
      <c r="I1295" s="299"/>
    </row>
    <row r="1296" spans="4:9" hidden="1">
      <c r="E1296" s="45">
        <v>38202</v>
      </c>
      <c r="F1296" s="14"/>
      <c r="G1296" s="14"/>
      <c r="H1296" s="14">
        <v>23000000</v>
      </c>
      <c r="I1296" s="299"/>
    </row>
    <row r="1297" spans="4:10" hidden="1">
      <c r="E1297" s="45">
        <v>38295</v>
      </c>
      <c r="F1297" s="14"/>
      <c r="G1297" s="14"/>
      <c r="H1297" s="14">
        <v>3000000</v>
      </c>
      <c r="I1297" s="299"/>
    </row>
    <row r="1298" spans="4:10" hidden="1">
      <c r="E1298" s="45">
        <v>38415</v>
      </c>
      <c r="F1298" s="14"/>
      <c r="G1298" s="14"/>
      <c r="H1298" s="14">
        <v>1000000</v>
      </c>
      <c r="I1298" s="299"/>
    </row>
    <row r="1299" spans="4:10" hidden="1">
      <c r="E1299" s="46">
        <v>39444</v>
      </c>
      <c r="F1299" s="11"/>
      <c r="G1299" s="11"/>
      <c r="H1299" s="11">
        <v>6718823</v>
      </c>
      <c r="I1299" s="299">
        <f>+XIRR(H1294:H1299,E1294:E1299)</f>
        <v>-0.23908905312418943</v>
      </c>
    </row>
    <row r="1300" spans="4:10" hidden="1">
      <c r="D1300" s="20" t="s">
        <v>404</v>
      </c>
      <c r="E1300" s="44">
        <v>37932</v>
      </c>
      <c r="F1300" s="20"/>
      <c r="G1300" s="20"/>
      <c r="H1300" s="20">
        <v>-300000000</v>
      </c>
      <c r="I1300" s="299"/>
    </row>
    <row r="1301" spans="4:10" hidden="1">
      <c r="E1301" s="44">
        <v>38716</v>
      </c>
      <c r="F1301" s="20"/>
      <c r="G1301" s="20"/>
      <c r="H1301" s="20">
        <v>240141400</v>
      </c>
      <c r="I1301" s="299"/>
    </row>
    <row r="1302" spans="4:10" hidden="1">
      <c r="E1302" s="46">
        <v>39472</v>
      </c>
      <c r="F1302" s="11"/>
      <c r="G1302" s="11"/>
      <c r="H1302" s="11">
        <v>5441691</v>
      </c>
      <c r="I1302" s="299">
        <f>+XIRR(H1300:H1302,E1300:E1302)</f>
        <v>-8.702318370342256E-2</v>
      </c>
    </row>
    <row r="1303" spans="4:10" hidden="1">
      <c r="D1303" s="20" t="s">
        <v>405</v>
      </c>
      <c r="E1303" s="44">
        <v>38055</v>
      </c>
      <c r="F1303" s="20"/>
      <c r="G1303" s="20"/>
      <c r="H1303" s="20">
        <v>-500000000</v>
      </c>
      <c r="I1303" s="299"/>
    </row>
    <row r="1304" spans="4:10" hidden="1">
      <c r="E1304" s="44">
        <v>38563</v>
      </c>
      <c r="F1304" s="20"/>
      <c r="G1304" s="20"/>
      <c r="H1304" s="20">
        <v>314763241</v>
      </c>
      <c r="I1304" s="299"/>
    </row>
    <row r="1305" spans="4:10" hidden="1">
      <c r="E1305" s="45">
        <v>38656</v>
      </c>
      <c r="F1305" s="14"/>
      <c r="G1305" s="14"/>
      <c r="H1305" s="14">
        <v>164160684</v>
      </c>
      <c r="I1305" s="299"/>
    </row>
    <row r="1306" spans="4:10" hidden="1">
      <c r="E1306" s="45">
        <v>38715</v>
      </c>
      <c r="F1306" s="14"/>
      <c r="G1306" s="14"/>
      <c r="H1306" s="14">
        <v>168764972</v>
      </c>
      <c r="I1306" s="299"/>
    </row>
    <row r="1307" spans="4:10" hidden="1">
      <c r="E1307" s="46">
        <v>39475</v>
      </c>
      <c r="F1307" s="11"/>
      <c r="G1307" s="11"/>
      <c r="H1307" s="11">
        <v>1000</v>
      </c>
      <c r="I1307" s="299">
        <f>+XIRR(H1303:H1307,E1303:E1307)</f>
        <v>0.18017240166664131</v>
      </c>
    </row>
    <row r="1308" spans="4:10" hidden="1">
      <c r="D1308" s="20" t="s">
        <v>406</v>
      </c>
      <c r="E1308" s="44">
        <v>38083</v>
      </c>
      <c r="F1308" s="20"/>
      <c r="G1308" s="20"/>
      <c r="H1308" s="20">
        <v>-150000000</v>
      </c>
      <c r="I1308" s="297"/>
      <c r="J1308" s="4"/>
    </row>
    <row r="1309" spans="4:10" hidden="1">
      <c r="E1309" s="46">
        <v>39475</v>
      </c>
      <c r="F1309" s="11"/>
      <c r="G1309" s="11"/>
      <c r="H1309" s="11">
        <v>1000</v>
      </c>
      <c r="I1309" s="299">
        <f>+XIRR(H1308:H1309,E1308:E1309)</f>
        <v>-0.95606977492570877</v>
      </c>
      <c r="J1309" s="4"/>
    </row>
    <row r="1310" spans="4:10" hidden="1">
      <c r="D1310" s="20" t="s">
        <v>407</v>
      </c>
      <c r="E1310" s="44">
        <v>38555</v>
      </c>
      <c r="F1310" s="20"/>
      <c r="G1310" s="20"/>
      <c r="H1310" s="20">
        <v>-800000000</v>
      </c>
      <c r="I1310" s="299"/>
    </row>
    <row r="1311" spans="4:10" hidden="1">
      <c r="E1311" s="44">
        <v>38807</v>
      </c>
      <c r="F1311" s="20"/>
      <c r="G1311" s="20"/>
      <c r="H1311" s="20">
        <v>885347945</v>
      </c>
      <c r="I1311" s="299"/>
    </row>
    <row r="1312" spans="4:10" hidden="1">
      <c r="E1312" s="45">
        <v>39475</v>
      </c>
      <c r="F1312" s="14"/>
      <c r="G1312" s="14"/>
      <c r="H1312" s="14">
        <v>1000</v>
      </c>
      <c r="I1312" s="299">
        <f>+XIRR(H1310:H1312,E1310:E1312)</f>
        <v>0.15815172791481022</v>
      </c>
    </row>
    <row r="1313" spans="4:9" hidden="1">
      <c r="D1313" s="20" t="s">
        <v>408</v>
      </c>
      <c r="E1313" s="44">
        <v>38625</v>
      </c>
      <c r="F1313" s="20"/>
      <c r="G1313" s="20"/>
      <c r="H1313" s="20">
        <v>-100000000</v>
      </c>
      <c r="I1313" s="299"/>
    </row>
    <row r="1314" spans="4:9" hidden="1">
      <c r="E1314" s="46">
        <v>39444</v>
      </c>
      <c r="F1314" s="11"/>
      <c r="G1314" s="11"/>
      <c r="H1314" s="11">
        <v>1153606</v>
      </c>
      <c r="I1314" s="299">
        <f>+XIRR(H1313:H1314,E1313:E1314)</f>
        <v>-0.86312441304326071</v>
      </c>
    </row>
    <row r="1315" spans="4:9" hidden="1">
      <c r="D1315" s="20" t="s">
        <v>409</v>
      </c>
      <c r="E1315" s="44">
        <v>38625</v>
      </c>
      <c r="F1315" s="20"/>
      <c r="G1315" s="20"/>
      <c r="H1315" s="20">
        <v>-200000000</v>
      </c>
      <c r="I1315" s="299"/>
    </row>
    <row r="1316" spans="4:9" hidden="1">
      <c r="E1316" s="44">
        <v>38932</v>
      </c>
      <c r="F1316" s="20"/>
      <c r="G1316" s="20"/>
      <c r="H1316" s="20">
        <v>321334156</v>
      </c>
      <c r="I1316" s="299"/>
    </row>
    <row r="1317" spans="4:9" hidden="1">
      <c r="E1317" s="45">
        <v>39086</v>
      </c>
      <c r="F1317" s="14"/>
      <c r="G1317" s="14"/>
      <c r="H1317" s="14">
        <v>2622345</v>
      </c>
      <c r="I1317" s="299"/>
    </row>
    <row r="1318" spans="4:9" hidden="1">
      <c r="E1318" s="46">
        <v>39444</v>
      </c>
      <c r="F1318" s="11"/>
      <c r="G1318" s="11"/>
      <c r="H1318" s="11">
        <v>1268055</v>
      </c>
      <c r="I1318" s="299">
        <f>+XIRR(H1315:H1318,E1315:E1318)</f>
        <v>0.77432974576950064</v>
      </c>
    </row>
    <row r="1319" spans="4:9" hidden="1">
      <c r="D1319" s="20" t="s">
        <v>410</v>
      </c>
      <c r="E1319" s="44">
        <v>38625</v>
      </c>
      <c r="F1319" s="20"/>
      <c r="G1319" s="20"/>
      <c r="H1319" s="20">
        <v>-200000000</v>
      </c>
      <c r="I1319" s="299"/>
    </row>
    <row r="1320" spans="4:9" hidden="1">
      <c r="E1320" s="44">
        <v>39129</v>
      </c>
      <c r="F1320" s="20"/>
      <c r="G1320" s="20"/>
      <c r="H1320" s="20">
        <v>341770570</v>
      </c>
      <c r="I1320" s="299"/>
    </row>
    <row r="1321" spans="4:9" hidden="1">
      <c r="E1321" s="45">
        <v>39238</v>
      </c>
      <c r="F1321" s="14"/>
      <c r="G1321" s="14"/>
      <c r="H1321" s="14">
        <v>3580605</v>
      </c>
      <c r="I1321" s="299"/>
    </row>
    <row r="1322" spans="4:9" hidden="1">
      <c r="E1322" s="45">
        <v>39430</v>
      </c>
      <c r="F1322" s="14"/>
      <c r="G1322" s="14"/>
      <c r="H1322" s="14">
        <v>11540280</v>
      </c>
      <c r="I1322" s="299"/>
    </row>
    <row r="1323" spans="4:9" hidden="1">
      <c r="E1323" s="46">
        <v>39475</v>
      </c>
      <c r="F1323" s="11"/>
      <c r="G1323" s="11"/>
      <c r="H1323" s="11">
        <v>1248887</v>
      </c>
      <c r="I1323" s="299">
        <f>+XIRR(H1319:H1323,E1319:E1323)</f>
        <v>0.51206566691398625</v>
      </c>
    </row>
    <row r="1324" spans="4:9" hidden="1">
      <c r="D1324" s="20" t="s">
        <v>411</v>
      </c>
      <c r="E1324" s="44">
        <v>38708</v>
      </c>
      <c r="F1324" s="20"/>
      <c r="G1324" s="20"/>
      <c r="H1324" s="20">
        <v>-165000000</v>
      </c>
      <c r="I1324" s="299"/>
    </row>
    <row r="1325" spans="4:9" hidden="1">
      <c r="D1325" s="11" t="s">
        <v>411</v>
      </c>
      <c r="E1325" s="46">
        <v>38742</v>
      </c>
      <c r="F1325" s="11"/>
      <c r="G1325" s="11"/>
      <c r="H1325" s="11">
        <v>-165000000</v>
      </c>
      <c r="I1325" s="299"/>
    </row>
    <row r="1326" spans="4:9" hidden="1">
      <c r="E1326" s="46">
        <v>39475</v>
      </c>
      <c r="F1326" s="11"/>
      <c r="G1326" s="11"/>
      <c r="H1326" s="11">
        <v>1000</v>
      </c>
      <c r="I1326" s="299">
        <f>+XIRR(H1324:H1326,E1324:E1326)</f>
        <v>-0.99797875149961335</v>
      </c>
    </row>
    <row r="1327" spans="4:9" hidden="1">
      <c r="D1327" s="20" t="s">
        <v>412</v>
      </c>
      <c r="E1327" s="44">
        <v>38720</v>
      </c>
      <c r="F1327" s="20"/>
      <c r="G1327" s="20"/>
      <c r="H1327" s="20">
        <v>-1000000000</v>
      </c>
      <c r="I1327" s="299"/>
    </row>
    <row r="1328" spans="4:9" hidden="1">
      <c r="E1328" s="44">
        <v>38898</v>
      </c>
      <c r="F1328" s="20"/>
      <c r="G1328" s="20"/>
      <c r="H1328" s="20">
        <v>150000000</v>
      </c>
      <c r="I1328" s="299"/>
    </row>
    <row r="1329" spans="4:9" hidden="1">
      <c r="E1329" s="45">
        <v>38926</v>
      </c>
      <c r="F1329" s="14"/>
      <c r="G1329" s="14"/>
      <c r="H1329" s="14">
        <v>100000000</v>
      </c>
      <c r="I1329" s="299"/>
    </row>
    <row r="1330" spans="4:9" hidden="1">
      <c r="E1330" s="45">
        <v>38950</v>
      </c>
      <c r="F1330" s="14"/>
      <c r="G1330" s="14"/>
      <c r="H1330" s="14">
        <v>50000000</v>
      </c>
      <c r="I1330" s="299"/>
    </row>
    <row r="1331" spans="4:9" hidden="1">
      <c r="E1331" s="45">
        <v>38973</v>
      </c>
      <c r="F1331" s="14"/>
      <c r="G1331" s="14"/>
      <c r="H1331" s="14">
        <v>100000000</v>
      </c>
      <c r="I1331" s="299"/>
    </row>
    <row r="1332" spans="4:9" hidden="1">
      <c r="E1332" s="45">
        <v>38975</v>
      </c>
      <c r="F1332" s="14"/>
      <c r="G1332" s="14"/>
      <c r="H1332" s="14">
        <v>100000000</v>
      </c>
      <c r="I1332" s="299"/>
    </row>
    <row r="1333" spans="4:9" hidden="1">
      <c r="E1333" s="45">
        <v>38978</v>
      </c>
      <c r="F1333" s="14"/>
      <c r="G1333" s="14"/>
      <c r="H1333" s="14">
        <v>100000000</v>
      </c>
      <c r="I1333" s="299"/>
    </row>
    <row r="1334" spans="4:9" hidden="1">
      <c r="E1334" s="46">
        <v>39199</v>
      </c>
      <c r="F1334" s="11"/>
      <c r="G1334" s="11"/>
      <c r="H1334" s="11">
        <v>590000000</v>
      </c>
      <c r="I1334" s="299">
        <f>+XIRR(H1327:H1334,E1327:E1334)</f>
        <v>0.20071813464164734</v>
      </c>
    </row>
    <row r="1335" spans="4:9" hidden="1">
      <c r="D1335" s="20" t="s">
        <v>413</v>
      </c>
      <c r="E1335" s="44">
        <v>38765</v>
      </c>
      <c r="F1335" s="20"/>
      <c r="G1335" s="20"/>
      <c r="H1335" s="20">
        <v>-146000000</v>
      </c>
      <c r="I1335" s="299"/>
    </row>
    <row r="1336" spans="4:9" hidden="1">
      <c r="E1336" s="44">
        <v>38855</v>
      </c>
      <c r="F1336" s="20"/>
      <c r="G1336" s="20"/>
      <c r="H1336" s="20">
        <v>119981024</v>
      </c>
      <c r="I1336" s="299"/>
    </row>
    <row r="1337" spans="4:9" hidden="1">
      <c r="E1337" s="46">
        <v>39475</v>
      </c>
      <c r="F1337" s="11"/>
      <c r="G1337" s="11"/>
      <c r="H1337" s="11">
        <v>1000</v>
      </c>
      <c r="I1337" s="299">
        <f>+XIRR(H1335:H1337,E1335:E1337)</f>
        <v>-0.54880945459008235</v>
      </c>
    </row>
    <row r="1338" spans="4:9" hidden="1">
      <c r="D1338" s="20" t="s">
        <v>414</v>
      </c>
      <c r="E1338" s="44">
        <v>38813</v>
      </c>
      <c r="F1338" s="20"/>
      <c r="G1338" s="20"/>
      <c r="H1338" s="20">
        <v>-120000000</v>
      </c>
      <c r="I1338" s="299"/>
    </row>
    <row r="1339" spans="4:9" hidden="1">
      <c r="E1339" s="46">
        <v>39475</v>
      </c>
      <c r="F1339" s="11"/>
      <c r="G1339" s="11"/>
      <c r="H1339" s="11">
        <v>1000</v>
      </c>
      <c r="I1339" s="299">
        <f>+XIRR(H1338:H1339,E1338:E1339)</f>
        <v>-0.99841676609357832</v>
      </c>
    </row>
    <row r="1340" spans="4:9" hidden="1">
      <c r="D1340" s="20" t="s">
        <v>415</v>
      </c>
      <c r="E1340" s="44">
        <v>38821</v>
      </c>
      <c r="F1340" s="20"/>
      <c r="G1340" s="20"/>
      <c r="H1340" s="20">
        <v>-500000000</v>
      </c>
      <c r="I1340" s="299"/>
    </row>
    <row r="1341" spans="4:9" hidden="1">
      <c r="E1341" s="44">
        <v>38902</v>
      </c>
      <c r="F1341" s="20"/>
      <c r="G1341" s="20"/>
      <c r="H1341" s="20">
        <v>33000000</v>
      </c>
      <c r="I1341" s="299"/>
    </row>
    <row r="1342" spans="4:9" hidden="1">
      <c r="E1342" s="45">
        <v>38903</v>
      </c>
      <c r="F1342" s="14"/>
      <c r="G1342" s="14"/>
      <c r="H1342" s="14">
        <v>14000000</v>
      </c>
      <c r="I1342" s="299"/>
    </row>
    <row r="1343" spans="4:9" hidden="1">
      <c r="E1343" s="46">
        <v>39475</v>
      </c>
      <c r="F1343" s="11"/>
      <c r="G1343" s="11"/>
      <c r="H1343" s="11">
        <v>1000</v>
      </c>
      <c r="I1343" s="299">
        <f>+XIRR(H1340:H1343,E1340:E1343)</f>
        <v>-0.99908235149341651</v>
      </c>
    </row>
    <row r="1344" spans="4:9" hidden="1">
      <c r="H1344" s="4">
        <f>SUM(H1105:H1343)</f>
        <v>2782206851</v>
      </c>
      <c r="I1344" s="299"/>
    </row>
    <row r="1345" spans="4:18" hidden="1">
      <c r="H1345" s="4">
        <f>+H1344-O931</f>
        <v>1000</v>
      </c>
      <c r="I1345" s="299"/>
    </row>
    <row r="1346" spans="4:18" hidden="1">
      <c r="I1346" s="299"/>
    </row>
    <row r="1347" spans="4:18" hidden="1">
      <c r="I1347" s="299"/>
    </row>
    <row r="1348" spans="4:18" hidden="1">
      <c r="I1348" s="299"/>
    </row>
    <row r="1349" spans="4:18">
      <c r="I1349" s="299"/>
    </row>
    <row r="1350" spans="4:18">
      <c r="D1350" s="20" t="s">
        <v>235</v>
      </c>
      <c r="E1350" s="44">
        <v>38273</v>
      </c>
      <c r="F1350" s="20">
        <v>65000</v>
      </c>
      <c r="G1350" s="20">
        <v>8500</v>
      </c>
      <c r="H1350" s="20">
        <v>-552500000</v>
      </c>
      <c r="I1350" s="299"/>
    </row>
    <row r="1351" spans="4:18">
      <c r="D1351" s="14" t="s">
        <v>235</v>
      </c>
      <c r="E1351" s="45">
        <v>38336</v>
      </c>
      <c r="F1351" s="14">
        <v>11404</v>
      </c>
      <c r="G1351" s="14">
        <v>8041</v>
      </c>
      <c r="H1351" s="14">
        <v>-91699564</v>
      </c>
      <c r="I1351" s="299"/>
    </row>
    <row r="1352" spans="4:18">
      <c r="E1352" s="38">
        <v>38583</v>
      </c>
      <c r="F1352" s="20">
        <v>29000</v>
      </c>
      <c r="G1352" s="20">
        <v>11156</v>
      </c>
      <c r="H1352" s="20">
        <v>323514350</v>
      </c>
      <c r="I1352" s="299"/>
      <c r="J1352" s="29">
        <v>37621</v>
      </c>
      <c r="K1352" s="14"/>
      <c r="L1352" s="14"/>
      <c r="M1352" s="14">
        <v>0</v>
      </c>
      <c r="N1352" s="14">
        <v>321887200</v>
      </c>
      <c r="O1352" s="30">
        <f>+M1352-N1352</f>
        <v>-321887200</v>
      </c>
      <c r="P1352" s="14"/>
      <c r="Q1352" s="14"/>
      <c r="R1352" s="402" t="s">
        <v>975</v>
      </c>
    </row>
    <row r="1353" spans="4:18">
      <c r="E1353" s="40">
        <v>38586</v>
      </c>
      <c r="F1353" s="14">
        <v>5000</v>
      </c>
      <c r="G1353" s="14">
        <v>11465</v>
      </c>
      <c r="H1353" s="14">
        <v>57325000</v>
      </c>
      <c r="I1353" s="299"/>
      <c r="J1353" s="29">
        <v>37986</v>
      </c>
      <c r="K1353" s="14"/>
      <c r="L1353" s="14"/>
      <c r="M1353" s="14">
        <v>0</v>
      </c>
      <c r="N1353" s="14">
        <v>19034000</v>
      </c>
      <c r="O1353" s="30">
        <f>+M1353-N1353</f>
        <v>-19034000</v>
      </c>
      <c r="P1353" s="14"/>
      <c r="Q1353" s="14"/>
      <c r="R1353" s="402" t="s">
        <v>975</v>
      </c>
    </row>
    <row r="1354" spans="4:18">
      <c r="E1354" s="40">
        <v>38587</v>
      </c>
      <c r="F1354" s="14">
        <v>28418</v>
      </c>
      <c r="G1354" s="14">
        <v>12319</v>
      </c>
      <c r="H1354" s="14">
        <v>350076400</v>
      </c>
      <c r="I1354" s="299"/>
    </row>
    <row r="1355" spans="4:18">
      <c r="E1355" s="40">
        <v>38597</v>
      </c>
      <c r="F1355" s="14">
        <v>30390</v>
      </c>
      <c r="G1355" s="14">
        <v>13497</v>
      </c>
      <c r="H1355" s="14">
        <v>410173000</v>
      </c>
      <c r="I1355" s="299"/>
    </row>
    <row r="1356" spans="4:18">
      <c r="E1356" s="40">
        <v>38624</v>
      </c>
      <c r="F1356" s="14">
        <v>20000</v>
      </c>
      <c r="G1356" s="14">
        <v>16710</v>
      </c>
      <c r="H1356" s="14">
        <v>334191000</v>
      </c>
      <c r="I1356" s="299"/>
    </row>
    <row r="1357" spans="4:18">
      <c r="E1357" s="40">
        <v>38630</v>
      </c>
      <c r="F1357" s="14">
        <v>12001</v>
      </c>
      <c r="G1357" s="14">
        <v>17517</v>
      </c>
      <c r="H1357" s="14">
        <v>210217400</v>
      </c>
      <c r="I1357" s="299"/>
    </row>
    <row r="1358" spans="4:18">
      <c r="E1358" s="41">
        <v>38631</v>
      </c>
      <c r="F1358" s="11">
        <v>27999</v>
      </c>
      <c r="G1358" s="11">
        <v>16823</v>
      </c>
      <c r="H1358" s="11">
        <v>469225243</v>
      </c>
      <c r="I1358" s="299"/>
    </row>
    <row r="1359" spans="4:18">
      <c r="H1359" s="169">
        <f>+XIRR(H1350:H1358,E1350:E1358)</f>
        <v>2.8657598733901977</v>
      </c>
      <c r="I1359" s="299"/>
    </row>
    <row r="1360" spans="4:18">
      <c r="I1360" s="299"/>
    </row>
    <row r="1361" spans="4:9">
      <c r="D1361" s="133" t="s">
        <v>253</v>
      </c>
      <c r="E1361" s="144">
        <v>38680</v>
      </c>
      <c r="F1361" s="133">
        <v>90909</v>
      </c>
      <c r="G1361" s="133">
        <v>5500</v>
      </c>
      <c r="H1361" s="133">
        <v>-499999500</v>
      </c>
      <c r="I1361" s="22" t="s">
        <v>8</v>
      </c>
    </row>
    <row r="1362" spans="4:9">
      <c r="D1362" s="14" t="s">
        <v>284</v>
      </c>
      <c r="E1362" s="38">
        <v>38933</v>
      </c>
      <c r="F1362" s="20">
        <v>5970</v>
      </c>
      <c r="G1362" s="20">
        <f>+H1362/F1362</f>
        <v>8829.1122278056955</v>
      </c>
      <c r="H1362" s="20">
        <v>52709800</v>
      </c>
      <c r="I1362" s="28"/>
    </row>
    <row r="1363" spans="4:9">
      <c r="D1363" s="14" t="s">
        <v>284</v>
      </c>
      <c r="E1363" s="40">
        <v>38936</v>
      </c>
      <c r="F1363" s="14">
        <v>6169</v>
      </c>
      <c r="G1363" s="14">
        <f t="shared" ref="G1363:G1373" si="63">+H1363/F1363</f>
        <v>8813.7623601880368</v>
      </c>
      <c r="H1363" s="14">
        <v>54372100</v>
      </c>
      <c r="I1363" s="28"/>
    </row>
    <row r="1364" spans="4:9">
      <c r="D1364" s="14" t="s">
        <v>284</v>
      </c>
      <c r="E1364" s="40">
        <v>38939</v>
      </c>
      <c r="F1364" s="14">
        <v>4930</v>
      </c>
      <c r="G1364" s="14">
        <f t="shared" si="63"/>
        <v>9017.606490872211</v>
      </c>
      <c r="H1364" s="14">
        <v>44456800</v>
      </c>
      <c r="I1364" s="28"/>
    </row>
    <row r="1365" spans="4:9">
      <c r="D1365" s="14" t="s">
        <v>284</v>
      </c>
      <c r="E1365" s="40">
        <v>38951</v>
      </c>
      <c r="F1365" s="14">
        <v>10195</v>
      </c>
      <c r="G1365" s="14">
        <f t="shared" si="63"/>
        <v>9565.0789602746445</v>
      </c>
      <c r="H1365" s="14">
        <v>97515980</v>
      </c>
      <c r="I1365" s="28"/>
    </row>
    <row r="1366" spans="4:9">
      <c r="D1366" s="14" t="s">
        <v>284</v>
      </c>
      <c r="E1366" s="40">
        <v>38954</v>
      </c>
      <c r="F1366" s="14">
        <v>1930</v>
      </c>
      <c r="G1366" s="14">
        <f t="shared" si="63"/>
        <v>9529.8445595854919</v>
      </c>
      <c r="H1366" s="14">
        <v>18392600</v>
      </c>
      <c r="I1366" s="28"/>
    </row>
    <row r="1367" spans="4:9">
      <c r="D1367" s="14" t="s">
        <v>284</v>
      </c>
      <c r="E1367" s="40">
        <v>38957</v>
      </c>
      <c r="F1367" s="14">
        <v>14790</v>
      </c>
      <c r="G1367" s="14">
        <f t="shared" si="63"/>
        <v>10574.858012170385</v>
      </c>
      <c r="H1367" s="14">
        <v>156402150</v>
      </c>
      <c r="I1367" s="28"/>
    </row>
    <row r="1368" spans="4:9">
      <c r="D1368" s="14" t="s">
        <v>284</v>
      </c>
      <c r="E1368" s="40">
        <v>38958</v>
      </c>
      <c r="F1368" s="14">
        <v>12365</v>
      </c>
      <c r="G1368" s="14">
        <f t="shared" si="63"/>
        <v>12041.912656692277</v>
      </c>
      <c r="H1368" s="14">
        <v>148898250</v>
      </c>
      <c r="I1368" s="28"/>
    </row>
    <row r="1369" spans="4:9">
      <c r="D1369" s="14" t="s">
        <v>284</v>
      </c>
      <c r="E1369" s="40">
        <v>38966</v>
      </c>
      <c r="F1369" s="14">
        <v>9823</v>
      </c>
      <c r="G1369" s="14">
        <f t="shared" si="63"/>
        <v>12035.630662730327</v>
      </c>
      <c r="H1369" s="14">
        <v>118226000</v>
      </c>
      <c r="I1369" s="28"/>
    </row>
    <row r="1370" spans="4:9">
      <c r="D1370" s="14" t="s">
        <v>284</v>
      </c>
      <c r="E1370" s="40">
        <v>38980</v>
      </c>
      <c r="F1370" s="14">
        <v>6421</v>
      </c>
      <c r="G1370" s="14">
        <f t="shared" si="63"/>
        <v>13046.721694440119</v>
      </c>
      <c r="H1370" s="14">
        <v>83773000</v>
      </c>
      <c r="I1370" s="28"/>
    </row>
    <row r="1371" spans="4:9">
      <c r="D1371" s="14" t="s">
        <v>284</v>
      </c>
      <c r="E1371" s="40">
        <v>38981</v>
      </c>
      <c r="F1371" s="14">
        <v>5948</v>
      </c>
      <c r="G1371" s="14">
        <f t="shared" si="63"/>
        <v>13119.334229993276</v>
      </c>
      <c r="H1371" s="14">
        <v>78033800</v>
      </c>
      <c r="I1371" s="28"/>
    </row>
    <row r="1372" spans="4:9">
      <c r="D1372" s="11" t="s">
        <v>284</v>
      </c>
      <c r="E1372" s="40">
        <v>38987</v>
      </c>
      <c r="F1372" s="14">
        <v>4947</v>
      </c>
      <c r="G1372" s="14">
        <f t="shared" si="63"/>
        <v>13618.728522336769</v>
      </c>
      <c r="H1372" s="14">
        <v>67371850</v>
      </c>
      <c r="I1372" s="33"/>
    </row>
    <row r="1373" spans="4:9">
      <c r="E1373" s="41">
        <v>38989</v>
      </c>
      <c r="F1373" s="11">
        <v>7421</v>
      </c>
      <c r="G1373" s="11">
        <f t="shared" si="63"/>
        <v>14048.767012532004</v>
      </c>
      <c r="H1373" s="11">
        <v>104255900</v>
      </c>
      <c r="I1373" s="299"/>
    </row>
    <row r="1374" spans="4:9">
      <c r="D1374" s="137" t="s">
        <v>449</v>
      </c>
      <c r="E1374" s="157">
        <v>37889</v>
      </c>
      <c r="F1374" s="137">
        <v>250000</v>
      </c>
      <c r="G1374" s="137">
        <v>4000</v>
      </c>
      <c r="H1374" s="137">
        <f>+-F1374*G1374</f>
        <v>-1000000000</v>
      </c>
      <c r="I1374" s="28" t="s">
        <v>350</v>
      </c>
    </row>
    <row r="1375" spans="4:9">
      <c r="D1375" s="137" t="s">
        <v>449</v>
      </c>
      <c r="E1375" s="157">
        <v>38315</v>
      </c>
      <c r="F1375" s="137">
        <v>90909</v>
      </c>
      <c r="G1375" s="137">
        <v>5500</v>
      </c>
      <c r="H1375" s="137">
        <f>-+F1375*G1375</f>
        <v>-499999500</v>
      </c>
      <c r="I1375" s="28" t="s">
        <v>350</v>
      </c>
    </row>
    <row r="1376" spans="4:9">
      <c r="D1376" s="14" t="s">
        <v>449</v>
      </c>
      <c r="E1376" s="104">
        <v>38856</v>
      </c>
      <c r="F1376" s="87">
        <v>32000</v>
      </c>
      <c r="G1376" s="14">
        <f>+H1376/F1376</f>
        <v>14956.25</v>
      </c>
      <c r="H1376" s="89">
        <v>478600000</v>
      </c>
      <c r="I1376" s="28"/>
    </row>
    <row r="1377" spans="4:9">
      <c r="D1377" s="14" t="s">
        <v>449</v>
      </c>
      <c r="E1377" s="104">
        <v>38870</v>
      </c>
      <c r="F1377" s="87">
        <v>31000</v>
      </c>
      <c r="G1377" s="14">
        <f t="shared" ref="G1377:G1390" si="64">+H1377/F1377</f>
        <v>8896.3374193548389</v>
      </c>
      <c r="H1377" s="89">
        <v>275786460</v>
      </c>
      <c r="I1377" s="28"/>
    </row>
    <row r="1378" spans="4:9">
      <c r="D1378" s="14" t="s">
        <v>449</v>
      </c>
      <c r="E1378" s="104">
        <v>38933</v>
      </c>
      <c r="F1378" s="87">
        <v>18274</v>
      </c>
      <c r="G1378" s="14">
        <f t="shared" si="64"/>
        <v>8813.38021232352</v>
      </c>
      <c r="H1378" s="89">
        <v>161055710</v>
      </c>
      <c r="I1378" s="28"/>
    </row>
    <row r="1379" spans="4:9">
      <c r="D1379" s="14" t="s">
        <v>449</v>
      </c>
      <c r="E1379" s="104">
        <v>38936</v>
      </c>
      <c r="F1379" s="87">
        <v>2502</v>
      </c>
      <c r="G1379" s="14">
        <f t="shared" si="64"/>
        <v>8844.1606714628306</v>
      </c>
      <c r="H1379" s="89">
        <v>22128090</v>
      </c>
      <c r="I1379" s="28"/>
    </row>
    <row r="1380" spans="4:9">
      <c r="D1380" s="14" t="s">
        <v>449</v>
      </c>
      <c r="E1380" s="104">
        <v>38938</v>
      </c>
      <c r="F1380" s="87">
        <v>9993</v>
      </c>
      <c r="G1380" s="14">
        <f t="shared" si="64"/>
        <v>8817.6023216251378</v>
      </c>
      <c r="H1380" s="89">
        <v>88114300</v>
      </c>
      <c r="I1380" s="28"/>
    </row>
    <row r="1381" spans="4:9">
      <c r="D1381" s="14" t="s">
        <v>449</v>
      </c>
      <c r="E1381" s="104">
        <v>38939</v>
      </c>
      <c r="F1381" s="87">
        <v>21410</v>
      </c>
      <c r="G1381" s="14">
        <f t="shared" si="64"/>
        <v>8949.2825782344698</v>
      </c>
      <c r="H1381" s="89">
        <v>191604140</v>
      </c>
      <c r="I1381" s="28"/>
    </row>
    <row r="1382" spans="4:9">
      <c r="D1382" s="14" t="s">
        <v>449</v>
      </c>
      <c r="E1382" s="104">
        <v>38951</v>
      </c>
      <c r="F1382" s="87">
        <v>35968</v>
      </c>
      <c r="G1382" s="14">
        <f t="shared" si="64"/>
        <v>9526.629782028469</v>
      </c>
      <c r="H1382" s="89">
        <v>342653820</v>
      </c>
      <c r="I1382" s="28"/>
    </row>
    <row r="1383" spans="4:9">
      <c r="D1383" s="14" t="s">
        <v>449</v>
      </c>
      <c r="E1383" s="104">
        <v>38954</v>
      </c>
      <c r="F1383" s="87">
        <v>1707</v>
      </c>
      <c r="G1383" s="14">
        <f t="shared" si="64"/>
        <v>9531.1130638547165</v>
      </c>
      <c r="H1383" s="89">
        <v>16269610</v>
      </c>
      <c r="I1383" s="28"/>
    </row>
    <row r="1384" spans="4:9">
      <c r="D1384" s="14" t="s">
        <v>449</v>
      </c>
      <c r="E1384" s="104">
        <v>38957</v>
      </c>
      <c r="F1384" s="87">
        <v>45210</v>
      </c>
      <c r="G1384" s="14">
        <f t="shared" si="64"/>
        <v>10563.886308338862</v>
      </c>
      <c r="H1384" s="89">
        <v>477593300</v>
      </c>
      <c r="I1384" s="28"/>
    </row>
    <row r="1385" spans="4:9">
      <c r="D1385" s="14" t="s">
        <v>449</v>
      </c>
      <c r="E1385" s="104">
        <v>38958</v>
      </c>
      <c r="F1385" s="87">
        <v>37635</v>
      </c>
      <c r="G1385" s="14">
        <f t="shared" si="64"/>
        <v>12042.282449847216</v>
      </c>
      <c r="H1385" s="89">
        <v>453211300</v>
      </c>
      <c r="I1385" s="28"/>
    </row>
    <row r="1386" spans="4:9">
      <c r="D1386" s="14" t="s">
        <v>449</v>
      </c>
      <c r="E1386" s="104">
        <v>38967</v>
      </c>
      <c r="F1386" s="87">
        <v>29947</v>
      </c>
      <c r="G1386" s="14">
        <f t="shared" si="64"/>
        <v>12253.561291615188</v>
      </c>
      <c r="H1386" s="89">
        <v>366957400</v>
      </c>
      <c r="I1386" s="28"/>
    </row>
    <row r="1387" spans="4:9">
      <c r="D1387" s="14" t="s">
        <v>449</v>
      </c>
      <c r="E1387" s="104">
        <v>38980</v>
      </c>
      <c r="F1387" s="87">
        <v>19000</v>
      </c>
      <c r="G1387" s="14">
        <f t="shared" si="64"/>
        <v>13032.892105263158</v>
      </c>
      <c r="H1387" s="89">
        <v>247624950</v>
      </c>
      <c r="I1387" s="28"/>
    </row>
    <row r="1388" spans="4:9">
      <c r="D1388" s="11" t="s">
        <v>449</v>
      </c>
      <c r="E1388" s="104">
        <v>38981</v>
      </c>
      <c r="F1388" s="87">
        <v>18631</v>
      </c>
      <c r="G1388" s="14">
        <f t="shared" si="64"/>
        <v>13057.702216735548</v>
      </c>
      <c r="H1388" s="89">
        <v>243278050</v>
      </c>
      <c r="I1388" s="33"/>
    </row>
    <row r="1389" spans="4:9">
      <c r="E1389" s="104">
        <v>38987</v>
      </c>
      <c r="F1389" s="87">
        <v>15053</v>
      </c>
      <c r="G1389" s="14">
        <f t="shared" si="64"/>
        <v>13599.345645386302</v>
      </c>
      <c r="H1389" s="89">
        <v>204710950</v>
      </c>
      <c r="I1389" s="298"/>
    </row>
    <row r="1390" spans="4:9">
      <c r="E1390" s="105">
        <v>38989</v>
      </c>
      <c r="F1390" s="88">
        <v>22579</v>
      </c>
      <c r="G1390" s="11">
        <f t="shared" si="64"/>
        <v>14055.666770007529</v>
      </c>
      <c r="H1390" s="90">
        <v>317362900</v>
      </c>
      <c r="I1390" s="298"/>
    </row>
    <row r="1391" spans="4:9">
      <c r="H1391" s="169">
        <f>+XIRR(H1361:H1390,E1361:E1390)</f>
        <v>0.49890689253807075</v>
      </c>
      <c r="I1391" s="298"/>
    </row>
    <row r="1392" spans="4:9">
      <c r="I1392" s="298"/>
    </row>
    <row r="1393" spans="4:9">
      <c r="I1393" s="298"/>
    </row>
    <row r="1394" spans="4:9">
      <c r="D1394" s="14" t="s">
        <v>467</v>
      </c>
      <c r="E1394" s="45">
        <v>38533</v>
      </c>
      <c r="F1394" s="14">
        <v>400000</v>
      </c>
      <c r="G1394" s="14">
        <f>+H1394/F1394</f>
        <v>-2500</v>
      </c>
      <c r="H1394" s="14">
        <v>-1000000000</v>
      </c>
      <c r="I1394" s="28" t="s">
        <v>350</v>
      </c>
    </row>
    <row r="1395" spans="4:9">
      <c r="D1395" s="14" t="s">
        <v>467</v>
      </c>
      <c r="E1395" s="104">
        <v>39297</v>
      </c>
      <c r="F1395" s="87">
        <v>4000</v>
      </c>
      <c r="G1395" s="87">
        <v>18005</v>
      </c>
      <c r="H1395" s="89">
        <v>72018800</v>
      </c>
      <c r="I1395" s="28"/>
    </row>
    <row r="1396" spans="4:9">
      <c r="D1396" s="14" t="s">
        <v>467</v>
      </c>
      <c r="E1396" s="104">
        <v>39307</v>
      </c>
      <c r="F1396" s="87">
        <v>5000</v>
      </c>
      <c r="G1396" s="87">
        <v>17490</v>
      </c>
      <c r="H1396" s="89">
        <v>87450000</v>
      </c>
      <c r="I1396" s="28"/>
    </row>
    <row r="1397" spans="4:9">
      <c r="D1397" s="14" t="s">
        <v>467</v>
      </c>
      <c r="E1397" s="104">
        <v>39308</v>
      </c>
      <c r="F1397" s="87">
        <v>6000</v>
      </c>
      <c r="G1397" s="87">
        <v>16500</v>
      </c>
      <c r="H1397" s="89">
        <v>99001000</v>
      </c>
      <c r="I1397" s="28"/>
    </row>
    <row r="1398" spans="4:9">
      <c r="D1398" s="14" t="s">
        <v>467</v>
      </c>
      <c r="E1398" s="104">
        <v>39322</v>
      </c>
      <c r="F1398" s="87">
        <v>25000</v>
      </c>
      <c r="G1398" s="87">
        <v>14703</v>
      </c>
      <c r="H1398" s="89">
        <v>367583950</v>
      </c>
      <c r="I1398" s="28"/>
    </row>
    <row r="1399" spans="4:9">
      <c r="D1399" s="14" t="s">
        <v>467</v>
      </c>
      <c r="E1399" s="104">
        <v>39322</v>
      </c>
      <c r="F1399" s="87">
        <v>17191</v>
      </c>
      <c r="G1399" s="87">
        <v>14720</v>
      </c>
      <c r="H1399" s="89">
        <v>253045950</v>
      </c>
      <c r="I1399" s="28"/>
    </row>
    <row r="1400" spans="4:9">
      <c r="D1400" s="14" t="s">
        <v>467</v>
      </c>
      <c r="E1400" s="104">
        <v>39356</v>
      </c>
      <c r="F1400" s="87">
        <v>175848</v>
      </c>
      <c r="G1400" s="87">
        <v>11812</v>
      </c>
      <c r="H1400" s="89">
        <v>2077036000</v>
      </c>
      <c r="I1400" s="28"/>
    </row>
    <row r="1401" spans="4:9">
      <c r="D1401" s="14" t="s">
        <v>467</v>
      </c>
      <c r="E1401" s="104">
        <v>39364</v>
      </c>
      <c r="F1401" s="87">
        <v>52106</v>
      </c>
      <c r="G1401" s="87">
        <v>12227</v>
      </c>
      <c r="H1401" s="89">
        <v>637088650</v>
      </c>
      <c r="I1401" s="28"/>
    </row>
    <row r="1402" spans="4:9">
      <c r="D1402" s="11" t="s">
        <v>467</v>
      </c>
      <c r="E1402" s="104">
        <v>39365</v>
      </c>
      <c r="F1402" s="87">
        <v>28699</v>
      </c>
      <c r="G1402" s="87">
        <v>11889</v>
      </c>
      <c r="H1402" s="89">
        <v>341201950</v>
      </c>
      <c r="I1402" s="33"/>
    </row>
    <row r="1403" spans="4:9">
      <c r="E1403" s="105">
        <v>39366</v>
      </c>
      <c r="F1403" s="88">
        <v>86156</v>
      </c>
      <c r="G1403" s="88">
        <v>12076</v>
      </c>
      <c r="H1403" s="90">
        <v>1040408050</v>
      </c>
    </row>
    <row r="1404" spans="4:9">
      <c r="H1404" s="169">
        <f>+XIRR(H1394:H1403,E1394:E1403)</f>
        <v>1.0433146595954896</v>
      </c>
      <c r="I1404" s="299">
        <f>+SUM(H1394:H1403)/-H1394</f>
        <v>3.9748343500000001</v>
      </c>
    </row>
    <row r="1407" spans="4:9">
      <c r="D1407" s="20" t="s">
        <v>37</v>
      </c>
      <c r="E1407" s="44">
        <v>38078</v>
      </c>
      <c r="F1407" s="20">
        <v>70091</v>
      </c>
      <c r="G1407" s="20">
        <v>10200</v>
      </c>
      <c r="H1407" s="20">
        <v>-714928200</v>
      </c>
      <c r="I1407" s="22" t="s">
        <v>26</v>
      </c>
    </row>
    <row r="1408" spans="4:9">
      <c r="D1408" s="14" t="s">
        <v>37</v>
      </c>
      <c r="E1408" s="38">
        <v>38726</v>
      </c>
      <c r="F1408" s="20">
        <v>50000</v>
      </c>
      <c r="G1408" s="20">
        <v>18000</v>
      </c>
      <c r="H1408" s="20">
        <v>900000000</v>
      </c>
      <c r="I1408" s="28"/>
    </row>
    <row r="1409" spans="4:9">
      <c r="D1409" s="14" t="s">
        <v>37</v>
      </c>
      <c r="E1409" s="40">
        <v>38972</v>
      </c>
      <c r="F1409" s="14">
        <v>20182</v>
      </c>
      <c r="G1409" s="14">
        <v>17059</v>
      </c>
      <c r="H1409" s="14">
        <v>344286200</v>
      </c>
      <c r="I1409" s="28"/>
    </row>
    <row r="1410" spans="4:9">
      <c r="D1410" s="14" t="s">
        <v>37</v>
      </c>
      <c r="E1410" s="40">
        <v>38973</v>
      </c>
      <c r="F1410" s="14">
        <v>2889</v>
      </c>
      <c r="G1410" s="14">
        <v>17507</v>
      </c>
      <c r="H1410" s="14">
        <v>50577100</v>
      </c>
      <c r="I1410" s="28"/>
    </row>
    <row r="1411" spans="4:9">
      <c r="D1411" s="14" t="s">
        <v>37</v>
      </c>
      <c r="E1411" s="40">
        <v>38974</v>
      </c>
      <c r="F1411" s="14">
        <v>5611</v>
      </c>
      <c r="G1411" s="14">
        <v>17538</v>
      </c>
      <c r="H1411" s="14">
        <v>98407650</v>
      </c>
      <c r="I1411" s="28"/>
    </row>
    <row r="1412" spans="4:9">
      <c r="D1412" s="14" t="s">
        <v>37</v>
      </c>
      <c r="E1412" s="40">
        <v>38975</v>
      </c>
      <c r="F1412" s="14">
        <v>6739</v>
      </c>
      <c r="G1412" s="14">
        <v>17522</v>
      </c>
      <c r="H1412" s="14">
        <v>118082500</v>
      </c>
      <c r="I1412" s="28"/>
    </row>
    <row r="1413" spans="4:9">
      <c r="D1413" s="14" t="s">
        <v>37</v>
      </c>
      <c r="E1413" s="40">
        <v>38978</v>
      </c>
      <c r="F1413" s="14">
        <v>3739</v>
      </c>
      <c r="G1413" s="14">
        <v>17533</v>
      </c>
      <c r="H1413" s="14">
        <v>65555300</v>
      </c>
      <c r="I1413" s="28"/>
    </row>
    <row r="1414" spans="4:9">
      <c r="D1414" s="14" t="s">
        <v>37</v>
      </c>
      <c r="E1414" s="40">
        <v>38979</v>
      </c>
      <c r="F1414" s="14">
        <v>522</v>
      </c>
      <c r="G1414" s="14">
        <v>17500</v>
      </c>
      <c r="H1414" s="14">
        <v>9135000</v>
      </c>
      <c r="I1414" s="28"/>
    </row>
    <row r="1415" spans="4:9">
      <c r="D1415" s="14" t="s">
        <v>37</v>
      </c>
      <c r="E1415" s="40">
        <v>38987</v>
      </c>
      <c r="F1415" s="14">
        <v>20500</v>
      </c>
      <c r="G1415" s="14">
        <v>17668.034146341462</v>
      </c>
      <c r="H1415" s="14">
        <v>362194700</v>
      </c>
      <c r="I1415" s="28"/>
    </row>
    <row r="1416" spans="4:9">
      <c r="D1416" s="11" t="s">
        <v>37</v>
      </c>
      <c r="E1416" s="40">
        <v>38988</v>
      </c>
      <c r="F1416" s="14">
        <v>15000</v>
      </c>
      <c r="G1416" s="14">
        <v>18037.443333333333</v>
      </c>
      <c r="H1416" s="14">
        <v>270561650</v>
      </c>
      <c r="I1416" s="33"/>
    </row>
    <row r="1417" spans="4:9">
      <c r="E1417" s="41">
        <v>38989</v>
      </c>
      <c r="F1417" s="11">
        <v>15000</v>
      </c>
      <c r="G1417" s="11">
        <v>17572.07</v>
      </c>
      <c r="H1417" s="11">
        <v>263581050</v>
      </c>
    </row>
    <row r="1418" spans="4:9">
      <c r="E1418" s="45">
        <v>38078</v>
      </c>
      <c r="F1418" s="14">
        <v>40000</v>
      </c>
      <c r="G1418" s="14">
        <f>+H1418/F1418</f>
        <v>-10200</v>
      </c>
      <c r="H1418" s="14">
        <v>-408000000</v>
      </c>
      <c r="I1418" s="28" t="s">
        <v>2</v>
      </c>
    </row>
    <row r="1419" spans="4:9">
      <c r="E1419" s="97">
        <v>38132</v>
      </c>
      <c r="F1419" s="14">
        <v>20000</v>
      </c>
      <c r="G1419" s="14">
        <f>+H1419/F1419</f>
        <v>14652</v>
      </c>
      <c r="H1419" s="14">
        <v>293040000</v>
      </c>
      <c r="I1419" s="33"/>
    </row>
    <row r="1420" spans="4:9">
      <c r="E1420" s="98">
        <v>38132</v>
      </c>
      <c r="F1420" s="11">
        <v>20000</v>
      </c>
      <c r="G1420" s="11">
        <f>+H1420/F1420</f>
        <v>14652</v>
      </c>
      <c r="H1420" s="11">
        <v>293040000</v>
      </c>
    </row>
    <row r="1421" spans="4:9">
      <c r="H1421" s="169">
        <f>+XIRR(H1407:H1420,E1407:E1420)</f>
        <v>0.92945431470870976</v>
      </c>
    </row>
    <row r="1423" spans="4:9">
      <c r="D1423" s="20" t="s">
        <v>146</v>
      </c>
      <c r="E1423" s="44">
        <v>37623</v>
      </c>
      <c r="F1423" s="20">
        <v>142800</v>
      </c>
      <c r="G1423" s="20">
        <v>3850</v>
      </c>
      <c r="H1423" s="20">
        <f>-+F1423*G1423</f>
        <v>-549780000</v>
      </c>
      <c r="I1423" s="22" t="s">
        <v>26</v>
      </c>
    </row>
    <row r="1424" spans="4:9">
      <c r="D1424" s="14" t="s">
        <v>146</v>
      </c>
      <c r="E1424" s="38">
        <v>37869</v>
      </c>
      <c r="F1424" s="20">
        <v>52800</v>
      </c>
      <c r="G1424" s="20">
        <v>19647</v>
      </c>
      <c r="H1424" s="20">
        <f>+F1424*G1424</f>
        <v>1037361600</v>
      </c>
      <c r="I1424" s="28" t="s">
        <v>26</v>
      </c>
    </row>
    <row r="1425" spans="2:9">
      <c r="D1425" s="14" t="s">
        <v>146</v>
      </c>
      <c r="E1425" s="40">
        <v>37872</v>
      </c>
      <c r="F1425" s="14">
        <v>50000</v>
      </c>
      <c r="G1425" s="14">
        <v>20366</v>
      </c>
      <c r="H1425" s="14">
        <f>+F1425*G1425</f>
        <v>1018300000</v>
      </c>
      <c r="I1425" s="28" t="s">
        <v>26</v>
      </c>
    </row>
    <row r="1426" spans="2:9">
      <c r="D1426" s="11" t="s">
        <v>146</v>
      </c>
      <c r="E1426" s="40">
        <v>37873</v>
      </c>
      <c r="F1426" s="14">
        <v>15000</v>
      </c>
      <c r="G1426" s="14">
        <v>21393</v>
      </c>
      <c r="H1426" s="14">
        <f>+F1426*G1426</f>
        <v>320895000</v>
      </c>
      <c r="I1426" s="33" t="s">
        <v>26</v>
      </c>
    </row>
    <row r="1427" spans="2:9">
      <c r="E1427" s="41">
        <v>37882</v>
      </c>
      <c r="F1427" s="11">
        <v>25000</v>
      </c>
      <c r="G1427" s="11">
        <v>20360</v>
      </c>
      <c r="H1427" s="11">
        <f>+F1427*G1427</f>
        <v>509000000</v>
      </c>
    </row>
    <row r="1428" spans="2:9">
      <c r="H1428" s="169">
        <f>+XIRR(H1423:H1427,E1423:E1427)</f>
        <v>10.282259654998782</v>
      </c>
    </row>
    <row r="1433" spans="2:9">
      <c r="B1433" s="53" t="s">
        <v>272</v>
      </c>
      <c r="C1433" s="53" t="s">
        <v>278</v>
      </c>
      <c r="D1433" s="15" t="s">
        <v>228</v>
      </c>
      <c r="E1433" s="42">
        <v>37914</v>
      </c>
      <c r="F1433" s="15">
        <v>-20000</v>
      </c>
      <c r="G1433" s="15">
        <v>56000</v>
      </c>
      <c r="H1433" s="15">
        <f>+F1433*G1433</f>
        <v>-1120000000</v>
      </c>
    </row>
    <row r="1434" spans="2:9">
      <c r="E1434" s="43">
        <v>38734</v>
      </c>
      <c r="F1434" s="15">
        <v>200000</v>
      </c>
      <c r="G1434" s="15">
        <v>3456.3738499999999</v>
      </c>
      <c r="H1434" s="15">
        <v>691274770</v>
      </c>
      <c r="I1434" s="299">
        <f>+XIRR(H1433:H1434,E1433:E1434)</f>
        <v>-0.19329084381461148</v>
      </c>
    </row>
    <row r="1437" spans="2:9">
      <c r="D1437" s="14" t="s">
        <v>443</v>
      </c>
      <c r="E1437" s="45">
        <v>37599</v>
      </c>
      <c r="F1437" s="14"/>
      <c r="G1437" s="14"/>
      <c r="H1437" s="14">
        <v>-1000000000</v>
      </c>
    </row>
    <row r="1438" spans="2:9">
      <c r="E1438" s="97">
        <v>37711</v>
      </c>
      <c r="F1438" s="14"/>
      <c r="G1438" s="14"/>
      <c r="H1438" s="14">
        <v>4602739</v>
      </c>
    </row>
    <row r="1439" spans="2:9">
      <c r="E1439" s="97">
        <v>37802</v>
      </c>
      <c r="F1439" s="14"/>
      <c r="G1439" s="14"/>
      <c r="H1439" s="14">
        <v>3750000</v>
      </c>
    </row>
    <row r="1440" spans="2:9">
      <c r="E1440" s="97">
        <v>37895</v>
      </c>
      <c r="F1440" s="14"/>
      <c r="G1440" s="14"/>
      <c r="H1440" s="14">
        <v>3751541</v>
      </c>
    </row>
    <row r="1441" spans="4:9">
      <c r="E1441" s="97">
        <v>37985</v>
      </c>
      <c r="F1441" s="14"/>
      <c r="G1441" s="14"/>
      <c r="H1441" s="14">
        <v>3751541</v>
      </c>
    </row>
    <row r="1442" spans="4:9">
      <c r="E1442" s="97">
        <v>37986</v>
      </c>
      <c r="F1442" s="14"/>
      <c r="G1442" s="14" t="s">
        <v>446</v>
      </c>
      <c r="H1442" s="14">
        <v>400000000</v>
      </c>
    </row>
    <row r="1443" spans="4:9">
      <c r="E1443" s="97">
        <v>38077</v>
      </c>
      <c r="F1443" s="14"/>
      <c r="G1443" s="14"/>
      <c r="H1443" s="14">
        <v>2293151</v>
      </c>
    </row>
    <row r="1444" spans="4:9">
      <c r="E1444" s="97">
        <v>38168</v>
      </c>
      <c r="F1444" s="14"/>
      <c r="G1444" s="14"/>
      <c r="H1444" s="14">
        <v>2243836</v>
      </c>
    </row>
    <row r="1445" spans="4:9">
      <c r="E1445" s="97">
        <v>38309</v>
      </c>
      <c r="F1445" s="14"/>
      <c r="G1445" s="14"/>
      <c r="H1445" s="14">
        <v>2314174</v>
      </c>
    </row>
    <row r="1446" spans="4:9">
      <c r="E1446" s="97">
        <v>38352</v>
      </c>
      <c r="F1446" s="14"/>
      <c r="G1446" s="14"/>
      <c r="H1446" s="14">
        <v>2268493</v>
      </c>
    </row>
    <row r="1447" spans="4:9">
      <c r="E1447" s="97">
        <v>38763</v>
      </c>
      <c r="F1447" s="14"/>
      <c r="G1447" s="14"/>
      <c r="H1447" s="14">
        <v>9029521</v>
      </c>
    </row>
    <row r="1448" spans="4:9">
      <c r="E1448" s="98">
        <v>39184</v>
      </c>
      <c r="F1448" s="11"/>
      <c r="G1448" s="11"/>
      <c r="H1448" s="11">
        <v>911567810</v>
      </c>
      <c r="I1448" s="299">
        <f>+XIRR(H1437:H1448,E1437:E1448)</f>
        <v>9.765296578407287E-2</v>
      </c>
    </row>
    <row r="1451" spans="4:9">
      <c r="D1451" s="15" t="s">
        <v>443</v>
      </c>
      <c r="E1451" s="42">
        <v>37986</v>
      </c>
      <c r="F1451" s="15">
        <f>+H1451/G1451</f>
        <v>-143675.14642857143</v>
      </c>
      <c r="G1451" s="15">
        <v>2800</v>
      </c>
      <c r="H1451" s="15">
        <v>-402290410</v>
      </c>
    </row>
    <row r="1452" spans="4:9">
      <c r="E1452" s="103">
        <v>39184</v>
      </c>
      <c r="F1452" s="15">
        <v>285714</v>
      </c>
      <c r="G1452" s="15">
        <f>+H1452/F1452</f>
        <v>1709.5143745143746</v>
      </c>
      <c r="H1452" s="15">
        <v>488432190</v>
      </c>
      <c r="I1452" s="299">
        <f>+XIRR(H1451:H1452,E1451:E1452)</f>
        <v>6.0897120833396906E-2</v>
      </c>
    </row>
    <row r="1454" spans="4:9">
      <c r="D1454" s="14" t="s">
        <v>455</v>
      </c>
      <c r="E1454" s="45">
        <v>38267</v>
      </c>
      <c r="F1454" s="14"/>
      <c r="G1454" s="14"/>
      <c r="H1454" s="14">
        <v>-500000000</v>
      </c>
    </row>
    <row r="1455" spans="4:9">
      <c r="E1455" s="97">
        <v>38377</v>
      </c>
      <c r="F1455" s="14"/>
      <c r="G1455" s="14"/>
      <c r="H1455" s="14">
        <v>3013690</v>
      </c>
    </row>
    <row r="1456" spans="4:9">
      <c r="E1456" s="97">
        <v>38467</v>
      </c>
      <c r="F1456" s="14"/>
      <c r="G1456" s="14"/>
      <c r="H1456" s="14">
        <v>2465750</v>
      </c>
    </row>
    <row r="1457" spans="4:9">
      <c r="E1457" s="97">
        <v>38558</v>
      </c>
      <c r="F1457" s="14"/>
      <c r="G1457" s="14"/>
      <c r="H1457" s="14">
        <v>2493150</v>
      </c>
    </row>
    <row r="1458" spans="4:9">
      <c r="E1458" s="97">
        <v>38650</v>
      </c>
      <c r="F1458" s="14"/>
      <c r="G1458" s="14"/>
      <c r="H1458" s="14">
        <v>2520540</v>
      </c>
    </row>
    <row r="1459" spans="4:9">
      <c r="E1459" s="97">
        <v>38742</v>
      </c>
      <c r="F1459" s="14"/>
      <c r="G1459" s="14"/>
      <c r="H1459" s="14">
        <v>2520540</v>
      </c>
    </row>
    <row r="1460" spans="4:9">
      <c r="E1460" s="97">
        <v>38832</v>
      </c>
      <c r="F1460" s="14"/>
      <c r="G1460" s="14"/>
      <c r="H1460" s="14">
        <v>2465750</v>
      </c>
    </row>
    <row r="1461" spans="4:9">
      <c r="E1461" s="97">
        <v>39015</v>
      </c>
      <c r="F1461" s="14"/>
      <c r="G1461" s="14"/>
      <c r="H1461" s="14">
        <f>2493151+113114+2520548</f>
        <v>5126813</v>
      </c>
    </row>
    <row r="1462" spans="4:9">
      <c r="E1462" s="97">
        <v>39107</v>
      </c>
      <c r="F1462" s="14"/>
      <c r="G1462" s="14"/>
      <c r="H1462" s="14">
        <v>2520540</v>
      </c>
    </row>
    <row r="1463" spans="4:9">
      <c r="E1463" s="97">
        <v>39174</v>
      </c>
      <c r="F1463" s="14"/>
      <c r="G1463" s="14"/>
      <c r="H1463" s="14">
        <v>1808219</v>
      </c>
    </row>
    <row r="1464" spans="4:9">
      <c r="E1464" s="98">
        <v>39230</v>
      </c>
      <c r="F1464" s="11"/>
      <c r="G1464" s="11"/>
      <c r="H1464" s="11">
        <v>596626532</v>
      </c>
      <c r="I1464" s="299">
        <f>+XIRR(H1454:H1464,E1454:E1464)</f>
        <v>8.7836620211601255E-2</v>
      </c>
    </row>
    <row r="1467" spans="4:9">
      <c r="D1467" s="14" t="s">
        <v>459</v>
      </c>
      <c r="E1467" s="45">
        <v>38321</v>
      </c>
      <c r="F1467" s="14"/>
      <c r="G1467" s="14"/>
      <c r="H1467" s="14">
        <v>-1200000000</v>
      </c>
    </row>
    <row r="1468" spans="4:9">
      <c r="E1468" s="97">
        <v>38436</v>
      </c>
      <c r="F1468" s="14"/>
      <c r="G1468" s="14"/>
      <c r="H1468" s="14">
        <v>7561644</v>
      </c>
    </row>
    <row r="1469" spans="4:9">
      <c r="E1469" s="97">
        <v>38497</v>
      </c>
      <c r="F1469" s="14"/>
      <c r="G1469" s="14"/>
      <c r="H1469" s="14">
        <v>4010959</v>
      </c>
    </row>
    <row r="1470" spans="4:9">
      <c r="E1470" s="97">
        <v>38589</v>
      </c>
      <c r="F1470" s="14"/>
      <c r="G1470" s="14"/>
      <c r="H1470" s="14">
        <v>6049315</v>
      </c>
    </row>
    <row r="1471" spans="4:9">
      <c r="E1471" s="97">
        <v>38681</v>
      </c>
      <c r="F1471" s="14"/>
      <c r="G1471" s="14"/>
      <c r="H1471" s="14">
        <v>6049315</v>
      </c>
    </row>
    <row r="1472" spans="4:9">
      <c r="E1472" s="97">
        <v>39029</v>
      </c>
      <c r="F1472" s="14"/>
      <c r="G1472" s="14"/>
      <c r="H1472" s="14">
        <v>410000000</v>
      </c>
    </row>
    <row r="1473" spans="4:9">
      <c r="E1473" s="97">
        <v>39082</v>
      </c>
      <c r="F1473" s="14"/>
      <c r="G1473" s="14"/>
      <c r="H1473" s="14">
        <v>0</v>
      </c>
    </row>
    <row r="1474" spans="4:9">
      <c r="E1474" s="98">
        <v>39372</v>
      </c>
      <c r="F1474" s="11"/>
      <c r="G1474" s="11"/>
      <c r="H1474" s="11">
        <v>1000</v>
      </c>
      <c r="I1474" s="299">
        <f>+XIRR(H1467:H1474,E1467:E1474)</f>
        <v>-0.41670992299914361</v>
      </c>
    </row>
    <row r="1476" spans="4:9">
      <c r="D1476" s="20" t="s">
        <v>236</v>
      </c>
      <c r="E1476" s="44">
        <v>38680</v>
      </c>
      <c r="F1476" s="20">
        <v>137275</v>
      </c>
      <c r="G1476" s="20">
        <f>+H1476/F1476</f>
        <v>-2179.5454744126755</v>
      </c>
      <c r="H1476" s="20">
        <v>-299197105</v>
      </c>
    </row>
    <row r="1477" spans="4:9">
      <c r="D1477" s="14" t="s">
        <v>469</v>
      </c>
      <c r="E1477" s="45">
        <v>38384</v>
      </c>
      <c r="F1477" s="14">
        <f>4000+6000+10000+6500</f>
        <v>26500</v>
      </c>
      <c r="G1477" s="14">
        <f>+H1477/F1477</f>
        <v>-44113.207547169812</v>
      </c>
      <c r="H1477" s="14">
        <v>-1169000000</v>
      </c>
    </row>
    <row r="1478" spans="4:9">
      <c r="E1478" s="38">
        <v>38721</v>
      </c>
      <c r="F1478" s="20">
        <v>19955</v>
      </c>
      <c r="G1478" s="20">
        <v>3308.0829366073667</v>
      </c>
      <c r="H1478" s="20">
        <v>66012795</v>
      </c>
    </row>
    <row r="1479" spans="4:9">
      <c r="E1479" s="40">
        <v>39057</v>
      </c>
      <c r="F1479" s="14">
        <v>53610</v>
      </c>
      <c r="G1479" s="14">
        <v>2068.2100354411491</v>
      </c>
      <c r="H1479" s="14">
        <v>110876740</v>
      </c>
    </row>
    <row r="1480" spans="4:9">
      <c r="E1480" s="40">
        <v>39058</v>
      </c>
      <c r="F1480" s="14">
        <v>9000</v>
      </c>
      <c r="G1480" s="14">
        <v>2021.7311111111112</v>
      </c>
      <c r="H1480" s="14">
        <v>18195580</v>
      </c>
    </row>
    <row r="1481" spans="4:9">
      <c r="E1481" s="40">
        <v>39059</v>
      </c>
      <c r="F1481" s="14">
        <v>500</v>
      </c>
      <c r="G1481" s="14">
        <v>2030</v>
      </c>
      <c r="H1481" s="14">
        <v>1015000</v>
      </c>
    </row>
    <row r="1482" spans="4:9">
      <c r="E1482" s="41">
        <v>39092</v>
      </c>
      <c r="F1482" s="11">
        <v>54210</v>
      </c>
      <c r="G1482" s="11">
        <v>1835</v>
      </c>
      <c r="H1482" s="11">
        <v>99475350</v>
      </c>
    </row>
    <row r="1483" spans="4:9">
      <c r="E1483" s="104">
        <v>39217</v>
      </c>
      <c r="F1483" s="87">
        <v>227399</v>
      </c>
      <c r="G1483" s="87">
        <v>3226</v>
      </c>
      <c r="H1483" s="89">
        <v>733688570</v>
      </c>
    </row>
    <row r="1484" spans="4:9">
      <c r="E1484" s="104">
        <v>39218</v>
      </c>
      <c r="F1484" s="87">
        <v>55576</v>
      </c>
      <c r="G1484" s="87">
        <v>3031</v>
      </c>
      <c r="H1484" s="89">
        <v>168433125</v>
      </c>
    </row>
    <row r="1485" spans="4:9">
      <c r="E1485" s="104">
        <v>39220</v>
      </c>
      <c r="F1485" s="87">
        <v>70000</v>
      </c>
      <c r="G1485" s="87">
        <v>2507</v>
      </c>
      <c r="H1485" s="89">
        <v>175504115</v>
      </c>
    </row>
    <row r="1486" spans="4:9">
      <c r="E1486" s="104">
        <v>39231</v>
      </c>
      <c r="F1486" s="87">
        <v>40000</v>
      </c>
      <c r="G1486" s="87">
        <v>2426</v>
      </c>
      <c r="H1486" s="89">
        <v>97046045</v>
      </c>
    </row>
    <row r="1487" spans="4:9">
      <c r="E1487" s="104">
        <v>39233</v>
      </c>
      <c r="F1487" s="87">
        <v>41996</v>
      </c>
      <c r="G1487" s="87">
        <v>2308</v>
      </c>
      <c r="H1487" s="89">
        <v>96908190</v>
      </c>
    </row>
    <row r="1488" spans="4:9">
      <c r="E1488" s="105">
        <v>39234</v>
      </c>
      <c r="F1488" s="88">
        <v>100000</v>
      </c>
      <c r="G1488" s="88">
        <v>2210</v>
      </c>
      <c r="H1488" s="90">
        <v>220957240</v>
      </c>
      <c r="I1488" s="299">
        <f>+XIRR(H1476:H1488,E1476:E1488)</f>
        <v>0.10207400918006895</v>
      </c>
    </row>
  </sheetData>
  <autoFilter ref="A3:Y1345">
    <filterColumn colId="1">
      <filters>
        <filter val="GEO-1"/>
      </filters>
    </filterColumn>
  </autoFilter>
  <phoneticPr fontId="2" type="noConversion"/>
  <pageMargins left="0.19685039370078741" right="0.19685039370078741" top="0.31496062992125984" bottom="0.15748031496062992" header="0.31496062992125984" footer="0.31496062992125984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1"/>
  <sheetViews>
    <sheetView view="pageBreakPreview" zoomScale="75" zoomScaleNormal="80" zoomScaleSheetLayoutView="75" workbookViewId="0">
      <pane xSplit="4" ySplit="3" topLeftCell="F4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RowHeight="13.5"/>
  <cols>
    <col min="1" max="1" width="9" style="3"/>
    <col min="2" max="2" width="14.25" style="3" customWidth="1"/>
    <col min="3" max="3" width="12.5" style="3" customWidth="1"/>
    <col min="4" max="4" width="18.375" style="4" customWidth="1"/>
    <col min="5" max="5" width="18.375" style="4" hidden="1" customWidth="1"/>
    <col min="6" max="6" width="11.375" style="6" customWidth="1"/>
    <col min="7" max="7" width="12.375" style="4" customWidth="1"/>
    <col min="8" max="8" width="10" style="4" customWidth="1"/>
    <col min="9" max="9" width="19.875" style="4" customWidth="1"/>
    <col min="10" max="10" width="15.75" style="93" customWidth="1"/>
    <col min="11" max="11" width="11.25" style="55" customWidth="1"/>
    <col min="12" max="13" width="10" style="4" customWidth="1"/>
    <col min="14" max="16" width="15" style="4" customWidth="1"/>
    <col min="17" max="17" width="15" style="5" customWidth="1"/>
    <col min="18" max="18" width="15" style="4" customWidth="1"/>
    <col min="19" max="19" width="13.25" style="4" customWidth="1"/>
    <col min="20" max="22" width="13" style="3" customWidth="1"/>
    <col min="23" max="23" width="11.5" style="3" bestFit="1" customWidth="1"/>
    <col min="24" max="25" width="9" style="4"/>
    <col min="26" max="26" width="14.75" style="4" bestFit="1" customWidth="1"/>
    <col min="27" max="16384" width="9" style="4"/>
  </cols>
  <sheetData>
    <row r="1" spans="1:23" ht="17.25">
      <c r="A1" s="127" t="s">
        <v>550</v>
      </c>
      <c r="C1" s="50"/>
      <c r="D1" s="2"/>
      <c r="E1" s="2"/>
      <c r="F1" s="1"/>
      <c r="G1" s="2"/>
      <c r="H1" s="2"/>
      <c r="I1" s="230"/>
      <c r="J1" s="13"/>
      <c r="K1" s="13"/>
    </row>
    <row r="2" spans="1:23">
      <c r="I2" s="48"/>
      <c r="J2" s="47"/>
      <c r="K2" s="47"/>
      <c r="T2" s="3" t="s">
        <v>551</v>
      </c>
      <c r="U2" s="6" t="s">
        <v>552</v>
      </c>
      <c r="V2" s="6" t="s">
        <v>553</v>
      </c>
      <c r="W2" s="6"/>
    </row>
    <row r="3" spans="1:23">
      <c r="A3" s="738" t="s">
        <v>554</v>
      </c>
      <c r="B3" s="738" t="s">
        <v>555</v>
      </c>
      <c r="C3" s="738" t="s">
        <v>556</v>
      </c>
      <c r="D3" s="738" t="s">
        <v>557</v>
      </c>
      <c r="E3" s="291"/>
      <c r="F3" s="44" t="s">
        <v>558</v>
      </c>
      <c r="G3" s="25" t="s">
        <v>559</v>
      </c>
      <c r="H3" s="25" t="s">
        <v>560</v>
      </c>
      <c r="I3" s="25" t="s">
        <v>561</v>
      </c>
      <c r="J3" s="25" t="s">
        <v>562</v>
      </c>
      <c r="K3" s="25" t="s">
        <v>563</v>
      </c>
      <c r="L3" s="25" t="s">
        <v>564</v>
      </c>
      <c r="M3" s="25" t="s">
        <v>565</v>
      </c>
      <c r="N3" s="25" t="s">
        <v>566</v>
      </c>
      <c r="O3" s="25" t="s">
        <v>567</v>
      </c>
      <c r="P3" s="25" t="s">
        <v>568</v>
      </c>
      <c r="Q3" s="92" t="s">
        <v>569</v>
      </c>
      <c r="R3" s="25" t="s">
        <v>570</v>
      </c>
      <c r="S3" s="319" t="s">
        <v>802</v>
      </c>
      <c r="T3" s="319" t="s">
        <v>434</v>
      </c>
      <c r="U3" s="319" t="s">
        <v>435</v>
      </c>
      <c r="V3" s="319" t="s">
        <v>436</v>
      </c>
      <c r="W3" s="13"/>
    </row>
    <row r="4" spans="1:23">
      <c r="A4" s="737" t="s">
        <v>571</v>
      </c>
      <c r="B4" s="737" t="s">
        <v>572</v>
      </c>
      <c r="C4" s="737" t="s">
        <v>573</v>
      </c>
      <c r="D4" s="14" t="s">
        <v>574</v>
      </c>
      <c r="E4" s="20"/>
      <c r="F4" s="44">
        <v>36959</v>
      </c>
      <c r="G4" s="20">
        <v>0</v>
      </c>
      <c r="H4" s="20">
        <v>0</v>
      </c>
      <c r="I4" s="20">
        <v>15600000000</v>
      </c>
      <c r="J4" s="25" t="s">
        <v>575</v>
      </c>
      <c r="K4" s="44">
        <v>36990</v>
      </c>
      <c r="L4" s="20">
        <v>0</v>
      </c>
      <c r="M4" s="20">
        <v>0</v>
      </c>
      <c r="N4" s="20">
        <f>6400000000+15000</f>
        <v>6400015000</v>
      </c>
      <c r="O4" s="20">
        <v>6400015000</v>
      </c>
      <c r="P4" s="20">
        <f>+N4-O4</f>
        <v>0</v>
      </c>
      <c r="Q4" s="20"/>
      <c r="R4" s="20"/>
      <c r="S4" s="20"/>
      <c r="T4" s="20" t="s">
        <v>576</v>
      </c>
      <c r="U4" s="319" t="s">
        <v>801</v>
      </c>
      <c r="V4" s="20"/>
      <c r="W4" s="13"/>
    </row>
    <row r="5" spans="1:23">
      <c r="A5" s="31" t="s">
        <v>571</v>
      </c>
      <c r="B5" s="31" t="s">
        <v>572</v>
      </c>
      <c r="C5" s="31" t="s">
        <v>573</v>
      </c>
      <c r="D5" s="14" t="s">
        <v>574</v>
      </c>
      <c r="E5" s="14"/>
      <c r="F5" s="45"/>
      <c r="G5" s="14"/>
      <c r="H5" s="14"/>
      <c r="I5" s="14"/>
      <c r="J5" s="31"/>
      <c r="K5" s="45">
        <v>37044</v>
      </c>
      <c r="L5" s="14">
        <v>0</v>
      </c>
      <c r="M5" s="14">
        <v>0</v>
      </c>
      <c r="N5" s="14">
        <v>7333331910</v>
      </c>
      <c r="O5" s="14">
        <f>3939322926+2727242158</f>
        <v>6666565084</v>
      </c>
      <c r="P5" s="14">
        <f>+N5-O5</f>
        <v>666766826</v>
      </c>
      <c r="Q5" s="14"/>
      <c r="R5" s="14"/>
      <c r="S5" s="14"/>
      <c r="T5" s="14" t="s">
        <v>576</v>
      </c>
      <c r="U5" s="320" t="s">
        <v>801</v>
      </c>
      <c r="V5" s="14"/>
      <c r="W5" s="13"/>
    </row>
    <row r="6" spans="1:23">
      <c r="A6" s="31" t="s">
        <v>571</v>
      </c>
      <c r="B6" s="31" t="s">
        <v>572</v>
      </c>
      <c r="C6" s="36"/>
      <c r="D6" s="11"/>
      <c r="E6" s="11"/>
      <c r="F6" s="46"/>
      <c r="G6" s="11"/>
      <c r="H6" s="11"/>
      <c r="I6" s="11"/>
      <c r="J6" s="36"/>
      <c r="K6" s="46">
        <v>37046</v>
      </c>
      <c r="L6" s="11"/>
      <c r="M6" s="11"/>
      <c r="N6" s="11">
        <v>2786668090</v>
      </c>
      <c r="O6" s="11">
        <v>2533419916</v>
      </c>
      <c r="P6" s="14">
        <f>+N6-O6</f>
        <v>253248174</v>
      </c>
      <c r="Q6" s="11"/>
      <c r="R6" s="14">
        <f>+SUM(I4:I6)-SUM(O4:O6)</f>
        <v>0</v>
      </c>
      <c r="S6" s="14"/>
      <c r="T6" s="14"/>
      <c r="U6" s="320" t="s">
        <v>801</v>
      </c>
      <c r="V6" s="14"/>
      <c r="W6" s="13"/>
    </row>
    <row r="7" spans="1:23">
      <c r="A7" s="36" t="s">
        <v>571</v>
      </c>
      <c r="B7" s="36" t="s">
        <v>543</v>
      </c>
      <c r="C7" s="151" t="s">
        <v>577</v>
      </c>
      <c r="D7" s="147"/>
      <c r="E7" s="147"/>
      <c r="F7" s="148"/>
      <c r="G7" s="147"/>
      <c r="H7" s="147"/>
      <c r="I7" s="147">
        <f>SUM(I4:I5)</f>
        <v>15600000000</v>
      </c>
      <c r="J7" s="151"/>
      <c r="K7" s="148"/>
      <c r="L7" s="147"/>
      <c r="M7" s="147"/>
      <c r="N7" s="147">
        <f>SUM(N4:N6)</f>
        <v>16520015000</v>
      </c>
      <c r="O7" s="147">
        <f>SUM(O4:O6)</f>
        <v>15600000000</v>
      </c>
      <c r="P7" s="147">
        <f>SUM(P4:P6)</f>
        <v>920015000</v>
      </c>
      <c r="Q7" s="147">
        <f>SUM(Q4:Q5)</f>
        <v>0</v>
      </c>
      <c r="R7" s="147">
        <f>SUM(R4:R6)</f>
        <v>0</v>
      </c>
      <c r="S7" s="147"/>
      <c r="T7" s="147"/>
      <c r="U7" s="151"/>
      <c r="V7" s="147"/>
      <c r="W7" s="13"/>
    </row>
    <row r="8" spans="1:23">
      <c r="A8" s="55" t="s">
        <v>571</v>
      </c>
      <c r="B8" s="31" t="s">
        <v>578</v>
      </c>
      <c r="C8" s="31" t="s">
        <v>573</v>
      </c>
      <c r="D8" s="14" t="s">
        <v>579</v>
      </c>
      <c r="E8" s="14" t="s">
        <v>795</v>
      </c>
      <c r="F8" s="45">
        <v>37105</v>
      </c>
      <c r="G8" s="14"/>
      <c r="H8" s="14"/>
      <c r="I8" s="14">
        <v>1880000000</v>
      </c>
      <c r="J8" s="31" t="s">
        <v>580</v>
      </c>
      <c r="K8" s="97">
        <v>37159</v>
      </c>
      <c r="L8" s="14"/>
      <c r="M8" s="14"/>
      <c r="N8" s="14">
        <v>300000000</v>
      </c>
      <c r="O8" s="14">
        <v>295517484</v>
      </c>
      <c r="P8" s="14">
        <f>+N8-O8</f>
        <v>4482516</v>
      </c>
      <c r="Q8" s="14"/>
      <c r="R8" s="14"/>
      <c r="S8" s="14"/>
      <c r="T8" s="14"/>
      <c r="U8" s="320"/>
      <c r="V8" s="14"/>
      <c r="W8" s="13"/>
    </row>
    <row r="9" spans="1:23">
      <c r="A9" s="55" t="s">
        <v>571</v>
      </c>
      <c r="B9" s="31" t="s">
        <v>578</v>
      </c>
      <c r="C9" s="31" t="s">
        <v>573</v>
      </c>
      <c r="D9" s="14" t="s">
        <v>579</v>
      </c>
      <c r="E9" s="14"/>
      <c r="F9" s="45">
        <v>37106</v>
      </c>
      <c r="G9" s="14"/>
      <c r="H9" s="14"/>
      <c r="I9" s="14">
        <v>2820000000</v>
      </c>
      <c r="J9" s="31" t="s">
        <v>580</v>
      </c>
      <c r="K9" s="97">
        <v>37229</v>
      </c>
      <c r="L9" s="14"/>
      <c r="M9" s="14"/>
      <c r="N9" s="14">
        <v>11663804978</v>
      </c>
      <c r="O9" s="14">
        <v>11644565557</v>
      </c>
      <c r="P9" s="14">
        <f>+N9-O9</f>
        <v>19239421</v>
      </c>
      <c r="Q9" s="14"/>
      <c r="R9" s="14"/>
      <c r="S9" s="14"/>
      <c r="T9" s="14"/>
      <c r="U9" s="320"/>
      <c r="V9" s="14"/>
      <c r="W9" s="13"/>
    </row>
    <row r="10" spans="1:23" s="26" customFormat="1">
      <c r="A10" s="55" t="s">
        <v>571</v>
      </c>
      <c r="B10" s="31" t="s">
        <v>578</v>
      </c>
      <c r="C10" s="31" t="s">
        <v>573</v>
      </c>
      <c r="D10" s="14" t="s">
        <v>579</v>
      </c>
      <c r="E10" s="14"/>
      <c r="F10" s="45">
        <v>37110</v>
      </c>
      <c r="G10" s="14">
        <v>0</v>
      </c>
      <c r="H10" s="14">
        <v>0</v>
      </c>
      <c r="I10" s="14">
        <v>4699999000</v>
      </c>
      <c r="J10" s="31" t="s">
        <v>580</v>
      </c>
      <c r="K10" s="97"/>
      <c r="L10" s="14"/>
      <c r="M10" s="14"/>
      <c r="N10" s="14"/>
      <c r="O10" s="14"/>
      <c r="P10" s="14"/>
      <c r="Q10" s="14"/>
      <c r="R10" s="14"/>
      <c r="S10" s="14"/>
      <c r="T10" s="14" t="s">
        <v>576</v>
      </c>
      <c r="U10" s="320"/>
      <c r="V10" s="14"/>
      <c r="W10" s="13"/>
    </row>
    <row r="11" spans="1:23" s="26" customFormat="1">
      <c r="A11" s="55" t="s">
        <v>571</v>
      </c>
      <c r="B11" s="31" t="s">
        <v>578</v>
      </c>
      <c r="C11" s="31" t="s">
        <v>573</v>
      </c>
      <c r="D11" s="14" t="s">
        <v>579</v>
      </c>
      <c r="E11" s="14"/>
      <c r="F11" s="45">
        <v>37125</v>
      </c>
      <c r="G11" s="14"/>
      <c r="H11" s="14"/>
      <c r="I11" s="14">
        <v>300000000</v>
      </c>
      <c r="J11" s="31" t="s">
        <v>580</v>
      </c>
      <c r="K11" s="97"/>
      <c r="L11" s="14"/>
      <c r="M11" s="14"/>
      <c r="N11" s="14"/>
      <c r="O11" s="14"/>
      <c r="P11" s="14"/>
      <c r="Q11" s="14"/>
      <c r="R11" s="14"/>
      <c r="S11" s="14"/>
      <c r="T11" s="14"/>
      <c r="U11" s="320"/>
      <c r="V11" s="14"/>
      <c r="W11" s="13"/>
    </row>
    <row r="12" spans="1:23" s="26" customFormat="1">
      <c r="A12" s="55" t="s">
        <v>571</v>
      </c>
      <c r="B12" s="31" t="s">
        <v>578</v>
      </c>
      <c r="C12" s="31" t="s">
        <v>573</v>
      </c>
      <c r="D12" s="14" t="s">
        <v>579</v>
      </c>
      <c r="E12" s="14"/>
      <c r="F12" s="45">
        <v>37134</v>
      </c>
      <c r="G12" s="14">
        <v>0</v>
      </c>
      <c r="H12" s="14">
        <v>0</v>
      </c>
      <c r="I12" s="14">
        <f>2540084041-300000000</f>
        <v>2240084041</v>
      </c>
      <c r="J12" s="31" t="s">
        <v>580</v>
      </c>
      <c r="K12" s="97"/>
      <c r="L12" s="14"/>
      <c r="M12" s="14"/>
      <c r="N12" s="14"/>
      <c r="O12" s="14"/>
      <c r="P12" s="14"/>
      <c r="Q12" s="14"/>
      <c r="R12" s="14">
        <f>+SUM(I8:I12)-SUM(O8:O12)</f>
        <v>0</v>
      </c>
      <c r="S12" s="14"/>
      <c r="T12" s="14" t="s">
        <v>576</v>
      </c>
      <c r="U12" s="320"/>
      <c r="V12" s="14"/>
      <c r="W12" s="13"/>
    </row>
    <row r="13" spans="1:23" s="26" customFormat="1">
      <c r="A13" s="55" t="s">
        <v>571</v>
      </c>
      <c r="B13" s="31" t="s">
        <v>578</v>
      </c>
      <c r="C13" s="25" t="s">
        <v>581</v>
      </c>
      <c r="D13" s="20" t="s">
        <v>579</v>
      </c>
      <c r="E13" s="20" t="s">
        <v>795</v>
      </c>
      <c r="F13" s="44">
        <v>37110</v>
      </c>
      <c r="G13" s="20">
        <v>0</v>
      </c>
      <c r="H13" s="20">
        <v>0</v>
      </c>
      <c r="I13" s="20">
        <v>1000</v>
      </c>
      <c r="J13" s="25" t="s">
        <v>582</v>
      </c>
      <c r="K13" s="101">
        <v>37106</v>
      </c>
      <c r="L13" s="20">
        <v>0</v>
      </c>
      <c r="M13" s="20">
        <v>0</v>
      </c>
      <c r="N13" s="20">
        <v>470000000</v>
      </c>
      <c r="O13" s="20">
        <v>1000</v>
      </c>
      <c r="P13" s="20">
        <f>+N13+N14-O13</f>
        <v>658178840</v>
      </c>
      <c r="Q13" s="20"/>
      <c r="R13" s="20"/>
      <c r="S13" s="20"/>
      <c r="T13" s="20" t="s">
        <v>583</v>
      </c>
      <c r="U13" s="319"/>
      <c r="V13" s="20"/>
      <c r="W13" s="13"/>
    </row>
    <row r="14" spans="1:23" s="26" customFormat="1">
      <c r="A14" s="55" t="s">
        <v>571</v>
      </c>
      <c r="B14" s="31" t="s">
        <v>578</v>
      </c>
      <c r="C14" s="163" t="s">
        <v>581</v>
      </c>
      <c r="D14" s="164" t="s">
        <v>579</v>
      </c>
      <c r="E14" s="164"/>
      <c r="F14" s="165"/>
      <c r="G14" s="164"/>
      <c r="H14" s="164"/>
      <c r="I14" s="164"/>
      <c r="J14" s="163"/>
      <c r="K14" s="166">
        <v>37111</v>
      </c>
      <c r="L14" s="164"/>
      <c r="M14" s="164"/>
      <c r="N14" s="164">
        <f>658179840-470000000</f>
        <v>188179840</v>
      </c>
      <c r="O14" s="164"/>
      <c r="P14" s="164"/>
      <c r="Q14" s="164"/>
      <c r="R14" s="164"/>
      <c r="S14" s="164"/>
      <c r="T14" s="164"/>
      <c r="U14" s="163"/>
      <c r="V14" s="164"/>
      <c r="W14" s="13"/>
    </row>
    <row r="15" spans="1:23" s="26" customFormat="1">
      <c r="A15" s="55" t="s">
        <v>571</v>
      </c>
      <c r="B15" s="31" t="s">
        <v>578</v>
      </c>
      <c r="C15" s="31" t="s">
        <v>581</v>
      </c>
      <c r="D15" s="14" t="s">
        <v>579</v>
      </c>
      <c r="E15" s="14"/>
      <c r="F15" s="45">
        <v>37229</v>
      </c>
      <c r="G15" s="14">
        <v>2586230</v>
      </c>
      <c r="H15" s="14">
        <v>1865</v>
      </c>
      <c r="I15" s="14">
        <v>4822709281</v>
      </c>
      <c r="J15" s="31" t="s">
        <v>582</v>
      </c>
      <c r="K15" s="97">
        <v>37245</v>
      </c>
      <c r="L15" s="14">
        <v>3016460</v>
      </c>
      <c r="M15" s="14">
        <f t="shared" ref="M15:M26" si="0">+N15/L15</f>
        <v>557.49786173196401</v>
      </c>
      <c r="N15" s="14">
        <v>1681670000</v>
      </c>
      <c r="O15" s="14">
        <v>1908695954</v>
      </c>
      <c r="P15" s="78">
        <f t="shared" ref="P15:P39" si="1">+N15-O15</f>
        <v>-227025954</v>
      </c>
      <c r="Q15" s="14"/>
      <c r="R15" s="14"/>
      <c r="S15" s="14"/>
      <c r="T15" s="14" t="s">
        <v>583</v>
      </c>
      <c r="U15" s="320"/>
      <c r="V15" s="14"/>
      <c r="W15" s="13"/>
    </row>
    <row r="16" spans="1:23" s="26" customFormat="1">
      <c r="A16" s="55" t="s">
        <v>571</v>
      </c>
      <c r="B16" s="31" t="s">
        <v>578</v>
      </c>
      <c r="C16" s="31" t="s">
        <v>581</v>
      </c>
      <c r="D16" s="14" t="s">
        <v>579</v>
      </c>
      <c r="E16" s="14"/>
      <c r="F16" s="45">
        <v>37231</v>
      </c>
      <c r="G16" s="14">
        <v>24000000</v>
      </c>
      <c r="H16" s="14">
        <v>500</v>
      </c>
      <c r="I16" s="14">
        <v>12000000000</v>
      </c>
      <c r="J16" s="31" t="s">
        <v>584</v>
      </c>
      <c r="K16" s="97">
        <v>37334</v>
      </c>
      <c r="L16" s="14">
        <v>4887930</v>
      </c>
      <c r="M16" s="14">
        <f t="shared" si="0"/>
        <v>850</v>
      </c>
      <c r="N16" s="14">
        <v>4154740500</v>
      </c>
      <c r="O16" s="14">
        <v>3092887761</v>
      </c>
      <c r="P16" s="14">
        <f t="shared" si="1"/>
        <v>1061852739</v>
      </c>
      <c r="Q16" s="14"/>
      <c r="R16" s="14"/>
      <c r="S16" s="14"/>
      <c r="T16" s="14" t="s">
        <v>583</v>
      </c>
      <c r="U16" s="320"/>
      <c r="V16" s="14"/>
      <c r="W16" s="13"/>
    </row>
    <row r="17" spans="1:23" s="26" customFormat="1">
      <c r="A17" s="55" t="s">
        <v>571</v>
      </c>
      <c r="B17" s="31" t="s">
        <v>578</v>
      </c>
      <c r="C17" s="31" t="s">
        <v>581</v>
      </c>
      <c r="D17" s="14" t="s">
        <v>579</v>
      </c>
      <c r="E17" s="14"/>
      <c r="F17" s="45">
        <v>37986</v>
      </c>
      <c r="G17" s="14">
        <v>-2939296</v>
      </c>
      <c r="H17" s="14">
        <v>0</v>
      </c>
      <c r="I17" s="14">
        <v>0</v>
      </c>
      <c r="J17" s="31" t="s">
        <v>585</v>
      </c>
      <c r="K17" s="97">
        <v>37340</v>
      </c>
      <c r="L17" s="14">
        <v>1954830</v>
      </c>
      <c r="M17" s="14">
        <f t="shared" si="0"/>
        <v>1385.1290649314774</v>
      </c>
      <c r="N17" s="14">
        <v>2707691850</v>
      </c>
      <c r="O17" s="14">
        <v>1236938700</v>
      </c>
      <c r="P17" s="14">
        <f t="shared" si="1"/>
        <v>1470753150</v>
      </c>
      <c r="Q17" s="14"/>
      <c r="R17" s="14"/>
      <c r="S17" s="14"/>
      <c r="T17" s="14" t="s">
        <v>586</v>
      </c>
      <c r="U17" s="320"/>
      <c r="V17" s="14"/>
      <c r="W17" s="13"/>
    </row>
    <row r="18" spans="1:23" s="26" customFormat="1">
      <c r="A18" s="55" t="s">
        <v>571</v>
      </c>
      <c r="B18" s="31" t="s">
        <v>578</v>
      </c>
      <c r="C18" s="31" t="s">
        <v>581</v>
      </c>
      <c r="D18" s="14" t="s">
        <v>579</v>
      </c>
      <c r="E18" s="14"/>
      <c r="F18" s="45">
        <v>38239</v>
      </c>
      <c r="G18" s="14">
        <v>276040</v>
      </c>
      <c r="H18" s="14">
        <v>5191</v>
      </c>
      <c r="I18" s="14">
        <v>1433040000</v>
      </c>
      <c r="J18" s="102" t="s">
        <v>587</v>
      </c>
      <c r="K18" s="167">
        <v>37361</v>
      </c>
      <c r="L18" s="95">
        <v>3561810</v>
      </c>
      <c r="M18" s="95">
        <f>+(N19+N18)/L18</f>
        <v>1660.0263208874139</v>
      </c>
      <c r="N18" s="95">
        <v>2531066950</v>
      </c>
      <c r="O18" s="95">
        <v>2253771751</v>
      </c>
      <c r="P18" s="95">
        <f>+N18+N19-O18</f>
        <v>3658926599</v>
      </c>
      <c r="Q18" s="95"/>
      <c r="R18" s="95"/>
      <c r="S18" s="95"/>
      <c r="T18" s="95" t="s">
        <v>586</v>
      </c>
      <c r="U18" s="168"/>
      <c r="V18" s="95"/>
      <c r="W18" s="13"/>
    </row>
    <row r="19" spans="1:23" s="26" customFormat="1">
      <c r="A19" s="55" t="s">
        <v>571</v>
      </c>
      <c r="B19" s="31" t="s">
        <v>578</v>
      </c>
      <c r="C19" s="31" t="s">
        <v>581</v>
      </c>
      <c r="D19" s="14" t="s">
        <v>579</v>
      </c>
      <c r="E19" s="14"/>
      <c r="F19" s="45">
        <v>38350</v>
      </c>
      <c r="G19" s="14">
        <v>1010864</v>
      </c>
      <c r="H19" s="14">
        <v>640</v>
      </c>
      <c r="I19" s="14">
        <v>646952960</v>
      </c>
      <c r="J19" s="31" t="s">
        <v>588</v>
      </c>
      <c r="K19" s="165">
        <v>37371</v>
      </c>
      <c r="L19" s="164"/>
      <c r="M19" s="164"/>
      <c r="N19" s="164">
        <v>3381631400</v>
      </c>
      <c r="O19" s="164"/>
      <c r="P19" s="164"/>
      <c r="Q19" s="164"/>
      <c r="R19" s="164"/>
      <c r="S19" s="164"/>
      <c r="T19" s="164"/>
      <c r="U19" s="163"/>
      <c r="V19" s="164"/>
      <c r="W19" s="13"/>
    </row>
    <row r="20" spans="1:23" s="26" customFormat="1">
      <c r="A20" s="55" t="s">
        <v>571</v>
      </c>
      <c r="B20" s="31" t="s">
        <v>578</v>
      </c>
      <c r="C20" s="31" t="s">
        <v>581</v>
      </c>
      <c r="D20" s="14" t="s">
        <v>579</v>
      </c>
      <c r="E20" s="14"/>
      <c r="F20" s="45"/>
      <c r="G20" s="14"/>
      <c r="H20" s="14"/>
      <c r="I20" s="14"/>
      <c r="J20" s="31"/>
      <c r="K20" s="167">
        <v>37656</v>
      </c>
      <c r="L20" s="95"/>
      <c r="M20" s="95"/>
      <c r="N20" s="95">
        <v>1000000000</v>
      </c>
      <c r="O20" s="95"/>
      <c r="P20" s="95"/>
      <c r="Q20" s="95"/>
      <c r="R20" s="95"/>
      <c r="S20" s="95"/>
      <c r="T20" s="95"/>
      <c r="U20" s="168"/>
      <c r="V20" s="95"/>
      <c r="W20" s="13"/>
    </row>
    <row r="21" spans="1:23" s="26" customFormat="1">
      <c r="A21" s="55" t="s">
        <v>571</v>
      </c>
      <c r="B21" s="31" t="s">
        <v>578</v>
      </c>
      <c r="C21" s="31" t="s">
        <v>581</v>
      </c>
      <c r="D21" s="14" t="s">
        <v>579</v>
      </c>
      <c r="E21" s="14"/>
      <c r="F21" s="45"/>
      <c r="G21" s="14"/>
      <c r="H21" s="14"/>
      <c r="I21" s="14"/>
      <c r="J21" s="31"/>
      <c r="K21" s="45">
        <v>37700</v>
      </c>
      <c r="L21" s="14"/>
      <c r="M21" s="14"/>
      <c r="N21" s="14">
        <f>3600000000-1000000000-1600000000</f>
        <v>1000000000</v>
      </c>
      <c r="O21" s="14"/>
      <c r="P21" s="14"/>
      <c r="Q21" s="14"/>
      <c r="R21" s="14"/>
      <c r="S21" s="14"/>
      <c r="T21" s="14" t="s">
        <v>583</v>
      </c>
      <c r="U21" s="320"/>
      <c r="V21" s="14"/>
      <c r="W21" s="13"/>
    </row>
    <row r="22" spans="1:23" s="26" customFormat="1">
      <c r="A22" s="55" t="s">
        <v>571</v>
      </c>
      <c r="B22" s="31" t="s">
        <v>578</v>
      </c>
      <c r="C22" s="31" t="s">
        <v>581</v>
      </c>
      <c r="D22" s="14" t="s">
        <v>579</v>
      </c>
      <c r="E22" s="14"/>
      <c r="F22" s="45"/>
      <c r="G22" s="14"/>
      <c r="H22" s="14"/>
      <c r="I22" s="14"/>
      <c r="J22" s="31"/>
      <c r="K22" s="165">
        <v>37714</v>
      </c>
      <c r="L22" s="164">
        <v>6000000</v>
      </c>
      <c r="M22" s="164">
        <f>+SUM(N20:N22)/L22</f>
        <v>600</v>
      </c>
      <c r="N22" s="164">
        <v>1600000000</v>
      </c>
      <c r="O22" s="164">
        <v>3796561441</v>
      </c>
      <c r="P22" s="164">
        <f>+N20+N21+N22-O22</f>
        <v>-196561441</v>
      </c>
      <c r="Q22" s="164"/>
      <c r="R22" s="164"/>
      <c r="S22" s="164"/>
      <c r="T22" s="164"/>
      <c r="U22" s="163"/>
      <c r="V22" s="164"/>
      <c r="W22" s="13"/>
    </row>
    <row r="23" spans="1:23" s="26" customFormat="1">
      <c r="A23" s="55" t="s">
        <v>571</v>
      </c>
      <c r="B23" s="31" t="s">
        <v>578</v>
      </c>
      <c r="C23" s="31" t="s">
        <v>581</v>
      </c>
      <c r="D23" s="14" t="s">
        <v>579</v>
      </c>
      <c r="E23" s="14"/>
      <c r="F23" s="45"/>
      <c r="G23" s="14"/>
      <c r="H23" s="14"/>
      <c r="I23" s="14"/>
      <c r="J23" s="31"/>
      <c r="K23" s="97">
        <v>37873</v>
      </c>
      <c r="L23" s="14">
        <v>3491080</v>
      </c>
      <c r="M23" s="14">
        <f t="shared" si="0"/>
        <v>553.70830803075262</v>
      </c>
      <c r="N23" s="14">
        <v>1933040000</v>
      </c>
      <c r="O23" s="14">
        <v>2209016619</v>
      </c>
      <c r="P23" s="14">
        <f t="shared" si="1"/>
        <v>-275976619</v>
      </c>
      <c r="Q23" s="14"/>
      <c r="R23" s="14"/>
      <c r="S23" s="14"/>
      <c r="T23" s="14" t="s">
        <v>583</v>
      </c>
      <c r="U23" s="320"/>
      <c r="V23" s="14"/>
      <c r="W23" s="13"/>
    </row>
    <row r="24" spans="1:23" s="26" customFormat="1">
      <c r="A24" s="55" t="s">
        <v>571</v>
      </c>
      <c r="B24" s="31" t="s">
        <v>578</v>
      </c>
      <c r="C24" s="31" t="s">
        <v>581</v>
      </c>
      <c r="D24" s="14" t="s">
        <v>579</v>
      </c>
      <c r="E24" s="14"/>
      <c r="F24" s="45"/>
      <c r="G24" s="14"/>
      <c r="H24" s="14"/>
      <c r="I24" s="14"/>
      <c r="J24" s="31"/>
      <c r="K24" s="97">
        <v>38313</v>
      </c>
      <c r="L24" s="14">
        <v>480000</v>
      </c>
      <c r="M24" s="14">
        <f t="shared" si="0"/>
        <v>1755</v>
      </c>
      <c r="N24" s="14">
        <v>842400000</v>
      </c>
      <c r="O24" s="14">
        <v>1784395315</v>
      </c>
      <c r="P24" s="14">
        <f t="shared" si="1"/>
        <v>-941995315</v>
      </c>
      <c r="Q24" s="14"/>
      <c r="R24" s="14"/>
      <c r="S24" s="14"/>
      <c r="T24" s="14" t="s">
        <v>586</v>
      </c>
      <c r="U24" s="320"/>
      <c r="V24" s="14"/>
      <c r="W24" s="13"/>
    </row>
    <row r="25" spans="1:23" s="26" customFormat="1">
      <c r="A25" s="55" t="s">
        <v>571</v>
      </c>
      <c r="B25" s="31" t="s">
        <v>578</v>
      </c>
      <c r="C25" s="31" t="s">
        <v>581</v>
      </c>
      <c r="D25" s="14" t="s">
        <v>579</v>
      </c>
      <c r="E25" s="14"/>
      <c r="F25" s="45"/>
      <c r="G25" s="14"/>
      <c r="H25" s="14"/>
      <c r="I25" s="14"/>
      <c r="J25" s="31"/>
      <c r="K25" s="97">
        <v>38499</v>
      </c>
      <c r="L25" s="14">
        <v>791000</v>
      </c>
      <c r="M25" s="14">
        <f t="shared" si="0"/>
        <v>4160.8016434892543</v>
      </c>
      <c r="N25" s="14">
        <v>3291194100</v>
      </c>
      <c r="O25" s="14">
        <v>1344441981</v>
      </c>
      <c r="P25" s="14">
        <f t="shared" si="1"/>
        <v>1946752119</v>
      </c>
      <c r="Q25" s="14"/>
      <c r="R25" s="14"/>
      <c r="S25" s="14"/>
      <c r="T25" s="14" t="s">
        <v>586</v>
      </c>
      <c r="U25" s="320"/>
      <c r="V25" s="14"/>
      <c r="W25" s="13"/>
    </row>
    <row r="26" spans="1:23" s="26" customFormat="1">
      <c r="A26" s="55" t="s">
        <v>571</v>
      </c>
      <c r="B26" s="31" t="s">
        <v>578</v>
      </c>
      <c r="C26" s="31" t="s">
        <v>581</v>
      </c>
      <c r="D26" s="14" t="s">
        <v>579</v>
      </c>
      <c r="E26" s="14"/>
      <c r="F26" s="45"/>
      <c r="G26" s="14"/>
      <c r="H26" s="14"/>
      <c r="I26" s="14"/>
      <c r="J26" s="31"/>
      <c r="K26" s="97">
        <v>38980</v>
      </c>
      <c r="L26" s="14">
        <v>37350</v>
      </c>
      <c r="M26" s="14">
        <f t="shared" si="0"/>
        <v>8334.8326639892912</v>
      </c>
      <c r="N26" s="14">
        <v>311306000</v>
      </c>
      <c r="O26" s="14">
        <v>63482817</v>
      </c>
      <c r="P26" s="14">
        <f t="shared" si="1"/>
        <v>247823183</v>
      </c>
      <c r="Q26" s="14"/>
      <c r="R26" s="14"/>
      <c r="S26" s="14"/>
      <c r="T26" s="14" t="s">
        <v>586</v>
      </c>
      <c r="U26" s="320"/>
      <c r="V26" s="14"/>
      <c r="W26" s="13"/>
    </row>
    <row r="27" spans="1:23" s="26" customFormat="1">
      <c r="A27" s="55" t="s">
        <v>571</v>
      </c>
      <c r="B27" s="31" t="s">
        <v>578</v>
      </c>
      <c r="C27" s="31" t="s">
        <v>581</v>
      </c>
      <c r="D27" s="14" t="s">
        <v>579</v>
      </c>
      <c r="E27" s="14"/>
      <c r="F27" s="45"/>
      <c r="G27" s="14"/>
      <c r="H27" s="14"/>
      <c r="I27" s="14"/>
      <c r="J27" s="31"/>
      <c r="K27" s="97">
        <v>39254</v>
      </c>
      <c r="L27" s="14">
        <v>72100</v>
      </c>
      <c r="M27" s="14">
        <v>5021.3980582524273</v>
      </c>
      <c r="N27" s="14">
        <v>362042800</v>
      </c>
      <c r="O27" s="14">
        <v>122546481.46292941</v>
      </c>
      <c r="P27" s="14">
        <f t="shared" si="1"/>
        <v>239496318.53707057</v>
      </c>
      <c r="Q27" s="14"/>
      <c r="R27" s="14"/>
      <c r="S27" s="14"/>
      <c r="T27" s="14" t="s">
        <v>586</v>
      </c>
      <c r="U27" s="320"/>
      <c r="V27" s="14"/>
      <c r="W27" s="13"/>
    </row>
    <row r="28" spans="1:23" s="26" customFormat="1">
      <c r="A28" s="55" t="s">
        <v>571</v>
      </c>
      <c r="B28" s="31" t="s">
        <v>578</v>
      </c>
      <c r="C28" s="31" t="s">
        <v>581</v>
      </c>
      <c r="D28" s="14" t="s">
        <v>579</v>
      </c>
      <c r="E28" s="14"/>
      <c r="F28" s="45"/>
      <c r="G28" s="14"/>
      <c r="H28" s="14"/>
      <c r="I28" s="14"/>
      <c r="J28" s="31"/>
      <c r="K28" s="97">
        <v>39255</v>
      </c>
      <c r="L28" s="14">
        <v>67270</v>
      </c>
      <c r="M28" s="14">
        <v>5061.801694663297</v>
      </c>
      <c r="N28" s="14">
        <v>340507400</v>
      </c>
      <c r="O28" s="14">
        <v>114337056.97657783</v>
      </c>
      <c r="P28" s="14">
        <f t="shared" si="1"/>
        <v>226170343.02342218</v>
      </c>
      <c r="Q28" s="14"/>
      <c r="R28" s="14"/>
      <c r="S28" s="14"/>
      <c r="T28" s="14" t="s">
        <v>586</v>
      </c>
      <c r="U28" s="320"/>
      <c r="V28" s="14"/>
      <c r="W28" s="13"/>
    </row>
    <row r="29" spans="1:23" s="26" customFormat="1">
      <c r="A29" s="55" t="s">
        <v>571</v>
      </c>
      <c r="B29" s="31" t="s">
        <v>578</v>
      </c>
      <c r="C29" s="31" t="s">
        <v>581</v>
      </c>
      <c r="D29" s="14" t="s">
        <v>579</v>
      </c>
      <c r="E29" s="14"/>
      <c r="F29" s="45"/>
      <c r="G29" s="14"/>
      <c r="H29" s="14"/>
      <c r="I29" s="14"/>
      <c r="J29" s="31"/>
      <c r="K29" s="97">
        <v>39258</v>
      </c>
      <c r="L29" s="14">
        <v>28700</v>
      </c>
      <c r="M29" s="14">
        <v>5053.7909407665502</v>
      </c>
      <c r="N29" s="14">
        <v>145043800</v>
      </c>
      <c r="O29" s="14">
        <v>48780638.252234042</v>
      </c>
      <c r="P29" s="14">
        <f t="shared" si="1"/>
        <v>96263161.747765958</v>
      </c>
      <c r="Q29" s="14"/>
      <c r="R29" s="14"/>
      <c r="S29" s="14"/>
      <c r="T29" s="14" t="s">
        <v>586</v>
      </c>
      <c r="U29" s="320"/>
      <c r="V29" s="14"/>
      <c r="W29" s="13"/>
    </row>
    <row r="30" spans="1:23" s="26" customFormat="1">
      <c r="A30" s="55" t="s">
        <v>571</v>
      </c>
      <c r="B30" s="31" t="s">
        <v>578</v>
      </c>
      <c r="C30" s="31" t="s">
        <v>581</v>
      </c>
      <c r="D30" s="14" t="s">
        <v>579</v>
      </c>
      <c r="E30" s="14"/>
      <c r="F30" s="45"/>
      <c r="G30" s="14"/>
      <c r="H30" s="14"/>
      <c r="I30" s="14"/>
      <c r="J30" s="31"/>
      <c r="K30" s="97">
        <v>39259</v>
      </c>
      <c r="L30" s="14">
        <v>89570</v>
      </c>
      <c r="M30" s="14">
        <v>5178.6658479401585</v>
      </c>
      <c r="N30" s="14">
        <v>463853100</v>
      </c>
      <c r="O30" s="14">
        <v>152239782.86594436</v>
      </c>
      <c r="P30" s="14">
        <f t="shared" si="1"/>
        <v>311613317.13405561</v>
      </c>
      <c r="Q30" s="14"/>
      <c r="R30" s="14"/>
      <c r="S30" s="14"/>
      <c r="T30" s="14" t="s">
        <v>586</v>
      </c>
      <c r="U30" s="320"/>
      <c r="V30" s="14"/>
      <c r="W30" s="13"/>
    </row>
    <row r="31" spans="1:23" s="26" customFormat="1">
      <c r="A31" s="55" t="s">
        <v>571</v>
      </c>
      <c r="B31" s="31" t="s">
        <v>578</v>
      </c>
      <c r="C31" s="31" t="s">
        <v>581</v>
      </c>
      <c r="D31" s="14" t="s">
        <v>579</v>
      </c>
      <c r="E31" s="14"/>
      <c r="F31" s="45"/>
      <c r="G31" s="14"/>
      <c r="H31" s="14"/>
      <c r="I31" s="14"/>
      <c r="J31" s="31"/>
      <c r="K31" s="97">
        <v>39260</v>
      </c>
      <c r="L31" s="14">
        <v>51250</v>
      </c>
      <c r="M31" s="14">
        <v>5326.3687804878045</v>
      </c>
      <c r="N31" s="14">
        <v>272976400</v>
      </c>
      <c r="O31" s="14">
        <v>87108282.59327507</v>
      </c>
      <c r="P31" s="14">
        <f t="shared" si="1"/>
        <v>185868117.40672493</v>
      </c>
      <c r="Q31" s="14"/>
      <c r="R31" s="14"/>
      <c r="S31" s="14"/>
      <c r="T31" s="14" t="s">
        <v>586</v>
      </c>
      <c r="U31" s="320"/>
      <c r="V31" s="14"/>
      <c r="W31" s="13"/>
    </row>
    <row r="32" spans="1:23" s="26" customFormat="1">
      <c r="A32" s="55" t="s">
        <v>571</v>
      </c>
      <c r="B32" s="31" t="s">
        <v>578</v>
      </c>
      <c r="C32" s="31" t="s">
        <v>581</v>
      </c>
      <c r="D32" s="14" t="s">
        <v>579</v>
      </c>
      <c r="E32" s="14"/>
      <c r="F32" s="45"/>
      <c r="G32" s="14"/>
      <c r="H32" s="14"/>
      <c r="I32" s="14"/>
      <c r="J32" s="31"/>
      <c r="K32" s="97">
        <v>39261</v>
      </c>
      <c r="L32" s="14">
        <v>27170</v>
      </c>
      <c r="M32" s="14">
        <v>5233.1247699668756</v>
      </c>
      <c r="N32" s="14">
        <v>142184000</v>
      </c>
      <c r="O32" s="14">
        <v>46180137</v>
      </c>
      <c r="P32" s="14">
        <f t="shared" si="1"/>
        <v>96003863</v>
      </c>
      <c r="Q32" s="14"/>
      <c r="R32" s="14"/>
      <c r="S32" s="14"/>
      <c r="T32" s="14" t="s">
        <v>586</v>
      </c>
      <c r="U32" s="320"/>
      <c r="V32" s="14"/>
      <c r="W32" s="13"/>
    </row>
    <row r="33" spans="1:23" s="26" customFormat="1">
      <c r="A33" s="55" t="s">
        <v>571</v>
      </c>
      <c r="B33" s="31" t="s">
        <v>578</v>
      </c>
      <c r="C33" s="31" t="s">
        <v>581</v>
      </c>
      <c r="D33" s="14" t="s">
        <v>579</v>
      </c>
      <c r="E33" s="14"/>
      <c r="F33" s="45"/>
      <c r="G33" s="14"/>
      <c r="H33" s="14"/>
      <c r="I33" s="14"/>
      <c r="J33" s="31"/>
      <c r="K33" s="97">
        <v>39262</v>
      </c>
      <c r="L33" s="14">
        <v>60000</v>
      </c>
      <c r="M33" s="14">
        <v>5345.415</v>
      </c>
      <c r="N33" s="14">
        <v>320724900</v>
      </c>
      <c r="O33" s="14">
        <v>101980428</v>
      </c>
      <c r="P33" s="14">
        <f t="shared" si="1"/>
        <v>218744472</v>
      </c>
      <c r="Q33" s="14"/>
      <c r="R33" s="14"/>
      <c r="S33" s="14"/>
      <c r="T33" s="14" t="s">
        <v>586</v>
      </c>
      <c r="U33" s="320"/>
      <c r="V33" s="14"/>
      <c r="W33" s="13"/>
    </row>
    <row r="34" spans="1:23" s="26" customFormat="1">
      <c r="A34" s="55" t="s">
        <v>571</v>
      </c>
      <c r="B34" s="31" t="s">
        <v>578</v>
      </c>
      <c r="C34" s="31" t="s">
        <v>581</v>
      </c>
      <c r="D34" s="14" t="s">
        <v>579</v>
      </c>
      <c r="E34" s="14"/>
      <c r="F34" s="45"/>
      <c r="G34" s="14"/>
      <c r="H34" s="14"/>
      <c r="I34" s="14"/>
      <c r="J34" s="31"/>
      <c r="K34" s="97">
        <v>39265</v>
      </c>
      <c r="L34" s="14">
        <v>6000</v>
      </c>
      <c r="M34" s="14">
        <v>5430.6333333333332</v>
      </c>
      <c r="N34" s="14">
        <v>32583800</v>
      </c>
      <c r="O34" s="14">
        <v>10198043</v>
      </c>
      <c r="P34" s="14">
        <f t="shared" si="1"/>
        <v>22385757</v>
      </c>
      <c r="Q34" s="14"/>
      <c r="R34" s="14"/>
      <c r="S34" s="14"/>
      <c r="T34" s="14" t="s">
        <v>586</v>
      </c>
      <c r="U34" s="320"/>
      <c r="V34" s="14"/>
      <c r="W34" s="13"/>
    </row>
    <row r="35" spans="1:23" s="26" customFormat="1">
      <c r="A35" s="55" t="s">
        <v>571</v>
      </c>
      <c r="B35" s="31" t="s">
        <v>578</v>
      </c>
      <c r="C35" s="31" t="s">
        <v>581</v>
      </c>
      <c r="D35" s="14" t="s">
        <v>579</v>
      </c>
      <c r="E35" s="14"/>
      <c r="F35" s="45"/>
      <c r="G35" s="14"/>
      <c r="H35" s="14"/>
      <c r="I35" s="14"/>
      <c r="J35" s="31"/>
      <c r="K35" s="97">
        <v>39345</v>
      </c>
      <c r="L35" s="14">
        <v>100000</v>
      </c>
      <c r="M35" s="14">
        <v>3198.89</v>
      </c>
      <c r="N35" s="14">
        <v>319889000</v>
      </c>
      <c r="O35" s="14">
        <v>169967381</v>
      </c>
      <c r="P35" s="14">
        <f t="shared" si="1"/>
        <v>149921619</v>
      </c>
      <c r="Q35" s="14"/>
      <c r="R35" s="14"/>
      <c r="S35" s="14"/>
      <c r="T35" s="14" t="s">
        <v>586</v>
      </c>
      <c r="U35" s="320"/>
      <c r="V35" s="14"/>
      <c r="W35" s="13"/>
    </row>
    <row r="36" spans="1:23" s="26" customFormat="1">
      <c r="A36" s="55" t="s">
        <v>571</v>
      </c>
      <c r="B36" s="31" t="s">
        <v>578</v>
      </c>
      <c r="C36" s="31" t="s">
        <v>581</v>
      </c>
      <c r="D36" s="14" t="s">
        <v>579</v>
      </c>
      <c r="E36" s="14"/>
      <c r="F36" s="45"/>
      <c r="G36" s="14"/>
      <c r="H36" s="14"/>
      <c r="I36" s="14"/>
      <c r="J36" s="31"/>
      <c r="K36" s="97">
        <v>39357</v>
      </c>
      <c r="L36" s="14">
        <v>12270</v>
      </c>
      <c r="M36" s="14">
        <v>4012.0700896495518</v>
      </c>
      <c r="N36" s="14">
        <v>49228100</v>
      </c>
      <c r="O36" s="14">
        <v>20854998</v>
      </c>
      <c r="P36" s="14">
        <f t="shared" si="1"/>
        <v>28373102</v>
      </c>
      <c r="Q36" s="14"/>
      <c r="R36" s="14"/>
      <c r="S36" s="14"/>
      <c r="T36" s="14" t="s">
        <v>586</v>
      </c>
      <c r="U36" s="320"/>
      <c r="V36" s="14"/>
      <c r="W36" s="13"/>
    </row>
    <row r="37" spans="1:23" s="26" customFormat="1">
      <c r="A37" s="55" t="s">
        <v>571</v>
      </c>
      <c r="B37" s="31" t="s">
        <v>578</v>
      </c>
      <c r="C37" s="31" t="s">
        <v>581</v>
      </c>
      <c r="D37" s="14" t="s">
        <v>579</v>
      </c>
      <c r="E37" s="14"/>
      <c r="F37" s="45"/>
      <c r="G37" s="14"/>
      <c r="H37" s="14"/>
      <c r="I37" s="14"/>
      <c r="J37" s="31"/>
      <c r="K37" s="97">
        <v>39359</v>
      </c>
      <c r="L37" s="14">
        <v>110420</v>
      </c>
      <c r="M37" s="14">
        <v>3965.7240536134759</v>
      </c>
      <c r="N37" s="14">
        <v>437895250</v>
      </c>
      <c r="O37" s="14">
        <v>187677982</v>
      </c>
      <c r="P37" s="14">
        <f t="shared" si="1"/>
        <v>250217268</v>
      </c>
      <c r="Q37" s="14"/>
      <c r="R37" s="14"/>
      <c r="S37" s="14"/>
      <c r="T37" s="14" t="s">
        <v>586</v>
      </c>
      <c r="U37" s="320"/>
      <c r="V37" s="14"/>
      <c r="W37" s="13"/>
    </row>
    <row r="38" spans="1:23" s="26" customFormat="1">
      <c r="A38" s="55" t="s">
        <v>571</v>
      </c>
      <c r="B38" s="31" t="s">
        <v>578</v>
      </c>
      <c r="C38" s="31" t="s">
        <v>581</v>
      </c>
      <c r="D38" s="14" t="s">
        <v>579</v>
      </c>
      <c r="E38" s="14"/>
      <c r="F38" s="45"/>
      <c r="G38" s="14"/>
      <c r="H38" s="14"/>
      <c r="I38" s="14"/>
      <c r="J38" s="31"/>
      <c r="K38" s="97">
        <v>39360</v>
      </c>
      <c r="L38" s="14">
        <v>88620</v>
      </c>
      <c r="M38" s="14">
        <v>3891.0240352064998</v>
      </c>
      <c r="N38" s="14">
        <v>344822550</v>
      </c>
      <c r="O38" s="14">
        <v>150625093</v>
      </c>
      <c r="P38" s="14">
        <f t="shared" si="1"/>
        <v>194197457</v>
      </c>
      <c r="Q38" s="14"/>
      <c r="R38" s="14"/>
      <c r="S38" s="14"/>
      <c r="T38" s="14" t="s">
        <v>586</v>
      </c>
      <c r="U38" s="320"/>
      <c r="V38" s="14"/>
      <c r="W38" s="13"/>
    </row>
    <row r="39" spans="1:23" s="26" customFormat="1">
      <c r="A39" s="55" t="s">
        <v>571</v>
      </c>
      <c r="B39" s="31" t="s">
        <v>578</v>
      </c>
      <c r="C39" s="36" t="s">
        <v>581</v>
      </c>
      <c r="D39" s="11" t="s">
        <v>579</v>
      </c>
      <c r="E39" s="11"/>
      <c r="F39" s="46"/>
      <c r="G39" s="11"/>
      <c r="H39" s="11"/>
      <c r="I39" s="11"/>
      <c r="J39" s="36"/>
      <c r="K39" s="98">
        <v>39363</v>
      </c>
      <c r="L39" s="11">
        <v>8</v>
      </c>
      <c r="M39" s="11">
        <v>3565</v>
      </c>
      <c r="N39" s="11">
        <v>28520</v>
      </c>
      <c r="O39" s="11">
        <f>13597+1</f>
        <v>13598</v>
      </c>
      <c r="P39" s="11">
        <f t="shared" si="1"/>
        <v>14922</v>
      </c>
      <c r="Q39" s="11"/>
      <c r="R39" s="11">
        <f>+SUM(I13:I39)-SUM(O13:O39)</f>
        <v>-0.15096282958984375</v>
      </c>
      <c r="S39" s="11"/>
      <c r="T39" s="11" t="s">
        <v>586</v>
      </c>
      <c r="U39" s="321"/>
      <c r="V39" s="11"/>
      <c r="W39" s="13"/>
    </row>
    <row r="40" spans="1:23" s="26" customFormat="1">
      <c r="A40" s="55" t="s">
        <v>571</v>
      </c>
      <c r="B40" s="31" t="s">
        <v>578</v>
      </c>
      <c r="C40" s="31" t="s">
        <v>589</v>
      </c>
      <c r="D40" s="14" t="s">
        <v>590</v>
      </c>
      <c r="E40" s="14" t="s">
        <v>795</v>
      </c>
      <c r="F40" s="45">
        <v>37972</v>
      </c>
      <c r="G40" s="14">
        <v>6209984</v>
      </c>
      <c r="H40" s="14">
        <v>5733</v>
      </c>
      <c r="I40" s="14">
        <v>35602601482</v>
      </c>
      <c r="J40" s="31" t="s">
        <v>582</v>
      </c>
      <c r="K40" s="45">
        <v>38182</v>
      </c>
      <c r="L40" s="14">
        <v>1465500</v>
      </c>
      <c r="M40" s="14">
        <v>6340</v>
      </c>
      <c r="N40" s="14">
        <v>9291270000</v>
      </c>
      <c r="O40" s="14">
        <v>8401891611</v>
      </c>
      <c r="P40" s="14">
        <f>+N40-O40</f>
        <v>889378389</v>
      </c>
      <c r="Q40" s="14"/>
      <c r="R40" s="14"/>
      <c r="S40" s="14"/>
      <c r="T40" s="14" t="s">
        <v>583</v>
      </c>
      <c r="U40" s="320"/>
      <c r="V40" s="14"/>
      <c r="W40" s="13"/>
    </row>
    <row r="41" spans="1:23" s="26" customFormat="1">
      <c r="A41" s="55" t="s">
        <v>571</v>
      </c>
      <c r="B41" s="31" t="s">
        <v>578</v>
      </c>
      <c r="C41" s="31" t="s">
        <v>589</v>
      </c>
      <c r="D41" s="14" t="s">
        <v>590</v>
      </c>
      <c r="E41" s="14"/>
      <c r="F41" s="45"/>
      <c r="G41" s="14"/>
      <c r="H41" s="14"/>
      <c r="I41" s="14"/>
      <c r="J41" s="31"/>
      <c r="K41" s="45">
        <v>39259</v>
      </c>
      <c r="L41" s="14">
        <v>4744484</v>
      </c>
      <c r="M41" s="14">
        <v>7500</v>
      </c>
      <c r="N41" s="14">
        <v>35583630000</v>
      </c>
      <c r="O41" s="14">
        <v>27200709871</v>
      </c>
      <c r="P41" s="14">
        <f>+N41-O41</f>
        <v>8382920129</v>
      </c>
      <c r="Q41" s="14"/>
      <c r="R41" s="14">
        <f>+SUM(I40:I41)-SUM(O40:O41)</f>
        <v>0</v>
      </c>
      <c r="S41" s="14"/>
      <c r="T41" s="14" t="s">
        <v>583</v>
      </c>
      <c r="U41" s="320"/>
      <c r="V41" s="14"/>
      <c r="W41" s="13"/>
    </row>
    <row r="42" spans="1:23" s="26" customFormat="1">
      <c r="A42" s="55" t="s">
        <v>571</v>
      </c>
      <c r="B42" s="36" t="s">
        <v>542</v>
      </c>
      <c r="C42" s="151" t="s">
        <v>577</v>
      </c>
      <c r="D42" s="147"/>
      <c r="E42" s="147"/>
      <c r="F42" s="148"/>
      <c r="G42" s="147"/>
      <c r="H42" s="147"/>
      <c r="I42" s="147">
        <f>SUM(I8:I41)</f>
        <v>66445387764</v>
      </c>
      <c r="J42" s="151"/>
      <c r="K42" s="148"/>
      <c r="L42" s="147"/>
      <c r="M42" s="147"/>
      <c r="N42" s="147">
        <f>SUM(N8:N41)</f>
        <v>85163405238</v>
      </c>
      <c r="O42" s="147">
        <f>SUM(O8:O41)</f>
        <v>66445387764.150963</v>
      </c>
      <c r="P42" s="147">
        <f>SUM(P8:P41)</f>
        <v>18718017473.849037</v>
      </c>
      <c r="Q42" s="147">
        <f>SUM(Q10:Q41)</f>
        <v>0</v>
      </c>
      <c r="R42" s="147">
        <f>SUM(R8:R41)</f>
        <v>-0.15096282958984375</v>
      </c>
      <c r="S42" s="147"/>
      <c r="T42" s="147"/>
      <c r="U42" s="151"/>
      <c r="V42" s="147"/>
      <c r="W42" s="13"/>
    </row>
    <row r="43" spans="1:23">
      <c r="A43" s="19" t="s">
        <v>571</v>
      </c>
      <c r="B43" s="19" t="s">
        <v>591</v>
      </c>
      <c r="C43" s="151" t="s">
        <v>581</v>
      </c>
      <c r="D43" s="147" t="s">
        <v>592</v>
      </c>
      <c r="E43" s="147"/>
      <c r="F43" s="148">
        <v>37340</v>
      </c>
      <c r="G43" s="147">
        <v>1000000</v>
      </c>
      <c r="H43" s="147">
        <v>5000</v>
      </c>
      <c r="I43" s="147">
        <v>5000000000</v>
      </c>
      <c r="J43" s="151" t="s">
        <v>584</v>
      </c>
      <c r="K43" s="148">
        <v>37741</v>
      </c>
      <c r="L43" s="147">
        <v>1000000</v>
      </c>
      <c r="M43" s="147">
        <f>+N43/L43</f>
        <v>17865</v>
      </c>
      <c r="N43" s="147">
        <v>17865000000</v>
      </c>
      <c r="O43" s="147">
        <v>5000000000</v>
      </c>
      <c r="P43" s="147">
        <f>+N43-O43</f>
        <v>12865000000</v>
      </c>
      <c r="Q43" s="147"/>
      <c r="R43" s="147">
        <f>+I43-O43</f>
        <v>0</v>
      </c>
      <c r="S43" s="147"/>
      <c r="T43" s="147" t="s">
        <v>593</v>
      </c>
      <c r="U43" s="151"/>
      <c r="V43" s="147"/>
      <c r="W43" s="13"/>
    </row>
    <row r="44" spans="1:23" s="26" customFormat="1">
      <c r="A44" s="55" t="s">
        <v>571</v>
      </c>
      <c r="B44" s="31" t="s">
        <v>594</v>
      </c>
      <c r="C44" s="31" t="s">
        <v>573</v>
      </c>
      <c r="D44" s="20" t="s">
        <v>595</v>
      </c>
      <c r="E44" s="20"/>
      <c r="F44" s="44">
        <v>37644</v>
      </c>
      <c r="G44" s="20">
        <v>0</v>
      </c>
      <c r="H44" s="20">
        <v>0</v>
      </c>
      <c r="I44" s="20">
        <v>6555858147</v>
      </c>
      <c r="J44" s="25" t="s">
        <v>596</v>
      </c>
      <c r="K44" s="44">
        <v>37986</v>
      </c>
      <c r="L44" s="20">
        <v>0</v>
      </c>
      <c r="M44" s="20">
        <v>0</v>
      </c>
      <c r="N44" s="20">
        <v>1556935560</v>
      </c>
      <c r="O44" s="20">
        <v>914005303</v>
      </c>
      <c r="P44" s="14">
        <f>+N44-O44</f>
        <v>642930257</v>
      </c>
      <c r="Q44" s="14"/>
      <c r="R44" s="20"/>
      <c r="S44" s="20"/>
      <c r="T44" s="20" t="s">
        <v>576</v>
      </c>
      <c r="U44" s="319"/>
      <c r="V44" s="20"/>
      <c r="W44" s="13"/>
    </row>
    <row r="45" spans="1:23" s="26" customFormat="1">
      <c r="A45" s="55" t="s">
        <v>571</v>
      </c>
      <c r="B45" s="31" t="s">
        <v>594</v>
      </c>
      <c r="C45" s="31" t="s">
        <v>573</v>
      </c>
      <c r="D45" s="14" t="s">
        <v>595</v>
      </c>
      <c r="E45" s="14"/>
      <c r="F45" s="45"/>
      <c r="G45" s="14"/>
      <c r="H45" s="14"/>
      <c r="I45" s="14"/>
      <c r="J45" s="31"/>
      <c r="K45" s="45">
        <v>38352</v>
      </c>
      <c r="L45" s="14">
        <v>0</v>
      </c>
      <c r="M45" s="14">
        <v>0</v>
      </c>
      <c r="N45" s="14">
        <v>1882187263</v>
      </c>
      <c r="O45" s="14">
        <v>1626258517</v>
      </c>
      <c r="P45" s="14">
        <f t="shared" ref="P45:P53" si="2">+N45-O45</f>
        <v>255928746</v>
      </c>
      <c r="Q45" s="14"/>
      <c r="R45" s="14"/>
      <c r="S45" s="14"/>
      <c r="T45" s="14" t="s">
        <v>576</v>
      </c>
      <c r="U45" s="320"/>
      <c r="V45" s="14"/>
      <c r="W45" s="13"/>
    </row>
    <row r="46" spans="1:23" s="26" customFormat="1">
      <c r="A46" s="55" t="s">
        <v>571</v>
      </c>
      <c r="B46" s="31" t="s">
        <v>594</v>
      </c>
      <c r="C46" s="31" t="s">
        <v>573</v>
      </c>
      <c r="D46" s="11" t="s">
        <v>595</v>
      </c>
      <c r="E46" s="11"/>
      <c r="F46" s="46"/>
      <c r="G46" s="11"/>
      <c r="H46" s="11"/>
      <c r="I46" s="11"/>
      <c r="J46" s="36"/>
      <c r="K46" s="46">
        <v>38411</v>
      </c>
      <c r="L46" s="11">
        <v>0</v>
      </c>
      <c r="M46" s="11">
        <v>0</v>
      </c>
      <c r="N46" s="11">
        <v>4015594327</v>
      </c>
      <c r="O46" s="11">
        <v>4015594327</v>
      </c>
      <c r="P46" s="14">
        <f t="shared" si="2"/>
        <v>0</v>
      </c>
      <c r="Q46" s="11"/>
      <c r="R46" s="11">
        <f>+SUM(I44:I46)-SUM(O44:O46)</f>
        <v>0</v>
      </c>
      <c r="S46" s="11"/>
      <c r="T46" s="11" t="s">
        <v>576</v>
      </c>
      <c r="U46" s="321"/>
      <c r="V46" s="11"/>
      <c r="W46" s="13"/>
    </row>
    <row r="47" spans="1:23" s="26" customFormat="1">
      <c r="A47" s="55" t="s">
        <v>571</v>
      </c>
      <c r="B47" s="31" t="s">
        <v>594</v>
      </c>
      <c r="C47" s="25" t="s">
        <v>573</v>
      </c>
      <c r="D47" s="20" t="s">
        <v>597</v>
      </c>
      <c r="E47" s="20"/>
      <c r="F47" s="44">
        <v>37644</v>
      </c>
      <c r="G47" s="20">
        <v>0</v>
      </c>
      <c r="H47" s="20">
        <v>0</v>
      </c>
      <c r="I47" s="20">
        <v>3516457799</v>
      </c>
      <c r="J47" s="25" t="s">
        <v>596</v>
      </c>
      <c r="K47" s="44">
        <v>37986</v>
      </c>
      <c r="L47" s="20">
        <v>0</v>
      </c>
      <c r="M47" s="20">
        <v>0</v>
      </c>
      <c r="N47" s="20">
        <v>1158205768</v>
      </c>
      <c r="O47" s="20">
        <v>813348226</v>
      </c>
      <c r="P47" s="20">
        <f t="shared" si="2"/>
        <v>344857542</v>
      </c>
      <c r="Q47" s="14"/>
      <c r="R47" s="20"/>
      <c r="S47" s="20"/>
      <c r="T47" s="20" t="s">
        <v>576</v>
      </c>
      <c r="U47" s="319"/>
      <c r="V47" s="20"/>
      <c r="W47" s="13"/>
    </row>
    <row r="48" spans="1:23" s="26" customFormat="1">
      <c r="A48" s="55" t="s">
        <v>571</v>
      </c>
      <c r="B48" s="31" t="s">
        <v>594</v>
      </c>
      <c r="C48" s="31" t="s">
        <v>573</v>
      </c>
      <c r="D48" s="14" t="s">
        <v>597</v>
      </c>
      <c r="E48" s="14"/>
      <c r="F48" s="45"/>
      <c r="G48" s="14"/>
      <c r="H48" s="14"/>
      <c r="I48" s="14"/>
      <c r="J48" s="31"/>
      <c r="K48" s="45">
        <v>38352</v>
      </c>
      <c r="L48" s="14">
        <v>0</v>
      </c>
      <c r="M48" s="14">
        <v>0</v>
      </c>
      <c r="N48" s="14">
        <v>1618205768</v>
      </c>
      <c r="O48" s="14">
        <v>1500000000</v>
      </c>
      <c r="P48" s="14">
        <f t="shared" si="2"/>
        <v>118205768</v>
      </c>
      <c r="Q48" s="14"/>
      <c r="R48" s="14"/>
      <c r="S48" s="14"/>
      <c r="T48" s="14" t="s">
        <v>576</v>
      </c>
      <c r="U48" s="320"/>
      <c r="V48" s="14"/>
      <c r="W48" s="13"/>
    </row>
    <row r="49" spans="1:23" s="26" customFormat="1">
      <c r="A49" s="55" t="s">
        <v>571</v>
      </c>
      <c r="B49" s="31" t="s">
        <v>594</v>
      </c>
      <c r="C49" s="36" t="s">
        <v>573</v>
      </c>
      <c r="D49" s="11" t="s">
        <v>597</v>
      </c>
      <c r="E49" s="11"/>
      <c r="F49" s="46"/>
      <c r="G49" s="11"/>
      <c r="H49" s="11"/>
      <c r="I49" s="11"/>
      <c r="J49" s="36"/>
      <c r="K49" s="46">
        <v>38411</v>
      </c>
      <c r="L49" s="11">
        <v>0</v>
      </c>
      <c r="M49" s="11">
        <v>0</v>
      </c>
      <c r="N49" s="11">
        <v>1998366087</v>
      </c>
      <c r="O49" s="11">
        <v>1203109573</v>
      </c>
      <c r="P49" s="11">
        <f t="shared" si="2"/>
        <v>795256514</v>
      </c>
      <c r="Q49" s="11"/>
      <c r="R49" s="11">
        <f>+SUM(I47:I49)-SUM(O47:O49)</f>
        <v>0</v>
      </c>
      <c r="S49" s="11"/>
      <c r="T49" s="11" t="s">
        <v>576</v>
      </c>
      <c r="U49" s="321"/>
      <c r="V49" s="11"/>
      <c r="W49" s="13"/>
    </row>
    <row r="50" spans="1:23" s="26" customFormat="1">
      <c r="A50" s="55" t="s">
        <v>571</v>
      </c>
      <c r="B50" s="36" t="s">
        <v>544</v>
      </c>
      <c r="C50" s="139" t="s">
        <v>577</v>
      </c>
      <c r="D50" s="154"/>
      <c r="E50" s="154"/>
      <c r="F50" s="153"/>
      <c r="G50" s="154"/>
      <c r="H50" s="154"/>
      <c r="I50" s="154">
        <f>SUM(I44:I49)</f>
        <v>10072315946</v>
      </c>
      <c r="J50" s="132"/>
      <c r="K50" s="153"/>
      <c r="L50" s="154"/>
      <c r="M50" s="154"/>
      <c r="N50" s="154">
        <f>SUM(N44:N49)</f>
        <v>12229494773</v>
      </c>
      <c r="O50" s="154">
        <f>SUM(O44:O49)</f>
        <v>10072315946</v>
      </c>
      <c r="P50" s="154">
        <f>SUM(P44:P49)</f>
        <v>2157178827</v>
      </c>
      <c r="Q50" s="154">
        <f>SUM(Q44:Q49)</f>
        <v>0</v>
      </c>
      <c r="R50" s="154">
        <f>SUM(R44:R49)</f>
        <v>0</v>
      </c>
      <c r="S50" s="154"/>
      <c r="T50" s="154"/>
      <c r="U50" s="132"/>
      <c r="V50" s="154"/>
      <c r="W50" s="13"/>
    </row>
    <row r="51" spans="1:23" s="26" customFormat="1">
      <c r="A51" s="19" t="s">
        <v>571</v>
      </c>
      <c r="B51" s="19" t="s">
        <v>598</v>
      </c>
      <c r="C51" s="151" t="s">
        <v>573</v>
      </c>
      <c r="D51" s="147" t="s">
        <v>595</v>
      </c>
      <c r="E51" s="147"/>
      <c r="F51" s="148">
        <v>37690</v>
      </c>
      <c r="G51" s="147">
        <v>0</v>
      </c>
      <c r="H51" s="147">
        <v>0</v>
      </c>
      <c r="I51" s="147">
        <v>6854685918</v>
      </c>
      <c r="J51" s="151" t="s">
        <v>599</v>
      </c>
      <c r="K51" s="148">
        <v>37922</v>
      </c>
      <c r="L51" s="147">
        <v>0</v>
      </c>
      <c r="M51" s="147">
        <v>0</v>
      </c>
      <c r="N51" s="147">
        <v>9416723580</v>
      </c>
      <c r="O51" s="147">
        <v>6854685918</v>
      </c>
      <c r="P51" s="161">
        <f t="shared" si="2"/>
        <v>2562037662</v>
      </c>
      <c r="Q51" s="161"/>
      <c r="R51" s="147">
        <f>+I51-O51</f>
        <v>0</v>
      </c>
      <c r="S51" s="147"/>
      <c r="T51" s="147" t="s">
        <v>600</v>
      </c>
      <c r="U51" s="151"/>
      <c r="V51" s="147"/>
      <c r="W51" s="13"/>
    </row>
    <row r="52" spans="1:23" s="26" customFormat="1">
      <c r="A52" s="25" t="s">
        <v>571</v>
      </c>
      <c r="B52" s="25" t="s">
        <v>601</v>
      </c>
      <c r="C52" s="25" t="s">
        <v>573</v>
      </c>
      <c r="D52" s="20" t="s">
        <v>602</v>
      </c>
      <c r="E52" s="20"/>
      <c r="F52" s="44">
        <v>37984</v>
      </c>
      <c r="G52" s="20">
        <v>890000</v>
      </c>
      <c r="H52" s="20">
        <v>5000</v>
      </c>
      <c r="I52" s="20">
        <v>4450000000</v>
      </c>
      <c r="J52" s="25" t="s">
        <v>584</v>
      </c>
      <c r="K52" s="44">
        <v>38595</v>
      </c>
      <c r="L52" s="20">
        <v>890000</v>
      </c>
      <c r="M52" s="20">
        <v>11260</v>
      </c>
      <c r="N52" s="20">
        <v>10020978231</v>
      </c>
      <c r="O52" s="20">
        <v>4450000000</v>
      </c>
      <c r="P52" s="24">
        <f t="shared" si="2"/>
        <v>5570978231</v>
      </c>
      <c r="Q52" s="24"/>
      <c r="R52" s="20">
        <f>+I52-O52</f>
        <v>0</v>
      </c>
      <c r="S52" s="20"/>
      <c r="T52" s="20" t="s">
        <v>593</v>
      </c>
      <c r="U52" s="319"/>
      <c r="V52" s="20"/>
      <c r="W52" s="13"/>
    </row>
    <row r="53" spans="1:23" s="26" customFormat="1">
      <c r="A53" s="31" t="s">
        <v>571</v>
      </c>
      <c r="B53" s="31" t="s">
        <v>601</v>
      </c>
      <c r="C53" s="19" t="s">
        <v>581</v>
      </c>
      <c r="D53" s="15" t="s">
        <v>602</v>
      </c>
      <c r="E53" s="15"/>
      <c r="F53" s="42">
        <v>37984</v>
      </c>
      <c r="G53" s="15">
        <v>0</v>
      </c>
      <c r="H53" s="15">
        <v>0</v>
      </c>
      <c r="I53" s="15">
        <v>4450000000</v>
      </c>
      <c r="J53" s="19" t="s">
        <v>599</v>
      </c>
      <c r="K53" s="42">
        <v>38595</v>
      </c>
      <c r="L53" s="15">
        <v>0</v>
      </c>
      <c r="M53" s="15">
        <v>0</v>
      </c>
      <c r="N53" s="15">
        <v>4450000000</v>
      </c>
      <c r="O53" s="15">
        <v>4450000000</v>
      </c>
      <c r="P53" s="15">
        <f t="shared" si="2"/>
        <v>0</v>
      </c>
      <c r="Q53" s="37"/>
      <c r="R53" s="15">
        <f>+I53-O53</f>
        <v>0</v>
      </c>
      <c r="S53" s="15"/>
      <c r="T53" s="15" t="s">
        <v>593</v>
      </c>
      <c r="U53" s="322"/>
      <c r="V53" s="15"/>
      <c r="W53" s="13"/>
    </row>
    <row r="54" spans="1:23" s="26" customFormat="1">
      <c r="A54" s="36" t="s">
        <v>571</v>
      </c>
      <c r="B54" s="36" t="s">
        <v>545</v>
      </c>
      <c r="C54" s="138" t="s">
        <v>577</v>
      </c>
      <c r="D54" s="133"/>
      <c r="E54" s="133"/>
      <c r="F54" s="144"/>
      <c r="G54" s="133"/>
      <c r="H54" s="133"/>
      <c r="I54" s="133">
        <f>SUM(I52:I53)</f>
        <v>8900000000</v>
      </c>
      <c r="J54" s="138"/>
      <c r="K54" s="144"/>
      <c r="L54" s="133"/>
      <c r="M54" s="133"/>
      <c r="N54" s="133">
        <f>SUM(N52:N53)</f>
        <v>14470978231</v>
      </c>
      <c r="O54" s="133">
        <f>SUM(O52:O53)</f>
        <v>8900000000</v>
      </c>
      <c r="P54" s="133">
        <f>SUM(P52:P53)</f>
        <v>5570978231</v>
      </c>
      <c r="Q54" s="133">
        <f>SUM(Q52:Q53)</f>
        <v>0</v>
      </c>
      <c r="R54" s="133">
        <f>SUM(R52:R53)</f>
        <v>0</v>
      </c>
      <c r="S54" s="133"/>
      <c r="T54" s="133"/>
      <c r="U54" s="138"/>
      <c r="V54" s="133"/>
      <c r="W54" s="13"/>
    </row>
    <row r="55" spans="1:23" s="26" customFormat="1">
      <c r="A55" s="25" t="s">
        <v>603</v>
      </c>
      <c r="B55" s="31" t="s">
        <v>604</v>
      </c>
      <c r="C55" s="25" t="s">
        <v>573</v>
      </c>
      <c r="D55" s="20" t="s">
        <v>605</v>
      </c>
      <c r="E55" s="20" t="s">
        <v>795</v>
      </c>
      <c r="F55" s="44">
        <v>38015</v>
      </c>
      <c r="G55" s="20">
        <v>0</v>
      </c>
      <c r="H55" s="20">
        <v>0</v>
      </c>
      <c r="I55" s="20">
        <v>6100000000</v>
      </c>
      <c r="J55" s="25" t="s">
        <v>596</v>
      </c>
      <c r="K55" s="44">
        <v>38077</v>
      </c>
      <c r="L55" s="20">
        <v>0</v>
      </c>
      <c r="M55" s="20">
        <v>0</v>
      </c>
      <c r="N55" s="20">
        <v>311667299</v>
      </c>
      <c r="O55" s="20">
        <v>0</v>
      </c>
      <c r="P55" s="24">
        <f>+N55-O55</f>
        <v>311667299</v>
      </c>
      <c r="Q55" s="24"/>
      <c r="R55" s="20"/>
      <c r="S55" s="20"/>
      <c r="T55" s="20" t="s">
        <v>576</v>
      </c>
      <c r="U55" s="319"/>
      <c r="V55" s="20"/>
      <c r="W55" s="13"/>
    </row>
    <row r="56" spans="1:23" s="26" customFormat="1">
      <c r="A56" s="31" t="s">
        <v>603</v>
      </c>
      <c r="B56" s="31" t="s">
        <v>604</v>
      </c>
      <c r="C56" s="31" t="s">
        <v>573</v>
      </c>
      <c r="D56" s="14" t="s">
        <v>605</v>
      </c>
      <c r="E56" s="14"/>
      <c r="F56" s="45">
        <v>38016</v>
      </c>
      <c r="G56" s="14">
        <v>0</v>
      </c>
      <c r="H56" s="14">
        <v>0</v>
      </c>
      <c r="I56" s="14">
        <v>345496706</v>
      </c>
      <c r="J56" s="31" t="s">
        <v>596</v>
      </c>
      <c r="K56" s="45">
        <v>38665</v>
      </c>
      <c r="L56" s="14">
        <v>0</v>
      </c>
      <c r="M56" s="14">
        <v>0</v>
      </c>
      <c r="N56" s="14">
        <v>4473006601</v>
      </c>
      <c r="O56" s="14">
        <v>4473006601</v>
      </c>
      <c r="P56" s="14">
        <f>+N56-O56</f>
        <v>0</v>
      </c>
      <c r="Q56" s="30"/>
      <c r="R56" s="14"/>
      <c r="S56" s="14"/>
      <c r="T56" s="14" t="s">
        <v>576</v>
      </c>
      <c r="U56" s="320"/>
      <c r="V56" s="14"/>
      <c r="W56" s="13"/>
    </row>
    <row r="57" spans="1:23" s="26" customFormat="1">
      <c r="A57" s="31" t="s">
        <v>603</v>
      </c>
      <c r="B57" s="31" t="s">
        <v>604</v>
      </c>
      <c r="C57" s="31" t="s">
        <v>573</v>
      </c>
      <c r="D57" s="14" t="s">
        <v>605</v>
      </c>
      <c r="E57" s="14"/>
      <c r="F57" s="45">
        <v>38021</v>
      </c>
      <c r="G57" s="14">
        <v>0</v>
      </c>
      <c r="H57" s="14">
        <v>0</v>
      </c>
      <c r="I57" s="14">
        <f>32275400-361920</f>
        <v>31913480</v>
      </c>
      <c r="J57" s="31" t="s">
        <v>596</v>
      </c>
      <c r="K57" s="45">
        <v>38776</v>
      </c>
      <c r="L57" s="14">
        <v>0</v>
      </c>
      <c r="M57" s="14">
        <v>0</v>
      </c>
      <c r="N57" s="14">
        <v>5773112605</v>
      </c>
      <c r="O57" s="14">
        <v>2615603585</v>
      </c>
      <c r="P57" s="30">
        <f>+N57-O57</f>
        <v>3157509020</v>
      </c>
      <c r="Q57" s="30"/>
      <c r="R57" s="14"/>
      <c r="S57" s="14"/>
      <c r="T57" s="14" t="s">
        <v>576</v>
      </c>
      <c r="U57" s="320"/>
      <c r="V57" s="14"/>
      <c r="W57" s="13"/>
    </row>
    <row r="58" spans="1:23" s="26" customFormat="1">
      <c r="A58" s="31" t="s">
        <v>603</v>
      </c>
      <c r="B58" s="31" t="s">
        <v>604</v>
      </c>
      <c r="C58" s="31" t="s">
        <v>573</v>
      </c>
      <c r="D58" s="14" t="s">
        <v>605</v>
      </c>
      <c r="E58" s="14"/>
      <c r="F58" s="45">
        <v>38036</v>
      </c>
      <c r="G58" s="14">
        <v>0</v>
      </c>
      <c r="H58" s="14">
        <v>0</v>
      </c>
      <c r="I58" s="14">
        <v>50000000</v>
      </c>
      <c r="J58" s="31" t="s">
        <v>596</v>
      </c>
      <c r="K58" s="45"/>
      <c r="L58" s="14"/>
      <c r="M58" s="14"/>
      <c r="N58" s="14"/>
      <c r="O58" s="14"/>
      <c r="P58" s="30"/>
      <c r="Q58" s="30"/>
      <c r="R58" s="14"/>
      <c r="S58" s="14"/>
      <c r="T58" s="14"/>
      <c r="U58" s="320"/>
      <c r="V58" s="14"/>
      <c r="W58" s="13"/>
    </row>
    <row r="59" spans="1:23" s="26" customFormat="1">
      <c r="A59" s="31" t="s">
        <v>603</v>
      </c>
      <c r="B59" s="31" t="s">
        <v>604</v>
      </c>
      <c r="C59" s="31" t="s">
        <v>573</v>
      </c>
      <c r="D59" s="14" t="s">
        <v>605</v>
      </c>
      <c r="E59" s="14"/>
      <c r="F59" s="45">
        <v>38187</v>
      </c>
      <c r="G59" s="14">
        <v>0</v>
      </c>
      <c r="H59" s="14">
        <v>0</v>
      </c>
      <c r="I59" s="14">
        <v>350000000</v>
      </c>
      <c r="J59" s="31" t="s">
        <v>596</v>
      </c>
      <c r="K59" s="45"/>
      <c r="L59" s="14"/>
      <c r="M59" s="14"/>
      <c r="N59" s="14"/>
      <c r="O59" s="14"/>
      <c r="P59" s="30"/>
      <c r="Q59" s="30"/>
      <c r="R59" s="14"/>
      <c r="S59" s="14"/>
      <c r="T59" s="14"/>
      <c r="U59" s="320"/>
      <c r="V59" s="14"/>
      <c r="W59" s="13"/>
    </row>
    <row r="60" spans="1:23" s="26" customFormat="1">
      <c r="A60" s="31" t="s">
        <v>603</v>
      </c>
      <c r="B60" s="31" t="s">
        <v>604</v>
      </c>
      <c r="C60" s="31" t="s">
        <v>573</v>
      </c>
      <c r="D60" s="14" t="s">
        <v>605</v>
      </c>
      <c r="E60" s="14"/>
      <c r="F60" s="45">
        <v>38198</v>
      </c>
      <c r="G60" s="14">
        <v>0</v>
      </c>
      <c r="H60" s="14">
        <v>0</v>
      </c>
      <c r="I60" s="14">
        <v>181200000</v>
      </c>
      <c r="J60" s="31" t="s">
        <v>596</v>
      </c>
      <c r="K60" s="45"/>
      <c r="L60" s="14"/>
      <c r="M60" s="14"/>
      <c r="N60" s="14"/>
      <c r="O60" s="14"/>
      <c r="P60" s="30"/>
      <c r="Q60" s="30"/>
      <c r="R60" s="14"/>
      <c r="S60" s="14"/>
      <c r="T60" s="14"/>
      <c r="U60" s="320"/>
      <c r="V60" s="14"/>
      <c r="W60" s="13"/>
    </row>
    <row r="61" spans="1:23" s="26" customFormat="1">
      <c r="A61" s="31" t="s">
        <v>603</v>
      </c>
      <c r="B61" s="31" t="s">
        <v>604</v>
      </c>
      <c r="C61" s="36" t="s">
        <v>573</v>
      </c>
      <c r="D61" s="11" t="s">
        <v>605</v>
      </c>
      <c r="E61" s="11"/>
      <c r="F61" s="46">
        <v>38212</v>
      </c>
      <c r="G61" s="11">
        <v>0</v>
      </c>
      <c r="H61" s="11">
        <v>0</v>
      </c>
      <c r="I61" s="11">
        <v>30000000</v>
      </c>
      <c r="J61" s="36" t="s">
        <v>596</v>
      </c>
      <c r="K61" s="46"/>
      <c r="L61" s="11"/>
      <c r="M61" s="11"/>
      <c r="N61" s="11"/>
      <c r="O61" s="11"/>
      <c r="P61" s="35"/>
      <c r="Q61" s="35"/>
      <c r="R61" s="11">
        <f>+SUM(I55:I61)-SUM(O55:O61)</f>
        <v>0</v>
      </c>
      <c r="S61" s="11"/>
      <c r="T61" s="11"/>
      <c r="U61" s="321"/>
      <c r="V61" s="11"/>
      <c r="W61" s="13"/>
    </row>
    <row r="62" spans="1:23" s="26" customFormat="1">
      <c r="A62" s="31" t="s">
        <v>603</v>
      </c>
      <c r="B62" s="31" t="s">
        <v>604</v>
      </c>
      <c r="C62" s="19" t="s">
        <v>581</v>
      </c>
      <c r="D62" s="15" t="s">
        <v>606</v>
      </c>
      <c r="E62" s="15"/>
      <c r="F62" s="42">
        <v>38071</v>
      </c>
      <c r="G62" s="15">
        <v>100000</v>
      </c>
      <c r="H62" s="15">
        <v>20000</v>
      </c>
      <c r="I62" s="15">
        <v>2000000000</v>
      </c>
      <c r="J62" s="19" t="s">
        <v>584</v>
      </c>
      <c r="K62" s="42">
        <v>38387</v>
      </c>
      <c r="L62" s="15">
        <v>100000</v>
      </c>
      <c r="M62" s="15">
        <f>+N62/L62</f>
        <v>20562.37</v>
      </c>
      <c r="N62" s="15">
        <v>2056237000</v>
      </c>
      <c r="O62" s="15">
        <v>2000000000</v>
      </c>
      <c r="P62" s="37">
        <f>+N62-O62</f>
        <v>56237000</v>
      </c>
      <c r="Q62" s="37"/>
      <c r="R62" s="15">
        <f>+I62-O62</f>
        <v>0</v>
      </c>
      <c r="S62" s="15"/>
      <c r="T62" s="15" t="s">
        <v>600</v>
      </c>
      <c r="U62" s="322" t="s">
        <v>801</v>
      </c>
      <c r="V62" s="15"/>
      <c r="W62" s="13"/>
    </row>
    <row r="63" spans="1:23" s="26" customFormat="1">
      <c r="A63" s="31" t="s">
        <v>603</v>
      </c>
      <c r="B63" s="31" t="s">
        <v>604</v>
      </c>
      <c r="C63" s="25" t="s">
        <v>573</v>
      </c>
      <c r="D63" s="20" t="s">
        <v>606</v>
      </c>
      <c r="E63" s="20"/>
      <c r="F63" s="44">
        <v>38071</v>
      </c>
      <c r="G63" s="20"/>
      <c r="H63" s="20"/>
      <c r="I63" s="20">
        <v>2000000000</v>
      </c>
      <c r="J63" s="25" t="s">
        <v>599</v>
      </c>
      <c r="K63" s="44">
        <v>38077</v>
      </c>
      <c r="L63" s="20"/>
      <c r="M63" s="20"/>
      <c r="N63" s="20">
        <v>575342</v>
      </c>
      <c r="O63" s="20">
        <v>0</v>
      </c>
      <c r="P63" s="24">
        <f t="shared" ref="P63:P70" si="3">+N63-O63</f>
        <v>575342</v>
      </c>
      <c r="Q63" s="24"/>
      <c r="R63" s="20"/>
      <c r="S63" s="20"/>
      <c r="T63" s="20" t="s">
        <v>607</v>
      </c>
      <c r="U63" s="319" t="s">
        <v>801</v>
      </c>
      <c r="V63" s="20"/>
      <c r="W63" s="13"/>
    </row>
    <row r="64" spans="1:23" s="26" customFormat="1">
      <c r="A64" s="31" t="s">
        <v>603</v>
      </c>
      <c r="B64" s="31" t="s">
        <v>604</v>
      </c>
      <c r="C64" s="31" t="s">
        <v>573</v>
      </c>
      <c r="D64" s="14" t="s">
        <v>606</v>
      </c>
      <c r="E64" s="14"/>
      <c r="F64" s="45"/>
      <c r="G64" s="14"/>
      <c r="H64" s="14"/>
      <c r="I64" s="14"/>
      <c r="J64" s="31"/>
      <c r="K64" s="45">
        <v>38168</v>
      </c>
      <c r="L64" s="14"/>
      <c r="M64" s="14"/>
      <c r="N64" s="14">
        <v>7397260</v>
      </c>
      <c r="O64" s="14">
        <v>0</v>
      </c>
      <c r="P64" s="30">
        <f t="shared" si="3"/>
        <v>7397260</v>
      </c>
      <c r="Q64" s="30"/>
      <c r="R64" s="14"/>
      <c r="S64" s="14"/>
      <c r="T64" s="14" t="s">
        <v>607</v>
      </c>
      <c r="U64" s="320" t="s">
        <v>801</v>
      </c>
      <c r="V64" s="14"/>
      <c r="W64" s="13"/>
    </row>
    <row r="65" spans="1:26" s="26" customFormat="1">
      <c r="A65" s="31" t="s">
        <v>603</v>
      </c>
      <c r="B65" s="31" t="s">
        <v>604</v>
      </c>
      <c r="C65" s="31" t="s">
        <v>573</v>
      </c>
      <c r="D65" s="14" t="s">
        <v>606</v>
      </c>
      <c r="E65" s="14"/>
      <c r="F65" s="45"/>
      <c r="G65" s="14"/>
      <c r="H65" s="14"/>
      <c r="I65" s="14"/>
      <c r="J65" s="31"/>
      <c r="K65" s="45">
        <v>38265</v>
      </c>
      <c r="L65" s="14"/>
      <c r="M65" s="14"/>
      <c r="N65" s="14">
        <v>7592718</v>
      </c>
      <c r="O65" s="14">
        <v>0</v>
      </c>
      <c r="P65" s="30">
        <f t="shared" si="3"/>
        <v>7592718</v>
      </c>
      <c r="Q65" s="30"/>
      <c r="R65" s="14"/>
      <c r="S65" s="14"/>
      <c r="T65" s="14" t="s">
        <v>607</v>
      </c>
      <c r="U65" s="320" t="s">
        <v>801</v>
      </c>
      <c r="V65" s="14"/>
      <c r="W65" s="13"/>
    </row>
    <row r="66" spans="1:26" s="26" customFormat="1">
      <c r="A66" s="31" t="s">
        <v>603</v>
      </c>
      <c r="B66" s="31" t="s">
        <v>604</v>
      </c>
      <c r="C66" s="31" t="s">
        <v>573</v>
      </c>
      <c r="D66" s="14" t="s">
        <v>606</v>
      </c>
      <c r="E66" s="14"/>
      <c r="F66" s="45"/>
      <c r="G66" s="14"/>
      <c r="H66" s="14"/>
      <c r="I66" s="14"/>
      <c r="J66" s="31"/>
      <c r="K66" s="45">
        <v>38321</v>
      </c>
      <c r="L66" s="14"/>
      <c r="M66" s="14"/>
      <c r="N66" s="14">
        <v>500000000</v>
      </c>
      <c r="O66" s="14">
        <v>500000000</v>
      </c>
      <c r="P66" s="14">
        <f t="shared" si="3"/>
        <v>0</v>
      </c>
      <c r="Q66" s="30"/>
      <c r="R66" s="14"/>
      <c r="S66" s="14"/>
      <c r="T66" s="14" t="s">
        <v>600</v>
      </c>
      <c r="U66" s="320" t="s">
        <v>801</v>
      </c>
      <c r="V66" s="14"/>
      <c r="W66" s="13"/>
    </row>
    <row r="67" spans="1:26" s="26" customFormat="1">
      <c r="A67" s="31" t="s">
        <v>603</v>
      </c>
      <c r="B67" s="31" t="s">
        <v>604</v>
      </c>
      <c r="C67" s="31" t="s">
        <v>573</v>
      </c>
      <c r="D67" s="14" t="s">
        <v>606</v>
      </c>
      <c r="E67" s="14"/>
      <c r="F67" s="45"/>
      <c r="G67" s="14"/>
      <c r="H67" s="14"/>
      <c r="I67" s="14"/>
      <c r="J67" s="31"/>
      <c r="K67" s="45">
        <v>38327</v>
      </c>
      <c r="L67" s="14"/>
      <c r="M67" s="14"/>
      <c r="N67" s="14">
        <v>500000000</v>
      </c>
      <c r="O67" s="14">
        <v>500000000</v>
      </c>
      <c r="P67" s="14">
        <f t="shared" si="3"/>
        <v>0</v>
      </c>
      <c r="Q67" s="30"/>
      <c r="R67" s="14"/>
      <c r="S67" s="14"/>
      <c r="T67" s="14" t="s">
        <v>600</v>
      </c>
      <c r="U67" s="320" t="s">
        <v>801</v>
      </c>
      <c r="V67" s="14"/>
      <c r="W67" s="13"/>
    </row>
    <row r="68" spans="1:26" s="26" customFormat="1">
      <c r="A68" s="31" t="s">
        <v>603</v>
      </c>
      <c r="B68" s="31" t="s">
        <v>604</v>
      </c>
      <c r="C68" s="31" t="s">
        <v>573</v>
      </c>
      <c r="D68" s="14" t="s">
        <v>606</v>
      </c>
      <c r="E68" s="14"/>
      <c r="F68" s="45"/>
      <c r="G68" s="14"/>
      <c r="H68" s="14"/>
      <c r="I68" s="14"/>
      <c r="J68" s="31"/>
      <c r="K68" s="45">
        <v>38371</v>
      </c>
      <c r="L68" s="14"/>
      <c r="M68" s="14"/>
      <c r="N68" s="14">
        <v>1000000000</v>
      </c>
      <c r="O68" s="14">
        <v>1000000000</v>
      </c>
      <c r="P68" s="14">
        <f t="shared" si="3"/>
        <v>0</v>
      </c>
      <c r="Q68" s="30"/>
      <c r="R68" s="14"/>
      <c r="S68" s="14"/>
      <c r="T68" s="14" t="s">
        <v>600</v>
      </c>
      <c r="U68" s="320" t="s">
        <v>801</v>
      </c>
      <c r="V68" s="14"/>
      <c r="W68" s="13"/>
    </row>
    <row r="69" spans="1:26" s="26" customFormat="1">
      <c r="A69" s="31" t="s">
        <v>603</v>
      </c>
      <c r="B69" s="31" t="s">
        <v>604</v>
      </c>
      <c r="C69" s="36" t="s">
        <v>573</v>
      </c>
      <c r="D69" s="11" t="s">
        <v>606</v>
      </c>
      <c r="E69" s="11"/>
      <c r="F69" s="46"/>
      <c r="G69" s="11"/>
      <c r="H69" s="11"/>
      <c r="I69" s="11"/>
      <c r="J69" s="36"/>
      <c r="K69" s="46">
        <v>38386</v>
      </c>
      <c r="L69" s="11"/>
      <c r="M69" s="11"/>
      <c r="N69" s="11">
        <v>200000000</v>
      </c>
      <c r="O69" s="11">
        <v>0</v>
      </c>
      <c r="P69" s="35">
        <f t="shared" si="3"/>
        <v>200000000</v>
      </c>
      <c r="Q69" s="35"/>
      <c r="R69" s="11">
        <f>+SUM(I63:I69)-SUM(O63:O69)</f>
        <v>0</v>
      </c>
      <c r="S69" s="11"/>
      <c r="T69" s="11" t="s">
        <v>600</v>
      </c>
      <c r="U69" s="321" t="s">
        <v>801</v>
      </c>
      <c r="V69" s="11"/>
      <c r="W69" s="13"/>
    </row>
    <row r="70" spans="1:26" s="26" customFormat="1">
      <c r="A70" s="31" t="s">
        <v>603</v>
      </c>
      <c r="B70" s="31" t="s">
        <v>604</v>
      </c>
      <c r="C70" s="25" t="s">
        <v>581</v>
      </c>
      <c r="D70" s="20" t="s">
        <v>608</v>
      </c>
      <c r="E70" s="20" t="s">
        <v>795</v>
      </c>
      <c r="F70" s="44">
        <v>38091</v>
      </c>
      <c r="G70" s="20">
        <v>500000</v>
      </c>
      <c r="H70" s="20">
        <v>5000</v>
      </c>
      <c r="I70" s="20">
        <v>2500000000</v>
      </c>
      <c r="J70" s="25" t="s">
        <v>584</v>
      </c>
      <c r="K70" s="44">
        <v>38600</v>
      </c>
      <c r="L70" s="20">
        <v>0</v>
      </c>
      <c r="M70" s="20">
        <v>0</v>
      </c>
      <c r="N70" s="20">
        <v>2650</v>
      </c>
      <c r="O70" s="20">
        <v>0</v>
      </c>
      <c r="P70" s="24">
        <f t="shared" si="3"/>
        <v>2650</v>
      </c>
      <c r="Q70" s="24"/>
      <c r="R70" s="20"/>
      <c r="S70" s="20"/>
      <c r="T70" s="20" t="s">
        <v>609</v>
      </c>
      <c r="U70" s="319"/>
      <c r="V70" s="20"/>
      <c r="W70" s="44">
        <v>38091</v>
      </c>
      <c r="X70" s="20">
        <v>500000</v>
      </c>
      <c r="Y70" s="20">
        <v>5000</v>
      </c>
      <c r="Z70" s="20">
        <v>-2500000000</v>
      </c>
    </row>
    <row r="71" spans="1:26" s="26" customFormat="1">
      <c r="A71" s="31" t="s">
        <v>603</v>
      </c>
      <c r="B71" s="31" t="s">
        <v>604</v>
      </c>
      <c r="C71" s="31" t="s">
        <v>581</v>
      </c>
      <c r="D71" s="14" t="s">
        <v>608</v>
      </c>
      <c r="E71" s="14"/>
      <c r="F71" s="45">
        <v>38600</v>
      </c>
      <c r="G71" s="14">
        <v>-248132</v>
      </c>
      <c r="H71" s="14"/>
      <c r="I71" s="14"/>
      <c r="J71" s="31" t="s">
        <v>610</v>
      </c>
      <c r="K71" s="45">
        <v>39157</v>
      </c>
      <c r="L71" s="14"/>
      <c r="M71" s="14"/>
      <c r="N71" s="14">
        <v>2000000000</v>
      </c>
      <c r="O71" s="14"/>
      <c r="P71" s="30"/>
      <c r="Q71" s="30"/>
      <c r="R71" s="14"/>
      <c r="S71" s="14"/>
      <c r="T71" s="14" t="s">
        <v>611</v>
      </c>
      <c r="U71" s="320"/>
      <c r="V71" s="14"/>
      <c r="W71" s="45">
        <v>38091</v>
      </c>
      <c r="X71" s="14">
        <v>0</v>
      </c>
      <c r="Y71" s="14">
        <v>0</v>
      </c>
      <c r="Z71" s="14">
        <v>-2500000000</v>
      </c>
    </row>
    <row r="72" spans="1:26" s="26" customFormat="1">
      <c r="A72" s="31" t="s">
        <v>603</v>
      </c>
      <c r="B72" s="31" t="s">
        <v>604</v>
      </c>
      <c r="C72" s="36" t="s">
        <v>581</v>
      </c>
      <c r="D72" s="11" t="s">
        <v>608</v>
      </c>
      <c r="E72" s="11"/>
      <c r="F72" s="46"/>
      <c r="G72" s="11"/>
      <c r="H72" s="11"/>
      <c r="I72" s="11"/>
      <c r="J72" s="36"/>
      <c r="K72" s="46">
        <v>39167</v>
      </c>
      <c r="L72" s="11">
        <v>251868</v>
      </c>
      <c r="M72" s="11">
        <f>+(N71+N72)/L72</f>
        <v>14986.524310353043</v>
      </c>
      <c r="N72" s="11">
        <v>1774625905</v>
      </c>
      <c r="O72" s="11">
        <v>2500000000</v>
      </c>
      <c r="P72" s="35">
        <f>+N71+N72-O72</f>
        <v>1274625905</v>
      </c>
      <c r="Q72" s="35"/>
      <c r="R72" s="11">
        <f>+SUM(I70:I72)-SUM(O70:O72)</f>
        <v>0</v>
      </c>
      <c r="S72" s="11"/>
      <c r="T72" s="11" t="s">
        <v>600</v>
      </c>
      <c r="U72" s="321"/>
      <c r="V72" s="11"/>
      <c r="W72" s="44">
        <v>38600</v>
      </c>
      <c r="X72" s="20">
        <v>0</v>
      </c>
      <c r="Y72" s="20">
        <v>0</v>
      </c>
      <c r="Z72" s="20">
        <v>2650</v>
      </c>
    </row>
    <row r="73" spans="1:26" s="26" customFormat="1">
      <c r="A73" s="31" t="s">
        <v>603</v>
      </c>
      <c r="B73" s="31" t="s">
        <v>604</v>
      </c>
      <c r="C73" s="31" t="s">
        <v>573</v>
      </c>
      <c r="D73" s="14" t="s">
        <v>608</v>
      </c>
      <c r="E73" s="14"/>
      <c r="F73" s="45">
        <v>38091</v>
      </c>
      <c r="G73" s="14">
        <v>0</v>
      </c>
      <c r="H73" s="14">
        <v>0</v>
      </c>
      <c r="I73" s="14">
        <v>2500000000</v>
      </c>
      <c r="J73" s="31" t="s">
        <v>599</v>
      </c>
      <c r="K73" s="96">
        <v>38182</v>
      </c>
      <c r="L73" s="95"/>
      <c r="M73" s="95"/>
      <c r="N73" s="95">
        <v>50410958</v>
      </c>
      <c r="O73" s="95">
        <v>0</v>
      </c>
      <c r="P73" s="30">
        <f>+N73-O73</f>
        <v>50410958</v>
      </c>
      <c r="Q73" s="30"/>
      <c r="R73" s="14"/>
      <c r="S73" s="14"/>
      <c r="T73" s="14" t="s">
        <v>607</v>
      </c>
      <c r="U73" s="320"/>
      <c r="V73" s="14"/>
      <c r="W73" s="45">
        <v>39157</v>
      </c>
      <c r="X73" s="14"/>
      <c r="Y73" s="14"/>
      <c r="Z73" s="14">
        <v>2000000000</v>
      </c>
    </row>
    <row r="74" spans="1:26" s="26" customFormat="1">
      <c r="A74" s="31" t="s">
        <v>603</v>
      </c>
      <c r="B74" s="31" t="s">
        <v>604</v>
      </c>
      <c r="C74" s="31" t="s">
        <v>573</v>
      </c>
      <c r="D74" s="14" t="s">
        <v>608</v>
      </c>
      <c r="E74" s="14"/>
      <c r="F74" s="45"/>
      <c r="G74" s="14"/>
      <c r="H74" s="14"/>
      <c r="I74" s="14"/>
      <c r="J74" s="31"/>
      <c r="K74" s="97">
        <v>38274</v>
      </c>
      <c r="L74" s="14"/>
      <c r="M74" s="14"/>
      <c r="N74" s="14">
        <v>49863013</v>
      </c>
      <c r="O74" s="14">
        <v>0</v>
      </c>
      <c r="P74" s="30">
        <f t="shared" ref="P74:P90" si="4">+N74-O74</f>
        <v>49863013</v>
      </c>
      <c r="Q74" s="30"/>
      <c r="R74" s="14"/>
      <c r="S74" s="14"/>
      <c r="T74" s="14" t="s">
        <v>607</v>
      </c>
      <c r="U74" s="320"/>
      <c r="V74" s="14"/>
      <c r="W74" s="46">
        <v>39167</v>
      </c>
      <c r="X74" s="11">
        <v>251868</v>
      </c>
      <c r="Y74" s="11">
        <f>+(Z73+Z74)/X74</f>
        <v>14986.524310353043</v>
      </c>
      <c r="Z74" s="11">
        <v>1774625905</v>
      </c>
    </row>
    <row r="75" spans="1:26" s="26" customFormat="1">
      <c r="A75" s="31" t="s">
        <v>603</v>
      </c>
      <c r="B75" s="31" t="s">
        <v>604</v>
      </c>
      <c r="C75" s="31" t="s">
        <v>573</v>
      </c>
      <c r="D75" s="14" t="s">
        <v>608</v>
      </c>
      <c r="E75" s="14"/>
      <c r="F75" s="45"/>
      <c r="G75" s="14"/>
      <c r="H75" s="14"/>
      <c r="I75" s="14"/>
      <c r="J75" s="31"/>
      <c r="K75" s="97">
        <v>38343</v>
      </c>
      <c r="L75" s="14"/>
      <c r="M75" s="14"/>
      <c r="N75" s="14">
        <v>1026679000</v>
      </c>
      <c r="O75" s="14">
        <v>1000000000</v>
      </c>
      <c r="P75" s="30">
        <f t="shared" si="4"/>
        <v>26679000</v>
      </c>
      <c r="Q75" s="30"/>
      <c r="R75" s="14"/>
      <c r="S75" s="14"/>
      <c r="T75" s="14" t="s">
        <v>600</v>
      </c>
      <c r="U75" s="320"/>
      <c r="V75" s="14"/>
      <c r="W75" s="96">
        <v>38182</v>
      </c>
      <c r="X75" s="95"/>
      <c r="Y75" s="95"/>
      <c r="Z75" s="95">
        <v>50410958</v>
      </c>
    </row>
    <row r="76" spans="1:26" s="26" customFormat="1">
      <c r="A76" s="31" t="s">
        <v>603</v>
      </c>
      <c r="B76" s="31" t="s">
        <v>604</v>
      </c>
      <c r="C76" s="31" t="s">
        <v>573</v>
      </c>
      <c r="D76" s="14" t="s">
        <v>608</v>
      </c>
      <c r="E76" s="14"/>
      <c r="F76" s="45"/>
      <c r="G76" s="14"/>
      <c r="H76" s="14"/>
      <c r="I76" s="14"/>
      <c r="J76" s="31"/>
      <c r="K76" s="97">
        <v>38366</v>
      </c>
      <c r="L76" s="14"/>
      <c r="M76" s="14"/>
      <c r="N76" s="14">
        <v>30246575</v>
      </c>
      <c r="O76" s="14">
        <v>0</v>
      </c>
      <c r="P76" s="30">
        <f t="shared" si="4"/>
        <v>30246575</v>
      </c>
      <c r="Q76" s="30"/>
      <c r="R76" s="14"/>
      <c r="S76" s="14"/>
      <c r="T76" s="14" t="s">
        <v>607</v>
      </c>
      <c r="U76" s="320"/>
      <c r="V76" s="14"/>
      <c r="W76" s="97">
        <v>38274</v>
      </c>
      <c r="X76" s="14"/>
      <c r="Y76" s="14"/>
      <c r="Z76" s="14">
        <v>49863013</v>
      </c>
    </row>
    <row r="77" spans="1:26" s="26" customFormat="1">
      <c r="A77" s="31" t="s">
        <v>603</v>
      </c>
      <c r="B77" s="31" t="s">
        <v>604</v>
      </c>
      <c r="C77" s="31" t="s">
        <v>573</v>
      </c>
      <c r="D77" s="14" t="s">
        <v>608</v>
      </c>
      <c r="E77" s="14"/>
      <c r="F77" s="45"/>
      <c r="G77" s="14"/>
      <c r="H77" s="14"/>
      <c r="I77" s="14"/>
      <c r="J77" s="31"/>
      <c r="K77" s="97">
        <v>38456</v>
      </c>
      <c r="L77" s="14"/>
      <c r="M77" s="14"/>
      <c r="N77" s="14">
        <v>29589041</v>
      </c>
      <c r="O77" s="14">
        <v>0</v>
      </c>
      <c r="P77" s="30">
        <f t="shared" si="4"/>
        <v>29589041</v>
      </c>
      <c r="Q77" s="30"/>
      <c r="R77" s="14"/>
      <c r="S77" s="14"/>
      <c r="T77" s="14" t="s">
        <v>607</v>
      </c>
      <c r="U77" s="320"/>
      <c r="V77" s="14"/>
      <c r="W77" s="97">
        <v>38343</v>
      </c>
      <c r="X77" s="14"/>
      <c r="Y77" s="14"/>
      <c r="Z77" s="14">
        <v>1026679000</v>
      </c>
    </row>
    <row r="78" spans="1:26" s="26" customFormat="1">
      <c r="A78" s="31" t="s">
        <v>603</v>
      </c>
      <c r="B78" s="31" t="s">
        <v>604</v>
      </c>
      <c r="C78" s="31" t="s">
        <v>573</v>
      </c>
      <c r="D78" s="11" t="s">
        <v>608</v>
      </c>
      <c r="E78" s="11"/>
      <c r="F78" s="46"/>
      <c r="G78" s="11"/>
      <c r="H78" s="11"/>
      <c r="I78" s="11"/>
      <c r="J78" s="36"/>
      <c r="K78" s="98">
        <v>38488</v>
      </c>
      <c r="L78" s="11"/>
      <c r="M78" s="11"/>
      <c r="N78" s="11">
        <v>1537580000</v>
      </c>
      <c r="O78" s="11">
        <v>1500000000</v>
      </c>
      <c r="P78" s="30">
        <f t="shared" si="4"/>
        <v>37580000</v>
      </c>
      <c r="Q78" s="35"/>
      <c r="R78" s="11">
        <f>+SUM(I73:I78)-SUM(O73:O78)</f>
        <v>0</v>
      </c>
      <c r="S78" s="11"/>
      <c r="T78" s="11" t="s">
        <v>600</v>
      </c>
      <c r="U78" s="321"/>
      <c r="V78" s="11"/>
      <c r="W78" s="97">
        <v>38366</v>
      </c>
      <c r="X78" s="14"/>
      <c r="Y78" s="14"/>
      <c r="Z78" s="14">
        <v>30246575</v>
      </c>
    </row>
    <row r="79" spans="1:26">
      <c r="A79" s="31" t="s">
        <v>603</v>
      </c>
      <c r="B79" s="31" t="s">
        <v>604</v>
      </c>
      <c r="C79" s="25" t="s">
        <v>581</v>
      </c>
      <c r="D79" s="20" t="s">
        <v>612</v>
      </c>
      <c r="E79" s="20" t="s">
        <v>795</v>
      </c>
      <c r="F79" s="44">
        <v>38168</v>
      </c>
      <c r="G79" s="20">
        <v>666667</v>
      </c>
      <c r="H79" s="20">
        <v>15000</v>
      </c>
      <c r="I79" s="20">
        <v>10000005000</v>
      </c>
      <c r="J79" s="25" t="s">
        <v>584</v>
      </c>
      <c r="K79" s="44">
        <v>39307</v>
      </c>
      <c r="L79" s="20">
        <v>333333</v>
      </c>
      <c r="M79" s="20">
        <v>22061</v>
      </c>
      <c r="N79" s="20">
        <v>7353496040</v>
      </c>
      <c r="O79" s="20">
        <v>4999995000</v>
      </c>
      <c r="P79" s="24">
        <f t="shared" si="4"/>
        <v>2353501040</v>
      </c>
      <c r="Q79" s="37"/>
      <c r="R79" s="20"/>
      <c r="S79" s="20"/>
      <c r="T79" s="20" t="s">
        <v>600</v>
      </c>
      <c r="U79" s="319" t="s">
        <v>801</v>
      </c>
      <c r="V79" s="20"/>
      <c r="W79" s="97">
        <v>38456</v>
      </c>
      <c r="X79" s="14"/>
      <c r="Y79" s="14"/>
      <c r="Z79" s="14">
        <v>29589041</v>
      </c>
    </row>
    <row r="80" spans="1:26">
      <c r="A80" s="31" t="s">
        <v>603</v>
      </c>
      <c r="B80" s="31" t="s">
        <v>604</v>
      </c>
      <c r="C80" s="238" t="s">
        <v>581</v>
      </c>
      <c r="D80" s="14" t="s">
        <v>612</v>
      </c>
      <c r="E80" s="14"/>
      <c r="F80" s="45"/>
      <c r="G80" s="14"/>
      <c r="H80" s="14"/>
      <c r="I80" s="14"/>
      <c r="J80" s="238"/>
      <c r="K80" s="45">
        <v>39678</v>
      </c>
      <c r="L80" s="14">
        <v>333334</v>
      </c>
      <c r="M80" s="14">
        <f>+N80/L80</f>
        <v>22325.772270455458</v>
      </c>
      <c r="N80" s="14">
        <v>7441938974</v>
      </c>
      <c r="O80" s="14">
        <v>5000010000</v>
      </c>
      <c r="P80" s="30">
        <f t="shared" si="4"/>
        <v>2441928974</v>
      </c>
      <c r="Q80" s="24"/>
      <c r="R80" s="11">
        <f>+SUM(I79:I80)-SUM(O79:O80)</f>
        <v>0</v>
      </c>
      <c r="S80" s="11"/>
      <c r="T80" s="11" t="s">
        <v>600</v>
      </c>
      <c r="U80" s="321" t="s">
        <v>801</v>
      </c>
      <c r="V80" s="11"/>
      <c r="W80" s="98">
        <v>38488</v>
      </c>
      <c r="X80" s="11"/>
      <c r="Y80" s="11"/>
      <c r="Z80" s="11">
        <v>1537580000</v>
      </c>
    </row>
    <row r="81" spans="1:26">
      <c r="A81" s="238" t="s">
        <v>522</v>
      </c>
      <c r="B81" s="238" t="s">
        <v>604</v>
      </c>
      <c r="C81" s="239" t="s">
        <v>280</v>
      </c>
      <c r="D81" s="11" t="s">
        <v>612</v>
      </c>
      <c r="E81" s="11"/>
      <c r="F81" s="46"/>
      <c r="G81" s="11"/>
      <c r="H81" s="11"/>
      <c r="I81" s="11"/>
      <c r="J81" s="239"/>
      <c r="K81" s="46">
        <v>40101</v>
      </c>
      <c r="L81" s="11"/>
      <c r="M81" s="11"/>
      <c r="N81" s="11">
        <v>565000000</v>
      </c>
      <c r="O81" s="11">
        <v>0</v>
      </c>
      <c r="P81" s="35">
        <f>+N81-O81</f>
        <v>565000000</v>
      </c>
      <c r="Q81" s="30"/>
      <c r="R81" s="14"/>
      <c r="S81" s="14"/>
      <c r="T81" s="14"/>
      <c r="U81" s="320"/>
      <c r="V81" s="14"/>
      <c r="W81" s="13"/>
    </row>
    <row r="82" spans="1:26">
      <c r="A82" s="31" t="s">
        <v>603</v>
      </c>
      <c r="B82" s="36" t="s">
        <v>546</v>
      </c>
      <c r="C82" s="139" t="s">
        <v>577</v>
      </c>
      <c r="D82" s="137"/>
      <c r="E82" s="137"/>
      <c r="F82" s="157"/>
      <c r="G82" s="137"/>
      <c r="H82" s="137"/>
      <c r="I82" s="137">
        <f>SUM(I55:I80)</f>
        <v>26088615186</v>
      </c>
      <c r="J82" s="139"/>
      <c r="K82" s="157"/>
      <c r="L82" s="137"/>
      <c r="M82" s="137"/>
      <c r="N82" s="137">
        <f>SUM(N55:N81)</f>
        <v>36689020981</v>
      </c>
      <c r="O82" s="137">
        <f>SUM(O55:O81)</f>
        <v>26088615186</v>
      </c>
      <c r="P82" s="137">
        <f>SUM(P55:P81)</f>
        <v>10600405795</v>
      </c>
      <c r="Q82" s="137">
        <f>SUM(Q55:Q80)</f>
        <v>0</v>
      </c>
      <c r="R82" s="137">
        <f>SUM(R55:R80)</f>
        <v>0</v>
      </c>
      <c r="S82" s="137"/>
      <c r="T82" s="137"/>
      <c r="U82" s="139"/>
      <c r="V82" s="137"/>
      <c r="W82" s="13"/>
      <c r="Z82" s="283">
        <f>+XIRR(Z70:Z80,W70:W80)</f>
        <v>0.13884814381599425</v>
      </c>
    </row>
    <row r="83" spans="1:26" s="26" customFormat="1">
      <c r="A83" s="25" t="s">
        <v>603</v>
      </c>
      <c r="B83" s="25" t="s">
        <v>613</v>
      </c>
      <c r="C83" s="25" t="s">
        <v>581</v>
      </c>
      <c r="D83" s="20" t="s">
        <v>612</v>
      </c>
      <c r="E83" s="20" t="s">
        <v>795</v>
      </c>
      <c r="F83" s="44">
        <v>38187</v>
      </c>
      <c r="G83" s="20">
        <v>666667</v>
      </c>
      <c r="H83" s="20">
        <v>15000</v>
      </c>
      <c r="I83" s="20">
        <v>10000005000</v>
      </c>
      <c r="J83" s="25" t="s">
        <v>584</v>
      </c>
      <c r="K83" s="44">
        <v>39307</v>
      </c>
      <c r="L83" s="20">
        <v>333333</v>
      </c>
      <c r="M83" s="20">
        <v>22001</v>
      </c>
      <c r="N83" s="20">
        <v>7333824277</v>
      </c>
      <c r="O83" s="20">
        <v>4999995000</v>
      </c>
      <c r="P83" s="24">
        <f t="shared" si="4"/>
        <v>2333829277</v>
      </c>
      <c r="Q83" s="24"/>
      <c r="R83" s="20"/>
      <c r="S83" s="20"/>
      <c r="T83" s="20" t="s">
        <v>600</v>
      </c>
      <c r="U83" s="319" t="s">
        <v>801</v>
      </c>
      <c r="V83" s="20"/>
      <c r="W83" s="13"/>
    </row>
    <row r="84" spans="1:26" s="26" customFormat="1">
      <c r="A84" s="31" t="s">
        <v>603</v>
      </c>
      <c r="B84" s="31" t="s">
        <v>613</v>
      </c>
      <c r="C84" s="238" t="s">
        <v>581</v>
      </c>
      <c r="D84" s="14" t="s">
        <v>612</v>
      </c>
      <c r="E84" s="14"/>
      <c r="F84" s="45"/>
      <c r="G84" s="14"/>
      <c r="H84" s="14"/>
      <c r="I84" s="14"/>
      <c r="J84" s="238"/>
      <c r="K84" s="45">
        <v>39678</v>
      </c>
      <c r="L84" s="14">
        <v>333334</v>
      </c>
      <c r="M84" s="14">
        <f>+N84/L84</f>
        <v>22139.996241007517</v>
      </c>
      <c r="N84" s="14">
        <v>7380013507</v>
      </c>
      <c r="O84" s="14">
        <v>5000010000</v>
      </c>
      <c r="P84" s="30">
        <f t="shared" si="4"/>
        <v>2380003507</v>
      </c>
      <c r="Q84" s="30"/>
      <c r="R84" s="14">
        <f>+SUM(I83:I84)-SUM(O83:O84)</f>
        <v>0</v>
      </c>
      <c r="S84" s="14"/>
      <c r="T84" s="14" t="s">
        <v>600</v>
      </c>
      <c r="U84" s="320" t="s">
        <v>801</v>
      </c>
      <c r="V84" s="14"/>
      <c r="W84" s="13"/>
    </row>
    <row r="85" spans="1:26" s="26" customFormat="1">
      <c r="A85" s="238" t="s">
        <v>522</v>
      </c>
      <c r="B85" s="238" t="s">
        <v>613</v>
      </c>
      <c r="C85" s="239" t="s">
        <v>280</v>
      </c>
      <c r="D85" s="11" t="s">
        <v>612</v>
      </c>
      <c r="E85" s="11"/>
      <c r="F85" s="46"/>
      <c r="G85" s="11"/>
      <c r="H85" s="11"/>
      <c r="I85" s="11"/>
      <c r="J85" s="239"/>
      <c r="K85" s="46">
        <v>40101</v>
      </c>
      <c r="L85" s="11"/>
      <c r="M85" s="11"/>
      <c r="N85" s="11">
        <v>565000000</v>
      </c>
      <c r="O85" s="11">
        <v>0</v>
      </c>
      <c r="P85" s="35">
        <f t="shared" si="4"/>
        <v>565000000</v>
      </c>
      <c r="Q85" s="35"/>
      <c r="R85" s="11"/>
      <c r="S85" s="11"/>
      <c r="T85" s="11"/>
      <c r="U85" s="321" t="s">
        <v>801</v>
      </c>
      <c r="V85" s="11"/>
      <c r="W85" s="13"/>
    </row>
    <row r="86" spans="1:26" s="26" customFormat="1">
      <c r="A86" s="36" t="s">
        <v>603</v>
      </c>
      <c r="B86" s="36" t="s">
        <v>547</v>
      </c>
      <c r="C86" s="132" t="s">
        <v>577</v>
      </c>
      <c r="D86" s="154"/>
      <c r="E86" s="154"/>
      <c r="F86" s="153"/>
      <c r="G86" s="154"/>
      <c r="H86" s="154"/>
      <c r="I86" s="154">
        <f>SUM(I83:I84)</f>
        <v>10000005000</v>
      </c>
      <c r="J86" s="132"/>
      <c r="K86" s="153"/>
      <c r="L86" s="154"/>
      <c r="M86" s="154"/>
      <c r="N86" s="154">
        <f>SUM(N83:N85)</f>
        <v>15278837784</v>
      </c>
      <c r="O86" s="154">
        <f>SUM(O83:O85)</f>
        <v>10000005000</v>
      </c>
      <c r="P86" s="154">
        <f>SUM(P83:P85)</f>
        <v>5278832784</v>
      </c>
      <c r="Q86" s="154">
        <f>SUM(Q83:Q84)</f>
        <v>0</v>
      </c>
      <c r="R86" s="154">
        <f>SUM(R83:R84)</f>
        <v>0</v>
      </c>
      <c r="S86" s="154"/>
      <c r="T86" s="154"/>
      <c r="U86" s="132"/>
      <c r="V86" s="154"/>
      <c r="W86" s="13"/>
    </row>
    <row r="87" spans="1:26" s="26" customFormat="1">
      <c r="A87" s="25" t="s">
        <v>571</v>
      </c>
      <c r="B87" s="31" t="s">
        <v>614</v>
      </c>
      <c r="C87" s="31" t="s">
        <v>581</v>
      </c>
      <c r="D87" s="11" t="s">
        <v>615</v>
      </c>
      <c r="E87" s="11" t="s">
        <v>795</v>
      </c>
      <c r="F87" s="46">
        <v>38551</v>
      </c>
      <c r="G87" s="11">
        <v>130000</v>
      </c>
      <c r="H87" s="11">
        <v>57692</v>
      </c>
      <c r="I87" s="11">
        <v>7500000000</v>
      </c>
      <c r="J87" s="403" t="s">
        <v>959</v>
      </c>
      <c r="K87" s="46">
        <v>39021</v>
      </c>
      <c r="L87" s="11">
        <v>130000</v>
      </c>
      <c r="M87" s="11">
        <v>57692</v>
      </c>
      <c r="N87" s="11">
        <v>7500000000</v>
      </c>
      <c r="O87" s="11">
        <v>7500000000</v>
      </c>
      <c r="P87" s="11">
        <f t="shared" si="4"/>
        <v>0</v>
      </c>
      <c r="Q87" s="35"/>
      <c r="R87" s="11">
        <f>+I87-O87</f>
        <v>0</v>
      </c>
      <c r="S87" s="11"/>
      <c r="T87" s="11" t="s">
        <v>600</v>
      </c>
      <c r="U87" s="321"/>
      <c r="V87" s="11"/>
      <c r="W87" s="13"/>
    </row>
    <row r="88" spans="1:26">
      <c r="A88" s="31" t="s">
        <v>571</v>
      </c>
      <c r="B88" s="31" t="s">
        <v>614</v>
      </c>
      <c r="C88" s="19" t="s">
        <v>589</v>
      </c>
      <c r="D88" s="15" t="s">
        <v>615</v>
      </c>
      <c r="E88" s="15"/>
      <c r="F88" s="42">
        <v>38555</v>
      </c>
      <c r="G88" s="15">
        <v>75000</v>
      </c>
      <c r="H88" s="15">
        <v>60000</v>
      </c>
      <c r="I88" s="15">
        <v>4500000000</v>
      </c>
      <c r="J88" s="405" t="s">
        <v>960</v>
      </c>
      <c r="K88" s="42">
        <v>39021</v>
      </c>
      <c r="L88" s="15">
        <v>75000</v>
      </c>
      <c r="M88" s="15">
        <v>60000</v>
      </c>
      <c r="N88" s="15">
        <v>4500000000</v>
      </c>
      <c r="O88" s="15">
        <v>4500000000</v>
      </c>
      <c r="P88" s="15">
        <f t="shared" si="4"/>
        <v>0</v>
      </c>
      <c r="Q88" s="37"/>
      <c r="R88" s="11">
        <f>+I88-O88</f>
        <v>0</v>
      </c>
      <c r="S88" s="11"/>
      <c r="T88" s="11" t="s">
        <v>600</v>
      </c>
      <c r="U88" s="321"/>
      <c r="V88" s="11"/>
      <c r="W88" s="13"/>
    </row>
    <row r="89" spans="1:26">
      <c r="A89" s="31" t="s">
        <v>571</v>
      </c>
      <c r="B89" s="31" t="s">
        <v>614</v>
      </c>
      <c r="C89" s="25" t="s">
        <v>573</v>
      </c>
      <c r="D89" s="20" t="s">
        <v>615</v>
      </c>
      <c r="E89" s="20"/>
      <c r="F89" s="44">
        <v>38558</v>
      </c>
      <c r="G89" s="20">
        <v>0</v>
      </c>
      <c r="H89" s="20">
        <v>0</v>
      </c>
      <c r="I89" s="20">
        <v>13000000000</v>
      </c>
      <c r="J89" s="25" t="s">
        <v>599</v>
      </c>
      <c r="K89" s="44">
        <v>38946</v>
      </c>
      <c r="L89" s="20">
        <v>0</v>
      </c>
      <c r="M89" s="20">
        <v>0</v>
      </c>
      <c r="N89" s="20">
        <v>1249662751</v>
      </c>
      <c r="O89" s="20">
        <v>0</v>
      </c>
      <c r="P89" s="24">
        <f t="shared" si="4"/>
        <v>1249662751</v>
      </c>
      <c r="Q89" s="24"/>
      <c r="R89" s="20"/>
      <c r="S89" s="20"/>
      <c r="T89" s="20" t="s">
        <v>607</v>
      </c>
      <c r="U89" s="319"/>
      <c r="V89" s="20"/>
      <c r="W89" s="13"/>
    </row>
    <row r="90" spans="1:26">
      <c r="A90" s="31" t="s">
        <v>571</v>
      </c>
      <c r="B90" s="31" t="s">
        <v>614</v>
      </c>
      <c r="C90" s="36" t="s">
        <v>573</v>
      </c>
      <c r="D90" s="11" t="s">
        <v>615</v>
      </c>
      <c r="E90" s="11"/>
      <c r="F90" s="46"/>
      <c r="G90" s="11"/>
      <c r="H90" s="11"/>
      <c r="I90" s="11"/>
      <c r="J90" s="36"/>
      <c r="K90" s="46">
        <v>39021</v>
      </c>
      <c r="L90" s="11">
        <v>0</v>
      </c>
      <c r="M90" s="11">
        <v>0</v>
      </c>
      <c r="N90" s="11">
        <v>17876000000</v>
      </c>
      <c r="O90" s="11">
        <v>13000000000</v>
      </c>
      <c r="P90" s="35">
        <f t="shared" si="4"/>
        <v>4876000000</v>
      </c>
      <c r="Q90" s="35"/>
      <c r="R90" s="11">
        <f>+SUM(I89:I90)-SUM(O89:O90)</f>
        <v>0</v>
      </c>
      <c r="S90" s="11"/>
      <c r="T90" s="11" t="s">
        <v>600</v>
      </c>
      <c r="U90" s="321"/>
      <c r="V90" s="11"/>
      <c r="W90" s="13"/>
    </row>
    <row r="91" spans="1:26">
      <c r="A91" s="36" t="s">
        <v>571</v>
      </c>
      <c r="B91" s="36" t="s">
        <v>548</v>
      </c>
      <c r="C91" s="139" t="s">
        <v>577</v>
      </c>
      <c r="D91" s="137"/>
      <c r="E91" s="137"/>
      <c r="F91" s="157"/>
      <c r="G91" s="137"/>
      <c r="H91" s="137"/>
      <c r="I91" s="137">
        <f>SUM(I87:I90)</f>
        <v>25000000000</v>
      </c>
      <c r="J91" s="139"/>
      <c r="K91" s="157"/>
      <c r="L91" s="137"/>
      <c r="M91" s="137"/>
      <c r="N91" s="137">
        <f>SUM(N87:N90)</f>
        <v>31125662751</v>
      </c>
      <c r="O91" s="137">
        <f>SUM(O87:O90)</f>
        <v>25000000000</v>
      </c>
      <c r="P91" s="137">
        <f>SUM(P87:P90)</f>
        <v>6125662751</v>
      </c>
      <c r="Q91" s="137">
        <f>SUM(Q87:Q90)</f>
        <v>0</v>
      </c>
      <c r="R91" s="137">
        <f>SUM(R87:R90)</f>
        <v>0</v>
      </c>
      <c r="S91" s="137"/>
      <c r="T91" s="137"/>
      <c r="U91" s="139"/>
      <c r="V91" s="137"/>
      <c r="W91" s="13"/>
    </row>
    <row r="92" spans="1:26" s="26" customFormat="1">
      <c r="A92" s="31" t="s">
        <v>571</v>
      </c>
      <c r="B92" s="25" t="s">
        <v>616</v>
      </c>
      <c r="C92" s="25" t="s">
        <v>573</v>
      </c>
      <c r="D92" s="20" t="s">
        <v>617</v>
      </c>
      <c r="E92" s="20" t="s">
        <v>795</v>
      </c>
      <c r="F92" s="44">
        <v>38861</v>
      </c>
      <c r="G92" s="20">
        <v>0</v>
      </c>
      <c r="H92" s="20">
        <v>0</v>
      </c>
      <c r="I92" s="20">
        <v>4000000000</v>
      </c>
      <c r="J92" s="25" t="s">
        <v>599</v>
      </c>
      <c r="K92" s="44">
        <v>39275</v>
      </c>
      <c r="L92" s="20">
        <v>0</v>
      </c>
      <c r="M92" s="20">
        <v>0</v>
      </c>
      <c r="N92" s="20">
        <v>4959680000</v>
      </c>
      <c r="O92" s="20">
        <v>3000000000</v>
      </c>
      <c r="P92" s="24">
        <f>+N92-O92</f>
        <v>1959680000</v>
      </c>
      <c r="Q92" s="24"/>
      <c r="R92" s="20"/>
      <c r="S92" s="20"/>
      <c r="T92" s="20" t="s">
        <v>600</v>
      </c>
      <c r="U92" s="319" t="s">
        <v>801</v>
      </c>
      <c r="V92" s="20"/>
      <c r="W92" s="13"/>
    </row>
    <row r="93" spans="1:26" s="26" customFormat="1">
      <c r="A93" s="31" t="s">
        <v>571</v>
      </c>
      <c r="B93" s="31" t="s">
        <v>616</v>
      </c>
      <c r="C93" s="31" t="s">
        <v>573</v>
      </c>
      <c r="D93" s="14" t="s">
        <v>617</v>
      </c>
      <c r="E93" s="14"/>
      <c r="F93" s="45">
        <v>39282</v>
      </c>
      <c r="G93" s="14">
        <v>403225</v>
      </c>
      <c r="H93" s="14">
        <v>2480</v>
      </c>
      <c r="I93" s="14"/>
      <c r="J93" s="31" t="s">
        <v>618</v>
      </c>
      <c r="K93" s="45">
        <v>39282</v>
      </c>
      <c r="L93" s="14">
        <v>0</v>
      </c>
      <c r="M93" s="14">
        <v>0</v>
      </c>
      <c r="N93" s="14">
        <v>2000</v>
      </c>
      <c r="O93" s="14">
        <v>2000</v>
      </c>
      <c r="P93" s="30">
        <f t="shared" ref="P93:P114" si="5">+N93-O93</f>
        <v>0</v>
      </c>
      <c r="Q93" s="30"/>
      <c r="R93" s="14"/>
      <c r="S93" s="14"/>
      <c r="T93" s="14" t="s">
        <v>609</v>
      </c>
      <c r="U93" s="320" t="s">
        <v>801</v>
      </c>
      <c r="V93" s="14"/>
      <c r="W93" s="13"/>
    </row>
    <row r="94" spans="1:26" s="26" customFormat="1">
      <c r="A94" s="31" t="s">
        <v>571</v>
      </c>
      <c r="B94" s="31" t="s">
        <v>616</v>
      </c>
      <c r="C94" s="31" t="s">
        <v>573</v>
      </c>
      <c r="D94" s="14" t="s">
        <v>617</v>
      </c>
      <c r="E94" s="14"/>
      <c r="F94" s="45"/>
      <c r="G94" s="14"/>
      <c r="H94" s="14"/>
      <c r="I94" s="14"/>
      <c r="J94" s="31"/>
      <c r="K94" s="45">
        <v>39282</v>
      </c>
      <c r="L94" s="14">
        <v>16397</v>
      </c>
      <c r="M94" s="14">
        <v>7858.9430993474416</v>
      </c>
      <c r="N94" s="14">
        <v>127832191</v>
      </c>
      <c r="O94" s="14">
        <v>40664560</v>
      </c>
      <c r="P94" s="30">
        <f t="shared" si="5"/>
        <v>87167631</v>
      </c>
      <c r="Q94" s="30"/>
      <c r="R94" s="14"/>
      <c r="S94" s="14"/>
      <c r="T94" s="14" t="s">
        <v>586</v>
      </c>
      <c r="U94" s="320" t="s">
        <v>801</v>
      </c>
      <c r="V94" s="14"/>
      <c r="W94" s="13"/>
    </row>
    <row r="95" spans="1:26" s="26" customFormat="1">
      <c r="A95" s="31" t="s">
        <v>571</v>
      </c>
      <c r="B95" s="31" t="s">
        <v>616</v>
      </c>
      <c r="C95" s="31" t="s">
        <v>573</v>
      </c>
      <c r="D95" s="14" t="s">
        <v>617</v>
      </c>
      <c r="E95" s="14"/>
      <c r="F95" s="39"/>
      <c r="G95" s="14"/>
      <c r="H95" s="14"/>
      <c r="I95" s="14"/>
      <c r="J95" s="31"/>
      <c r="K95" s="45">
        <v>39283</v>
      </c>
      <c r="L95" s="14">
        <v>22539</v>
      </c>
      <c r="M95" s="14">
        <v>7627.1817738142772</v>
      </c>
      <c r="N95" s="14">
        <v>170533783</v>
      </c>
      <c r="O95" s="14">
        <v>55896720</v>
      </c>
      <c r="P95" s="30">
        <f t="shared" si="5"/>
        <v>114637063</v>
      </c>
      <c r="Q95" s="30"/>
      <c r="R95" s="14"/>
      <c r="S95" s="14"/>
      <c r="T95" s="14" t="s">
        <v>586</v>
      </c>
      <c r="U95" s="320" t="s">
        <v>801</v>
      </c>
      <c r="V95" s="14"/>
      <c r="W95" s="13"/>
    </row>
    <row r="96" spans="1:26" s="26" customFormat="1">
      <c r="A96" s="31" t="s">
        <v>571</v>
      </c>
      <c r="B96" s="31" t="s">
        <v>616</v>
      </c>
      <c r="C96" s="31" t="s">
        <v>573</v>
      </c>
      <c r="D96" s="14" t="s">
        <v>617</v>
      </c>
      <c r="E96" s="14"/>
      <c r="F96" s="39"/>
      <c r="G96" s="14"/>
      <c r="H96" s="14"/>
      <c r="I96" s="14"/>
      <c r="J96" s="31"/>
      <c r="K96" s="45">
        <v>39288</v>
      </c>
      <c r="L96" s="14">
        <v>5101</v>
      </c>
      <c r="M96" s="14">
        <v>7519.8196432072145</v>
      </c>
      <c r="N96" s="14">
        <v>38191664</v>
      </c>
      <c r="O96" s="14">
        <v>12650480</v>
      </c>
      <c r="P96" s="30">
        <f t="shared" si="5"/>
        <v>25541184</v>
      </c>
      <c r="Q96" s="30"/>
      <c r="R96" s="14"/>
      <c r="S96" s="14"/>
      <c r="T96" s="14" t="s">
        <v>586</v>
      </c>
      <c r="U96" s="320" t="s">
        <v>801</v>
      </c>
      <c r="V96" s="14"/>
      <c r="W96" s="13"/>
    </row>
    <row r="97" spans="1:23" s="26" customFormat="1">
      <c r="A97" s="31" t="s">
        <v>571</v>
      </c>
      <c r="B97" s="31" t="s">
        <v>616</v>
      </c>
      <c r="C97" s="31" t="s">
        <v>573</v>
      </c>
      <c r="D97" s="14" t="s">
        <v>617</v>
      </c>
      <c r="E97" s="14"/>
      <c r="F97" s="39"/>
      <c r="G97" s="14"/>
      <c r="H97" s="14"/>
      <c r="I97" s="14"/>
      <c r="J97" s="31"/>
      <c r="K97" s="45">
        <v>39289</v>
      </c>
      <c r="L97" s="14">
        <v>100</v>
      </c>
      <c r="M97" s="14">
        <v>7300</v>
      </c>
      <c r="N97" s="14">
        <v>724160</v>
      </c>
      <c r="O97" s="14">
        <v>248000</v>
      </c>
      <c r="P97" s="30">
        <f t="shared" si="5"/>
        <v>476160</v>
      </c>
      <c r="Q97" s="30"/>
      <c r="R97" s="14"/>
      <c r="S97" s="14"/>
      <c r="T97" s="14" t="s">
        <v>586</v>
      </c>
      <c r="U97" s="320" t="s">
        <v>801</v>
      </c>
      <c r="V97" s="14"/>
      <c r="W97" s="13"/>
    </row>
    <row r="98" spans="1:23" s="26" customFormat="1">
      <c r="A98" s="31" t="s">
        <v>571</v>
      </c>
      <c r="B98" s="31" t="s">
        <v>616</v>
      </c>
      <c r="C98" s="31" t="s">
        <v>573</v>
      </c>
      <c r="D98" s="14" t="s">
        <v>617</v>
      </c>
      <c r="E98" s="14"/>
      <c r="F98" s="39"/>
      <c r="G98" s="14"/>
      <c r="H98" s="14"/>
      <c r="I98" s="14"/>
      <c r="J98" s="31"/>
      <c r="K98" s="45">
        <v>39290</v>
      </c>
      <c r="L98" s="14">
        <v>2500</v>
      </c>
      <c r="M98" s="14">
        <v>7371.58</v>
      </c>
      <c r="N98" s="14">
        <v>18346363</v>
      </c>
      <c r="O98" s="14">
        <v>6200000</v>
      </c>
      <c r="P98" s="30">
        <f t="shared" si="5"/>
        <v>12146363</v>
      </c>
      <c r="Q98" s="30"/>
      <c r="R98" s="14"/>
      <c r="S98" s="14"/>
      <c r="T98" s="14" t="s">
        <v>586</v>
      </c>
      <c r="U98" s="320" t="s">
        <v>801</v>
      </c>
      <c r="V98" s="14"/>
      <c r="W98" s="13"/>
    </row>
    <row r="99" spans="1:23" s="26" customFormat="1">
      <c r="A99" s="31" t="s">
        <v>571</v>
      </c>
      <c r="B99" s="31" t="s">
        <v>616</v>
      </c>
      <c r="C99" s="31" t="s">
        <v>573</v>
      </c>
      <c r="D99" s="14" t="s">
        <v>617</v>
      </c>
      <c r="E99" s="14"/>
      <c r="F99" s="39"/>
      <c r="G99" s="14"/>
      <c r="H99" s="14"/>
      <c r="I99" s="14"/>
      <c r="J99" s="31"/>
      <c r="K99" s="45">
        <v>39318</v>
      </c>
      <c r="L99" s="14">
        <v>17401</v>
      </c>
      <c r="M99" s="14">
        <v>6970.5643353830237</v>
      </c>
      <c r="N99" s="14">
        <v>120833876</v>
      </c>
      <c r="O99" s="14">
        <v>43154480</v>
      </c>
      <c r="P99" s="30">
        <f t="shared" si="5"/>
        <v>77679396</v>
      </c>
      <c r="Q99" s="30"/>
      <c r="R99" s="14"/>
      <c r="S99" s="14"/>
      <c r="T99" s="14" t="s">
        <v>586</v>
      </c>
      <c r="U99" s="320" t="s">
        <v>801</v>
      </c>
      <c r="V99" s="14"/>
      <c r="W99" s="13"/>
    </row>
    <row r="100" spans="1:23" s="26" customFormat="1">
      <c r="A100" s="31" t="s">
        <v>571</v>
      </c>
      <c r="B100" s="31" t="s">
        <v>616</v>
      </c>
      <c r="C100" s="31" t="s">
        <v>573</v>
      </c>
      <c r="D100" s="14" t="s">
        <v>617</v>
      </c>
      <c r="E100" s="14"/>
      <c r="F100" s="39"/>
      <c r="G100" s="14"/>
      <c r="H100" s="14"/>
      <c r="I100" s="14"/>
      <c r="J100" s="31"/>
      <c r="K100" s="45">
        <v>39321</v>
      </c>
      <c r="L100" s="14">
        <v>54187</v>
      </c>
      <c r="M100" s="14">
        <v>7254.3560263531845</v>
      </c>
      <c r="N100" s="14">
        <v>391598045</v>
      </c>
      <c r="O100" s="14">
        <v>134383760</v>
      </c>
      <c r="P100" s="30">
        <f t="shared" si="5"/>
        <v>257214285</v>
      </c>
      <c r="Q100" s="30"/>
      <c r="R100" s="14"/>
      <c r="S100" s="14"/>
      <c r="T100" s="14" t="s">
        <v>586</v>
      </c>
      <c r="U100" s="320" t="s">
        <v>801</v>
      </c>
      <c r="V100" s="14"/>
      <c r="W100" s="13"/>
    </row>
    <row r="101" spans="1:23" s="26" customFormat="1">
      <c r="A101" s="31" t="s">
        <v>571</v>
      </c>
      <c r="B101" s="31" t="s">
        <v>616</v>
      </c>
      <c r="C101" s="31" t="s">
        <v>573</v>
      </c>
      <c r="D101" s="14" t="s">
        <v>617</v>
      </c>
      <c r="E101" s="14"/>
      <c r="F101" s="45"/>
      <c r="G101" s="14"/>
      <c r="H101" s="14"/>
      <c r="I101" s="14"/>
      <c r="J101" s="31"/>
      <c r="K101" s="45">
        <v>39323</v>
      </c>
      <c r="L101" s="14">
        <v>8000</v>
      </c>
      <c r="M101" s="14">
        <v>6981.7</v>
      </c>
      <c r="N101" s="14">
        <v>55630189</v>
      </c>
      <c r="O101" s="14">
        <v>19840000</v>
      </c>
      <c r="P101" s="30">
        <f t="shared" si="5"/>
        <v>35790189</v>
      </c>
      <c r="Q101" s="14"/>
      <c r="R101" s="14"/>
      <c r="S101" s="14"/>
      <c r="T101" s="14" t="s">
        <v>586</v>
      </c>
      <c r="U101" s="320" t="s">
        <v>801</v>
      </c>
      <c r="V101" s="14"/>
      <c r="W101" s="13"/>
    </row>
    <row r="102" spans="1:23" s="26" customFormat="1">
      <c r="A102" s="31" t="s">
        <v>571</v>
      </c>
      <c r="B102" s="31" t="s">
        <v>616</v>
      </c>
      <c r="C102" s="31" t="s">
        <v>573</v>
      </c>
      <c r="D102" s="14" t="s">
        <v>617</v>
      </c>
      <c r="E102" s="14"/>
      <c r="F102" s="45"/>
      <c r="G102" s="14"/>
      <c r="H102" s="14"/>
      <c r="I102" s="14"/>
      <c r="J102" s="31"/>
      <c r="K102" s="45">
        <v>39346</v>
      </c>
      <c r="L102" s="14">
        <v>54575</v>
      </c>
      <c r="M102" s="14">
        <v>6635.0583600549699</v>
      </c>
      <c r="N102" s="14">
        <v>360659885</v>
      </c>
      <c r="O102" s="14">
        <v>135346000</v>
      </c>
      <c r="P102" s="30">
        <f t="shared" si="5"/>
        <v>225313885</v>
      </c>
      <c r="Q102" s="14"/>
      <c r="R102" s="14"/>
      <c r="S102" s="14"/>
      <c r="T102" s="14" t="s">
        <v>586</v>
      </c>
      <c r="U102" s="320" t="s">
        <v>801</v>
      </c>
      <c r="V102" s="14"/>
      <c r="W102" s="13"/>
    </row>
    <row r="103" spans="1:23" s="26" customFormat="1">
      <c r="A103" s="31" t="s">
        <v>571</v>
      </c>
      <c r="B103" s="31" t="s">
        <v>616</v>
      </c>
      <c r="C103" s="31" t="s">
        <v>573</v>
      </c>
      <c r="D103" s="14" t="s">
        <v>617</v>
      </c>
      <c r="E103" s="14"/>
      <c r="F103" s="45"/>
      <c r="G103" s="14"/>
      <c r="H103" s="14"/>
      <c r="I103" s="14"/>
      <c r="J103" s="31"/>
      <c r="K103" s="45">
        <v>39352</v>
      </c>
      <c r="L103" s="14">
        <v>151</v>
      </c>
      <c r="M103" s="14">
        <v>6650.3311258278145</v>
      </c>
      <c r="N103" s="14">
        <v>1000187</v>
      </c>
      <c r="O103" s="14">
        <v>374480</v>
      </c>
      <c r="P103" s="30">
        <f t="shared" si="5"/>
        <v>625707</v>
      </c>
      <c r="Q103" s="30"/>
      <c r="R103" s="14"/>
      <c r="S103" s="14"/>
      <c r="T103" s="14" t="s">
        <v>586</v>
      </c>
      <c r="U103" s="320" t="s">
        <v>801</v>
      </c>
      <c r="V103" s="14"/>
      <c r="W103" s="13"/>
    </row>
    <row r="104" spans="1:23" s="26" customFormat="1">
      <c r="A104" s="31" t="s">
        <v>571</v>
      </c>
      <c r="B104" s="31" t="s">
        <v>616</v>
      </c>
      <c r="C104" s="31" t="s">
        <v>573</v>
      </c>
      <c r="D104" s="14" t="s">
        <v>617</v>
      </c>
      <c r="E104" s="14"/>
      <c r="F104" s="45"/>
      <c r="G104" s="14"/>
      <c r="H104" s="14"/>
      <c r="I104" s="14"/>
      <c r="J104" s="31"/>
      <c r="K104" s="45">
        <v>39353</v>
      </c>
      <c r="L104" s="14">
        <v>431</v>
      </c>
      <c r="M104" s="14">
        <v>6600</v>
      </c>
      <c r="N104" s="14">
        <v>2833226</v>
      </c>
      <c r="O104" s="14">
        <v>1068880</v>
      </c>
      <c r="P104" s="30">
        <f t="shared" si="5"/>
        <v>1764346</v>
      </c>
      <c r="Q104" s="30"/>
      <c r="R104" s="14"/>
      <c r="S104" s="14"/>
      <c r="T104" s="14" t="s">
        <v>586</v>
      </c>
      <c r="U104" s="320" t="s">
        <v>801</v>
      </c>
      <c r="V104" s="14"/>
      <c r="W104" s="13"/>
    </row>
    <row r="105" spans="1:23" s="26" customFormat="1">
      <c r="A105" s="31" t="s">
        <v>571</v>
      </c>
      <c r="B105" s="31" t="s">
        <v>616</v>
      </c>
      <c r="C105" s="31" t="s">
        <v>573</v>
      </c>
      <c r="D105" s="14" t="s">
        <v>617</v>
      </c>
      <c r="E105" s="14"/>
      <c r="F105" s="45"/>
      <c r="G105" s="14"/>
      <c r="H105" s="14"/>
      <c r="I105" s="14"/>
      <c r="J105" s="31"/>
      <c r="K105" s="45">
        <v>39356</v>
      </c>
      <c r="L105" s="14">
        <v>19519</v>
      </c>
      <c r="M105" s="14">
        <v>6548.0311491367383</v>
      </c>
      <c r="N105" s="14">
        <v>127299777</v>
      </c>
      <c r="O105" s="14">
        <v>48407120</v>
      </c>
      <c r="P105" s="30">
        <f t="shared" si="5"/>
        <v>78892657</v>
      </c>
      <c r="Q105" s="30"/>
      <c r="R105" s="14"/>
      <c r="S105" s="14"/>
      <c r="T105" s="14" t="s">
        <v>586</v>
      </c>
      <c r="U105" s="320" t="s">
        <v>801</v>
      </c>
      <c r="V105" s="14"/>
      <c r="W105" s="13"/>
    </row>
    <row r="106" spans="1:23" s="26" customFormat="1">
      <c r="A106" s="31" t="s">
        <v>571</v>
      </c>
      <c r="B106" s="31" t="s">
        <v>616</v>
      </c>
      <c r="C106" s="31" t="s">
        <v>573</v>
      </c>
      <c r="D106" s="14" t="s">
        <v>617</v>
      </c>
      <c r="E106" s="14"/>
      <c r="F106" s="45"/>
      <c r="G106" s="14"/>
      <c r="H106" s="14"/>
      <c r="I106" s="14"/>
      <c r="J106" s="31"/>
      <c r="K106" s="45">
        <v>39357</v>
      </c>
      <c r="L106" s="14">
        <v>2514</v>
      </c>
      <c r="M106" s="14">
        <v>6507.5576770087509</v>
      </c>
      <c r="N106" s="14">
        <v>16294560</v>
      </c>
      <c r="O106" s="14">
        <v>6234720</v>
      </c>
      <c r="P106" s="30">
        <f t="shared" si="5"/>
        <v>10059840</v>
      </c>
      <c r="Q106" s="30"/>
      <c r="R106" s="14"/>
      <c r="S106" s="14"/>
      <c r="T106" s="14" t="s">
        <v>586</v>
      </c>
      <c r="U106" s="320" t="s">
        <v>801</v>
      </c>
      <c r="V106" s="14"/>
      <c r="W106" s="13"/>
    </row>
    <row r="107" spans="1:23" s="26" customFormat="1">
      <c r="A107" s="31" t="s">
        <v>571</v>
      </c>
      <c r="B107" s="31" t="s">
        <v>616</v>
      </c>
      <c r="C107" s="31" t="s">
        <v>573</v>
      </c>
      <c r="D107" s="14" t="s">
        <v>617</v>
      </c>
      <c r="E107" s="14"/>
      <c r="F107" s="45"/>
      <c r="G107" s="14"/>
      <c r="H107" s="14"/>
      <c r="I107" s="14"/>
      <c r="J107" s="31"/>
      <c r="K107" s="45">
        <v>39371</v>
      </c>
      <c r="L107" s="14">
        <v>1000</v>
      </c>
      <c r="M107" s="14">
        <v>6500</v>
      </c>
      <c r="N107" s="14">
        <v>6448000</v>
      </c>
      <c r="O107" s="14">
        <v>2480000</v>
      </c>
      <c r="P107" s="30">
        <f t="shared" si="5"/>
        <v>3968000</v>
      </c>
      <c r="Q107" s="30"/>
      <c r="R107" s="14"/>
      <c r="S107" s="14"/>
      <c r="T107" s="14" t="s">
        <v>586</v>
      </c>
      <c r="U107" s="320" t="s">
        <v>801</v>
      </c>
      <c r="V107" s="14"/>
      <c r="W107" s="13"/>
    </row>
    <row r="108" spans="1:23" s="26" customFormat="1">
      <c r="A108" s="31" t="s">
        <v>571</v>
      </c>
      <c r="B108" s="31" t="s">
        <v>616</v>
      </c>
      <c r="C108" s="31" t="s">
        <v>573</v>
      </c>
      <c r="D108" s="14" t="s">
        <v>617</v>
      </c>
      <c r="E108" s="14"/>
      <c r="F108" s="45"/>
      <c r="G108" s="14"/>
      <c r="H108" s="14"/>
      <c r="I108" s="14"/>
      <c r="J108" s="31"/>
      <c r="K108" s="45">
        <v>39379</v>
      </c>
      <c r="L108" s="14">
        <v>26500</v>
      </c>
      <c r="M108" s="14">
        <v>5205.7256603773585</v>
      </c>
      <c r="N108" s="14">
        <v>136848125</v>
      </c>
      <c r="O108" s="14">
        <v>65720000</v>
      </c>
      <c r="P108" s="30">
        <f t="shared" si="5"/>
        <v>71128125</v>
      </c>
      <c r="Q108" s="30"/>
      <c r="R108" s="14"/>
      <c r="S108" s="14"/>
      <c r="T108" s="14" t="s">
        <v>586</v>
      </c>
      <c r="U108" s="320" t="s">
        <v>801</v>
      </c>
      <c r="V108" s="14"/>
      <c r="W108" s="13"/>
    </row>
    <row r="109" spans="1:23" s="26" customFormat="1">
      <c r="A109" s="31" t="s">
        <v>571</v>
      </c>
      <c r="B109" s="31" t="s">
        <v>616</v>
      </c>
      <c r="C109" s="31" t="s">
        <v>573</v>
      </c>
      <c r="D109" s="14" t="s">
        <v>617</v>
      </c>
      <c r="E109" s="14"/>
      <c r="F109" s="45"/>
      <c r="G109" s="14"/>
      <c r="H109" s="14"/>
      <c r="I109" s="14"/>
      <c r="J109" s="31"/>
      <c r="K109" s="45">
        <v>39380</v>
      </c>
      <c r="L109" s="14">
        <v>11805</v>
      </c>
      <c r="M109" s="14">
        <v>5543.2020330368487</v>
      </c>
      <c r="N109" s="14">
        <v>64914007</v>
      </c>
      <c r="O109" s="14">
        <v>29276400</v>
      </c>
      <c r="P109" s="30">
        <f t="shared" si="5"/>
        <v>35637607</v>
      </c>
      <c r="Q109" s="30"/>
      <c r="R109" s="14"/>
      <c r="S109" s="14"/>
      <c r="T109" s="14" t="s">
        <v>586</v>
      </c>
      <c r="U109" s="320" t="s">
        <v>801</v>
      </c>
      <c r="V109" s="14"/>
      <c r="W109" s="13"/>
    </row>
    <row r="110" spans="1:23" s="26" customFormat="1">
      <c r="A110" s="31" t="s">
        <v>571</v>
      </c>
      <c r="B110" s="31" t="s">
        <v>616</v>
      </c>
      <c r="C110" s="31" t="s">
        <v>573</v>
      </c>
      <c r="D110" s="14" t="s">
        <v>617</v>
      </c>
      <c r="E110" s="14"/>
      <c r="F110" s="45"/>
      <c r="G110" s="14"/>
      <c r="H110" s="14"/>
      <c r="I110" s="14"/>
      <c r="J110" s="31"/>
      <c r="K110" s="45">
        <v>39381</v>
      </c>
      <c r="L110" s="14">
        <v>500</v>
      </c>
      <c r="M110" s="14">
        <v>5340</v>
      </c>
      <c r="N110" s="14">
        <v>2648640</v>
      </c>
      <c r="O110" s="14">
        <v>1240000</v>
      </c>
      <c r="P110" s="30">
        <f t="shared" si="5"/>
        <v>1408640</v>
      </c>
      <c r="Q110" s="30"/>
      <c r="R110" s="14"/>
      <c r="S110" s="14"/>
      <c r="T110" s="14" t="s">
        <v>586</v>
      </c>
      <c r="U110" s="320" t="s">
        <v>801</v>
      </c>
      <c r="V110" s="14"/>
      <c r="W110" s="13"/>
    </row>
    <row r="111" spans="1:23" s="26" customFormat="1">
      <c r="A111" s="31" t="s">
        <v>571</v>
      </c>
      <c r="B111" s="31" t="s">
        <v>616</v>
      </c>
      <c r="C111" s="31" t="s">
        <v>573</v>
      </c>
      <c r="D111" s="14" t="s">
        <v>617</v>
      </c>
      <c r="E111" s="14"/>
      <c r="F111" s="45"/>
      <c r="G111" s="14"/>
      <c r="H111" s="14"/>
      <c r="I111" s="14"/>
      <c r="J111" s="31"/>
      <c r="K111" s="45">
        <v>39385</v>
      </c>
      <c r="L111" s="14">
        <v>8000</v>
      </c>
      <c r="M111" s="14">
        <v>5025.8024999999998</v>
      </c>
      <c r="N111" s="14">
        <v>39884771</v>
      </c>
      <c r="O111" s="14">
        <v>19840000</v>
      </c>
      <c r="P111" s="30">
        <f t="shared" si="5"/>
        <v>20044771</v>
      </c>
      <c r="Q111" s="30"/>
      <c r="R111" s="14"/>
      <c r="S111" s="14"/>
      <c r="T111" s="14" t="s">
        <v>586</v>
      </c>
      <c r="U111" s="320" t="s">
        <v>801</v>
      </c>
      <c r="V111" s="14"/>
      <c r="W111" s="13"/>
    </row>
    <row r="112" spans="1:23" s="26" customFormat="1">
      <c r="A112" s="31" t="s">
        <v>571</v>
      </c>
      <c r="B112" s="31" t="s">
        <v>616</v>
      </c>
      <c r="C112" s="31" t="s">
        <v>573</v>
      </c>
      <c r="D112" s="14" t="s">
        <v>617</v>
      </c>
      <c r="E112" s="14"/>
      <c r="F112" s="45"/>
      <c r="G112" s="14"/>
      <c r="H112" s="14"/>
      <c r="I112" s="14"/>
      <c r="J112" s="31"/>
      <c r="K112" s="99">
        <v>39490</v>
      </c>
      <c r="L112" s="31">
        <v>15000</v>
      </c>
      <c r="M112" s="31">
        <f>+N112/L112</f>
        <v>4867.6127333333334</v>
      </c>
      <c r="N112" s="14">
        <v>73014191</v>
      </c>
      <c r="O112" s="14">
        <v>37200000</v>
      </c>
      <c r="P112" s="30">
        <f t="shared" si="5"/>
        <v>35814191</v>
      </c>
      <c r="Q112" s="30"/>
      <c r="R112" s="14"/>
      <c r="S112" s="14"/>
      <c r="T112" s="14" t="s">
        <v>586</v>
      </c>
      <c r="U112" s="320" t="s">
        <v>801</v>
      </c>
      <c r="V112" s="14"/>
      <c r="W112" s="13"/>
    </row>
    <row r="113" spans="1:23" s="26" customFormat="1">
      <c r="A113" s="31" t="s">
        <v>571</v>
      </c>
      <c r="B113" s="31" t="s">
        <v>616</v>
      </c>
      <c r="C113" s="31" t="s">
        <v>573</v>
      </c>
      <c r="D113" s="14" t="s">
        <v>617</v>
      </c>
      <c r="E113" s="14"/>
      <c r="F113" s="45"/>
      <c r="G113" s="14"/>
      <c r="H113" s="14"/>
      <c r="I113" s="14"/>
      <c r="J113" s="31"/>
      <c r="K113" s="99">
        <v>39506</v>
      </c>
      <c r="L113" s="31">
        <v>37005</v>
      </c>
      <c r="M113" s="31">
        <f>+N113/L113</f>
        <v>3691.0150520199973</v>
      </c>
      <c r="N113" s="14">
        <v>136586012</v>
      </c>
      <c r="O113" s="14">
        <v>91772400</v>
      </c>
      <c r="P113" s="30">
        <f t="shared" si="5"/>
        <v>44813612</v>
      </c>
      <c r="Q113" s="30"/>
      <c r="R113" s="14"/>
      <c r="S113" s="14"/>
      <c r="T113" s="14" t="s">
        <v>586</v>
      </c>
      <c r="U113" s="320" t="s">
        <v>801</v>
      </c>
      <c r="V113" s="14"/>
      <c r="W113" s="13"/>
    </row>
    <row r="114" spans="1:23" s="26" customFormat="1">
      <c r="A114" s="31" t="s">
        <v>571</v>
      </c>
      <c r="B114" s="31" t="s">
        <v>616</v>
      </c>
      <c r="C114" s="36" t="s">
        <v>573</v>
      </c>
      <c r="D114" s="11" t="s">
        <v>617</v>
      </c>
      <c r="E114" s="11"/>
      <c r="F114" s="46"/>
      <c r="G114" s="11"/>
      <c r="H114" s="11"/>
      <c r="I114" s="11"/>
      <c r="J114" s="36"/>
      <c r="K114" s="100">
        <v>39560</v>
      </c>
      <c r="L114" s="36">
        <v>100000</v>
      </c>
      <c r="M114" s="36">
        <f>+N114/L114</f>
        <v>2729.3339999999998</v>
      </c>
      <c r="N114" s="11">
        <v>272933400</v>
      </c>
      <c r="O114" s="11">
        <v>248000000</v>
      </c>
      <c r="P114" s="35">
        <f t="shared" si="5"/>
        <v>24933400</v>
      </c>
      <c r="Q114" s="11"/>
      <c r="R114" s="11">
        <f>+SUM(I92:I114)-SUM(O92:O114)</f>
        <v>0</v>
      </c>
      <c r="S114" s="11"/>
      <c r="T114" s="11" t="s">
        <v>586</v>
      </c>
      <c r="U114" s="321" t="s">
        <v>801</v>
      </c>
      <c r="V114" s="11"/>
      <c r="W114" s="13"/>
    </row>
    <row r="115" spans="1:23" s="26" customFormat="1">
      <c r="A115" s="31" t="s">
        <v>571</v>
      </c>
      <c r="B115" s="85" t="s">
        <v>549</v>
      </c>
      <c r="C115" s="139" t="s">
        <v>577</v>
      </c>
      <c r="D115" s="137"/>
      <c r="E115" s="137"/>
      <c r="F115" s="157"/>
      <c r="G115" s="137"/>
      <c r="H115" s="137"/>
      <c r="I115" s="137">
        <f>SUM(I92:I114)</f>
        <v>4000000000</v>
      </c>
      <c r="J115" s="139"/>
      <c r="K115" s="162"/>
      <c r="L115" s="139"/>
      <c r="M115" s="139"/>
      <c r="N115" s="137">
        <f>SUM(N92:N114)</f>
        <v>7124737052</v>
      </c>
      <c r="O115" s="137">
        <f>SUM(O92:O114)</f>
        <v>4000000000</v>
      </c>
      <c r="P115" s="137">
        <f>SUM(P92:P114)</f>
        <v>3124737052</v>
      </c>
      <c r="Q115" s="137">
        <f>SUM(Q92:Q114)</f>
        <v>0</v>
      </c>
      <c r="R115" s="137">
        <f>SUM(R92:R114)</f>
        <v>0</v>
      </c>
      <c r="S115" s="137"/>
      <c r="T115" s="137"/>
      <c r="U115" s="139"/>
      <c r="V115" s="137"/>
      <c r="W115" s="13"/>
    </row>
    <row r="116" spans="1:23" s="26" customFormat="1">
      <c r="A116" s="25" t="s">
        <v>571</v>
      </c>
      <c r="B116" s="52" t="s">
        <v>619</v>
      </c>
      <c r="C116" s="52" t="s">
        <v>581</v>
      </c>
      <c r="D116" s="20" t="s">
        <v>620</v>
      </c>
      <c r="E116" s="20" t="s">
        <v>795</v>
      </c>
      <c r="F116" s="44">
        <v>38812</v>
      </c>
      <c r="G116" s="20">
        <v>100000</v>
      </c>
      <c r="H116" s="20">
        <v>500</v>
      </c>
      <c r="I116" s="20">
        <v>50000000</v>
      </c>
      <c r="J116" s="25" t="s">
        <v>584</v>
      </c>
      <c r="K116" s="101">
        <v>39388</v>
      </c>
      <c r="L116" s="20">
        <v>100000</v>
      </c>
      <c r="M116" s="20">
        <f>+N116/L116</f>
        <v>500</v>
      </c>
      <c r="N116" s="20">
        <v>50000000</v>
      </c>
      <c r="O116" s="20">
        <f>+N116</f>
        <v>50000000</v>
      </c>
      <c r="P116" s="20">
        <f>+N116-O116</f>
        <v>0</v>
      </c>
      <c r="Q116" s="24"/>
      <c r="R116" s="20">
        <f>+I116-O116</f>
        <v>0</v>
      </c>
      <c r="S116" s="20"/>
      <c r="T116" s="20" t="s">
        <v>600</v>
      </c>
      <c r="U116" s="319"/>
      <c r="V116" s="20"/>
      <c r="W116" s="13"/>
    </row>
    <row r="117" spans="1:23" s="26" customFormat="1">
      <c r="A117" s="31" t="s">
        <v>571</v>
      </c>
      <c r="B117" s="54" t="s">
        <v>619</v>
      </c>
      <c r="C117" s="94" t="s">
        <v>621</v>
      </c>
      <c r="D117" s="20" t="s">
        <v>620</v>
      </c>
      <c r="E117" s="20"/>
      <c r="F117" s="44">
        <v>38818</v>
      </c>
      <c r="G117" s="20">
        <v>0</v>
      </c>
      <c r="H117" s="20">
        <v>0</v>
      </c>
      <c r="I117" s="20">
        <v>1254536986</v>
      </c>
      <c r="J117" s="25" t="s">
        <v>621</v>
      </c>
      <c r="K117" s="101">
        <v>39252</v>
      </c>
      <c r="L117" s="20">
        <v>0</v>
      </c>
      <c r="M117" s="20">
        <v>0</v>
      </c>
      <c r="N117" s="20">
        <v>10000000000</v>
      </c>
      <c r="O117" s="20">
        <v>9300000000</v>
      </c>
      <c r="P117" s="24">
        <f>+N117-O117</f>
        <v>700000000</v>
      </c>
      <c r="Q117" s="24"/>
      <c r="R117" s="20"/>
      <c r="S117" s="20"/>
      <c r="T117" s="20" t="s">
        <v>600</v>
      </c>
      <c r="U117" s="319"/>
      <c r="V117" s="20"/>
      <c r="W117" s="13"/>
    </row>
    <row r="118" spans="1:23" s="26" customFormat="1">
      <c r="A118" s="31" t="s">
        <v>571</v>
      </c>
      <c r="B118" s="54" t="s">
        <v>619</v>
      </c>
      <c r="C118" s="53" t="s">
        <v>621</v>
      </c>
      <c r="D118" s="14" t="s">
        <v>620</v>
      </c>
      <c r="E118" s="14"/>
      <c r="F118" s="45">
        <v>38897</v>
      </c>
      <c r="G118" s="14">
        <v>0</v>
      </c>
      <c r="H118" s="14">
        <v>0</v>
      </c>
      <c r="I118" s="14">
        <v>1700000000</v>
      </c>
      <c r="J118" s="31" t="s">
        <v>621</v>
      </c>
      <c r="K118" s="97">
        <v>39388</v>
      </c>
      <c r="L118" s="14">
        <v>0</v>
      </c>
      <c r="M118" s="14">
        <v>0</v>
      </c>
      <c r="N118" s="14">
        <f>650000000+499652174</f>
        <v>1149652174</v>
      </c>
      <c r="O118" s="14">
        <v>650000000</v>
      </c>
      <c r="P118" s="30">
        <f>+N118-O118</f>
        <v>499652174</v>
      </c>
      <c r="Q118" s="30"/>
      <c r="R118" s="14"/>
      <c r="S118" s="14"/>
      <c r="T118" s="14" t="s">
        <v>600</v>
      </c>
      <c r="U118" s="320"/>
      <c r="V118" s="14"/>
      <c r="W118" s="13"/>
    </row>
    <row r="119" spans="1:23" s="26" customFormat="1">
      <c r="A119" s="31" t="s">
        <v>571</v>
      </c>
      <c r="B119" s="54" t="s">
        <v>619</v>
      </c>
      <c r="C119" s="53" t="s">
        <v>621</v>
      </c>
      <c r="D119" s="14" t="s">
        <v>620</v>
      </c>
      <c r="E119" s="14"/>
      <c r="F119" s="45">
        <v>38959</v>
      </c>
      <c r="G119" s="14">
        <v>0</v>
      </c>
      <c r="H119" s="14">
        <v>0</v>
      </c>
      <c r="I119" s="14">
        <v>1200000000</v>
      </c>
      <c r="J119" s="31" t="s">
        <v>621</v>
      </c>
      <c r="K119" s="45"/>
      <c r="L119" s="14"/>
      <c r="M119" s="14"/>
      <c r="N119" s="14"/>
      <c r="O119" s="14"/>
      <c r="P119" s="30"/>
      <c r="Q119" s="30"/>
      <c r="R119" s="14"/>
      <c r="S119" s="14"/>
      <c r="T119" s="14"/>
      <c r="U119" s="320"/>
      <c r="V119" s="14"/>
      <c r="W119" s="13"/>
    </row>
    <row r="120" spans="1:23" s="26" customFormat="1">
      <c r="A120" s="31" t="s">
        <v>571</v>
      </c>
      <c r="B120" s="54" t="s">
        <v>619</v>
      </c>
      <c r="C120" s="53" t="s">
        <v>621</v>
      </c>
      <c r="D120" s="14" t="s">
        <v>620</v>
      </c>
      <c r="E120" s="14"/>
      <c r="F120" s="45">
        <v>39059</v>
      </c>
      <c r="G120" s="14">
        <v>0</v>
      </c>
      <c r="H120" s="14">
        <v>0</v>
      </c>
      <c r="I120" s="14">
        <v>30000000</v>
      </c>
      <c r="J120" s="31" t="s">
        <v>621</v>
      </c>
      <c r="K120" s="45"/>
      <c r="L120" s="14"/>
      <c r="M120" s="14"/>
      <c r="N120" s="14"/>
      <c r="O120" s="14"/>
      <c r="P120" s="30"/>
      <c r="Q120" s="30"/>
      <c r="R120" s="14"/>
      <c r="S120" s="14"/>
      <c r="T120" s="14"/>
      <c r="U120" s="320"/>
      <c r="V120" s="14"/>
      <c r="W120" s="13"/>
    </row>
    <row r="121" spans="1:23" s="26" customFormat="1">
      <c r="A121" s="31" t="s">
        <v>571</v>
      </c>
      <c r="B121" s="54" t="s">
        <v>619</v>
      </c>
      <c r="C121" s="53" t="s">
        <v>621</v>
      </c>
      <c r="D121" s="14" t="s">
        <v>620</v>
      </c>
      <c r="E121" s="14"/>
      <c r="F121" s="45">
        <v>39072</v>
      </c>
      <c r="G121" s="14">
        <v>0</v>
      </c>
      <c r="H121" s="14">
        <v>0</v>
      </c>
      <c r="I121" s="14">
        <v>970000000</v>
      </c>
      <c r="J121" s="31" t="s">
        <v>621</v>
      </c>
      <c r="K121" s="45"/>
      <c r="L121" s="14"/>
      <c r="M121" s="14"/>
      <c r="N121" s="14"/>
      <c r="O121" s="14"/>
      <c r="P121" s="30"/>
      <c r="Q121" s="30"/>
      <c r="R121" s="14"/>
      <c r="S121" s="14"/>
      <c r="T121" s="14"/>
      <c r="U121" s="320"/>
      <c r="V121" s="14"/>
      <c r="W121" s="13"/>
    </row>
    <row r="122" spans="1:23" s="26" customFormat="1">
      <c r="A122" s="31" t="s">
        <v>571</v>
      </c>
      <c r="B122" s="54" t="s">
        <v>619</v>
      </c>
      <c r="C122" s="53" t="s">
        <v>621</v>
      </c>
      <c r="D122" s="14" t="s">
        <v>620</v>
      </c>
      <c r="E122" s="14"/>
      <c r="F122" s="45">
        <v>39141</v>
      </c>
      <c r="G122" s="14">
        <v>0</v>
      </c>
      <c r="H122" s="14">
        <v>0</v>
      </c>
      <c r="I122" s="14">
        <v>2500000000</v>
      </c>
      <c r="J122" s="31" t="s">
        <v>621</v>
      </c>
      <c r="K122" s="45"/>
      <c r="L122" s="14"/>
      <c r="M122" s="14"/>
      <c r="N122" s="14"/>
      <c r="O122" s="14"/>
      <c r="P122" s="30"/>
      <c r="Q122" s="30"/>
      <c r="R122" s="14"/>
      <c r="S122" s="14"/>
      <c r="T122" s="14"/>
      <c r="U122" s="320"/>
      <c r="V122" s="14"/>
      <c r="W122" s="13"/>
    </row>
    <row r="123" spans="1:23" s="26" customFormat="1">
      <c r="A123" s="31" t="s">
        <v>571</v>
      </c>
      <c r="B123" s="54" t="s">
        <v>619</v>
      </c>
      <c r="C123" s="53" t="s">
        <v>621</v>
      </c>
      <c r="D123" s="14" t="s">
        <v>620</v>
      </c>
      <c r="E123" s="14"/>
      <c r="F123" s="45">
        <v>39171</v>
      </c>
      <c r="G123" s="14">
        <v>0</v>
      </c>
      <c r="H123" s="14">
        <v>0</v>
      </c>
      <c r="I123" s="14">
        <v>2000000000</v>
      </c>
      <c r="J123" s="31" t="s">
        <v>621</v>
      </c>
      <c r="K123" s="45"/>
      <c r="L123" s="14"/>
      <c r="M123" s="14"/>
      <c r="N123" s="14"/>
      <c r="O123" s="14"/>
      <c r="P123" s="14"/>
      <c r="Q123" s="14"/>
      <c r="R123" s="14"/>
      <c r="S123" s="14"/>
      <c r="T123" s="14"/>
      <c r="U123" s="320"/>
      <c r="V123" s="14"/>
      <c r="W123" s="13"/>
    </row>
    <row r="124" spans="1:23" s="26" customFormat="1">
      <c r="A124" s="31" t="s">
        <v>571</v>
      </c>
      <c r="B124" s="54" t="s">
        <v>619</v>
      </c>
      <c r="C124" s="72" t="s">
        <v>621</v>
      </c>
      <c r="D124" s="11" t="s">
        <v>620</v>
      </c>
      <c r="E124" s="11"/>
      <c r="F124" s="46">
        <v>39231</v>
      </c>
      <c r="G124" s="11">
        <v>0</v>
      </c>
      <c r="H124" s="11">
        <v>0</v>
      </c>
      <c r="I124" s="11">
        <v>295463014</v>
      </c>
      <c r="J124" s="36" t="s">
        <v>621</v>
      </c>
      <c r="K124" s="46"/>
      <c r="L124" s="11"/>
      <c r="M124" s="11"/>
      <c r="N124" s="11"/>
      <c r="O124" s="11"/>
      <c r="P124" s="35"/>
      <c r="Q124" s="35"/>
      <c r="R124" s="11">
        <f>+SUM(I117:I124)-SUM(O117:O124)</f>
        <v>0</v>
      </c>
      <c r="S124" s="11"/>
      <c r="T124" s="11"/>
      <c r="U124" s="321"/>
      <c r="V124" s="11"/>
      <c r="W124" s="13"/>
    </row>
    <row r="125" spans="1:23">
      <c r="A125" s="36" t="s">
        <v>571</v>
      </c>
      <c r="B125" s="85" t="s">
        <v>619</v>
      </c>
      <c r="C125" s="151" t="s">
        <v>577</v>
      </c>
      <c r="D125" s="147"/>
      <c r="E125" s="147"/>
      <c r="F125" s="148"/>
      <c r="G125" s="147"/>
      <c r="H125" s="147"/>
      <c r="I125" s="147">
        <f>SUM(I116:I124)</f>
        <v>10000000000</v>
      </c>
      <c r="J125" s="151"/>
      <c r="K125" s="151"/>
      <c r="L125" s="147"/>
      <c r="M125" s="147"/>
      <c r="N125" s="147">
        <f>SUM(N116:N124)</f>
        <v>11199652174</v>
      </c>
      <c r="O125" s="147">
        <f>SUM(O116:O124)</f>
        <v>10000000000</v>
      </c>
      <c r="P125" s="147">
        <f>SUM(P116:P124)</f>
        <v>1199652174</v>
      </c>
      <c r="Q125" s="147">
        <f>SUM(Q116:Q124)</f>
        <v>0</v>
      </c>
      <c r="R125" s="147">
        <f>SUM(R116:R124)</f>
        <v>0</v>
      </c>
      <c r="S125" s="147"/>
      <c r="T125" s="147"/>
      <c r="U125" s="151"/>
      <c r="V125" s="147"/>
    </row>
    <row r="126" spans="1:23">
      <c r="A126" s="3" t="s">
        <v>776</v>
      </c>
      <c r="B126" s="253" t="s">
        <v>511</v>
      </c>
      <c r="C126" s="115" t="s">
        <v>280</v>
      </c>
      <c r="D126" s="115" t="s">
        <v>512</v>
      </c>
      <c r="E126" s="115"/>
      <c r="F126" s="121">
        <v>39443</v>
      </c>
      <c r="G126" s="117">
        <f>33000*30</f>
        <v>990000</v>
      </c>
      <c r="H126" s="117">
        <f>+I126/G126</f>
        <v>10000</v>
      </c>
      <c r="I126" s="117">
        <v>9900000000</v>
      </c>
      <c r="J126" s="106" t="s">
        <v>962</v>
      </c>
      <c r="K126" s="121">
        <v>40113</v>
      </c>
      <c r="L126" s="117">
        <v>990000</v>
      </c>
      <c r="M126" s="117">
        <f>+N126/L126</f>
        <v>15972.444444444445</v>
      </c>
      <c r="N126" s="117">
        <v>15812720000</v>
      </c>
      <c r="O126" s="117">
        <v>9900000000</v>
      </c>
      <c r="P126" s="117">
        <f>+N126-O126</f>
        <v>5912720000</v>
      </c>
      <c r="Q126" s="106"/>
      <c r="R126" s="117">
        <f>+I126-O126</f>
        <v>0</v>
      </c>
      <c r="S126" s="117"/>
      <c r="T126" s="117"/>
      <c r="U126" s="106"/>
      <c r="V126" s="117"/>
    </row>
    <row r="127" spans="1:23">
      <c r="A127" s="3" t="s">
        <v>520</v>
      </c>
      <c r="B127" s="126" t="s">
        <v>513</v>
      </c>
      <c r="C127" s="107" t="s">
        <v>278</v>
      </c>
      <c r="D127" s="107" t="s">
        <v>512</v>
      </c>
      <c r="E127" s="107"/>
      <c r="F127" s="124">
        <v>39443</v>
      </c>
      <c r="G127" s="109">
        <f>26000*30</f>
        <v>780000</v>
      </c>
      <c r="H127" s="109">
        <f>+I127/G127</f>
        <v>9333.3333333333339</v>
      </c>
      <c r="I127" s="109">
        <v>7280000000</v>
      </c>
      <c r="J127" s="110" t="s">
        <v>959</v>
      </c>
      <c r="K127" s="124">
        <v>40113</v>
      </c>
      <c r="L127" s="109">
        <f>780000+300000</f>
        <v>1080000</v>
      </c>
      <c r="M127" s="109">
        <f>+N127/L127</f>
        <v>15972.444444444445</v>
      </c>
      <c r="N127" s="109">
        <v>17250240000</v>
      </c>
      <c r="O127" s="109">
        <f>7280000000+2800000000</f>
        <v>10080000000</v>
      </c>
      <c r="P127" s="109">
        <f>+N127-O127</f>
        <v>7170240000</v>
      </c>
      <c r="Q127" s="110"/>
      <c r="R127" s="109"/>
      <c r="S127" s="109"/>
      <c r="T127" s="109"/>
      <c r="U127" s="110"/>
      <c r="V127" s="109"/>
    </row>
    <row r="128" spans="1:23">
      <c r="A128" s="3" t="s">
        <v>520</v>
      </c>
      <c r="B128" s="175" t="s">
        <v>513</v>
      </c>
      <c r="C128" s="111" t="s">
        <v>278</v>
      </c>
      <c r="D128" s="111" t="s">
        <v>512</v>
      </c>
      <c r="E128" s="111"/>
      <c r="F128" s="125">
        <v>39443</v>
      </c>
      <c r="G128" s="113">
        <f>10000*30</f>
        <v>300000</v>
      </c>
      <c r="H128" s="113">
        <f>+I128/G128</f>
        <v>9333.3333333333339</v>
      </c>
      <c r="I128" s="113">
        <v>2800000000</v>
      </c>
      <c r="J128" s="114" t="s">
        <v>959</v>
      </c>
      <c r="K128" s="111"/>
      <c r="L128" s="113"/>
      <c r="M128" s="113"/>
      <c r="N128" s="113"/>
      <c r="O128" s="113"/>
      <c r="P128" s="113"/>
      <c r="Q128" s="114"/>
      <c r="R128" s="113">
        <f>+SUM(I127:I128)-SUM(O127:O128)</f>
        <v>0</v>
      </c>
      <c r="S128" s="113"/>
      <c r="T128" s="113"/>
      <c r="U128" s="114"/>
      <c r="V128" s="113"/>
    </row>
    <row r="129" spans="1:23">
      <c r="A129" s="272" t="s">
        <v>520</v>
      </c>
      <c r="B129" s="175" t="s">
        <v>513</v>
      </c>
      <c r="C129" s="118" t="s">
        <v>502</v>
      </c>
      <c r="D129" s="118"/>
      <c r="E129" s="118"/>
      <c r="F129" s="118"/>
      <c r="G129" s="118"/>
      <c r="H129" s="118"/>
      <c r="I129" s="119">
        <f>SUM(I126:I128)</f>
        <v>19980000000</v>
      </c>
      <c r="J129" s="120"/>
      <c r="K129" s="118"/>
      <c r="L129" s="119"/>
      <c r="M129" s="119"/>
      <c r="N129" s="119">
        <f>SUM(N126:N128)</f>
        <v>33062960000</v>
      </c>
      <c r="O129" s="119">
        <f>SUM(O126:O128)</f>
        <v>19980000000</v>
      </c>
      <c r="P129" s="119">
        <f>SUM(P126:P128)</f>
        <v>13082960000</v>
      </c>
      <c r="Q129" s="119">
        <f>SUM(Q126:Q128)</f>
        <v>0</v>
      </c>
      <c r="R129" s="119">
        <f>SUM(R126:R128)</f>
        <v>0</v>
      </c>
      <c r="S129" s="119"/>
      <c r="T129" s="119"/>
      <c r="U129" s="120"/>
      <c r="V129" s="119"/>
    </row>
    <row r="130" spans="1:23">
      <c r="A130" s="3" t="s">
        <v>520</v>
      </c>
      <c r="B130" s="273" t="s">
        <v>510</v>
      </c>
      <c r="C130" s="256" t="s">
        <v>490</v>
      </c>
      <c r="D130" s="256" t="s">
        <v>507</v>
      </c>
      <c r="E130" s="256"/>
      <c r="F130" s="122">
        <v>39927</v>
      </c>
      <c r="G130" s="256"/>
      <c r="H130" s="256"/>
      <c r="I130" s="128">
        <v>2000000000</v>
      </c>
      <c r="J130" s="129" t="s">
        <v>351</v>
      </c>
      <c r="K130" s="122">
        <v>40018</v>
      </c>
      <c r="L130" s="128"/>
      <c r="M130" s="128"/>
      <c r="N130" s="128">
        <v>24931507</v>
      </c>
      <c r="O130" s="128">
        <v>0</v>
      </c>
      <c r="P130" s="128">
        <f>+N130-O130</f>
        <v>24931507</v>
      </c>
      <c r="Q130" s="129" t="s">
        <v>491</v>
      </c>
      <c r="R130" s="128"/>
      <c r="S130" s="128"/>
      <c r="T130" s="128"/>
      <c r="U130" s="129"/>
      <c r="V130" s="128"/>
    </row>
    <row r="131" spans="1:23">
      <c r="A131" s="3" t="s">
        <v>520</v>
      </c>
      <c r="B131" s="274" t="s">
        <v>761</v>
      </c>
      <c r="C131" s="270" t="s">
        <v>490</v>
      </c>
      <c r="D131" s="270" t="s">
        <v>507</v>
      </c>
      <c r="E131" s="270"/>
      <c r="F131" s="271"/>
      <c r="G131" s="270"/>
      <c r="H131" s="270"/>
      <c r="I131" s="254"/>
      <c r="J131" s="255"/>
      <c r="K131" s="271">
        <v>40112</v>
      </c>
      <c r="L131" s="254"/>
      <c r="M131" s="254"/>
      <c r="N131" s="254">
        <v>25205479</v>
      </c>
      <c r="O131" s="254">
        <v>0</v>
      </c>
      <c r="P131" s="254">
        <f>+N131-O131</f>
        <v>25205479</v>
      </c>
      <c r="Q131" s="255" t="s">
        <v>491</v>
      </c>
      <c r="R131" s="254"/>
      <c r="S131" s="254"/>
      <c r="T131" s="254"/>
      <c r="U131" s="255"/>
      <c r="V131" s="254"/>
    </row>
    <row r="132" spans="1:23">
      <c r="A132" s="3" t="s">
        <v>520</v>
      </c>
      <c r="B132" s="274" t="s">
        <v>761</v>
      </c>
      <c r="C132" s="270" t="s">
        <v>490</v>
      </c>
      <c r="D132" s="270" t="s">
        <v>507</v>
      </c>
      <c r="E132" s="270"/>
      <c r="F132" s="271"/>
      <c r="G132" s="270"/>
      <c r="H132" s="270"/>
      <c r="I132" s="254"/>
      <c r="J132" s="255"/>
      <c r="K132" s="271">
        <v>40203</v>
      </c>
      <c r="L132" s="254"/>
      <c r="M132" s="254"/>
      <c r="N132" s="254">
        <v>25205479</v>
      </c>
      <c r="O132" s="254">
        <v>0</v>
      </c>
      <c r="P132" s="254">
        <f>+N132-O132</f>
        <v>25205479</v>
      </c>
      <c r="Q132" s="255" t="s">
        <v>491</v>
      </c>
      <c r="R132" s="254"/>
      <c r="S132" s="254"/>
      <c r="T132" s="254"/>
      <c r="U132" s="255"/>
      <c r="V132" s="254"/>
    </row>
    <row r="133" spans="1:23">
      <c r="A133" s="3" t="s">
        <v>520</v>
      </c>
      <c r="B133" s="275" t="s">
        <v>761</v>
      </c>
      <c r="C133" s="257" t="s">
        <v>490</v>
      </c>
      <c r="D133" s="257" t="s">
        <v>507</v>
      </c>
      <c r="E133" s="257"/>
      <c r="F133" s="123"/>
      <c r="G133" s="257"/>
      <c r="H133" s="257"/>
      <c r="I133" s="130"/>
      <c r="J133" s="131"/>
      <c r="K133" s="123">
        <v>40227</v>
      </c>
      <c r="L133" s="130"/>
      <c r="M133" s="130"/>
      <c r="N133" s="130">
        <v>2138356165</v>
      </c>
      <c r="O133" s="130">
        <v>2000000000</v>
      </c>
      <c r="P133" s="130">
        <f>+N133-O133</f>
        <v>138356165</v>
      </c>
      <c r="Q133" s="131" t="s">
        <v>503</v>
      </c>
      <c r="R133" s="130">
        <f>+SUM(I130:I133)-SUM(O130:O133)</f>
        <v>0</v>
      </c>
      <c r="S133" s="130"/>
      <c r="T133" s="130"/>
      <c r="U133" s="131"/>
      <c r="V133" s="130"/>
    </row>
    <row r="134" spans="1:23">
      <c r="A134" s="272" t="s">
        <v>520</v>
      </c>
      <c r="B134" s="175" t="s">
        <v>791</v>
      </c>
      <c r="C134" s="118" t="s">
        <v>502</v>
      </c>
      <c r="D134" s="118"/>
      <c r="E134" s="118"/>
      <c r="F134" s="118"/>
      <c r="G134" s="118"/>
      <c r="H134" s="118"/>
      <c r="I134" s="119">
        <f>SUBTOTAL(9,I130:I133)</f>
        <v>2000000000</v>
      </c>
      <c r="J134" s="120"/>
      <c r="K134" s="118"/>
      <c r="L134" s="119"/>
      <c r="M134" s="119"/>
      <c r="N134" s="119">
        <f>SUBTOTAL(9,N130:N133)</f>
        <v>2213698630</v>
      </c>
      <c r="O134" s="119">
        <f>SUBTOTAL(9,O130:O133)</f>
        <v>2000000000</v>
      </c>
      <c r="P134" s="119">
        <f>SUBTOTAL(9,P130:P133)</f>
        <v>213698630</v>
      </c>
      <c r="Q134" s="119">
        <v>0</v>
      </c>
      <c r="R134" s="119"/>
      <c r="S134" s="119"/>
      <c r="T134" s="119"/>
      <c r="U134" s="120"/>
      <c r="V134" s="119"/>
      <c r="W134" s="4"/>
    </row>
    <row r="135" spans="1:23">
      <c r="A135" s="93" t="s">
        <v>520</v>
      </c>
      <c r="B135" s="502" t="s">
        <v>1296</v>
      </c>
      <c r="C135" s="656" t="s">
        <v>1297</v>
      </c>
      <c r="D135" s="656" t="s">
        <v>1298</v>
      </c>
      <c r="E135" s="656"/>
      <c r="F135" s="642">
        <v>39444</v>
      </c>
      <c r="G135" s="610"/>
      <c r="H135" s="610"/>
      <c r="I135" s="610">
        <v>11330000000</v>
      </c>
      <c r="J135" s="612" t="s">
        <v>1287</v>
      </c>
      <c r="K135" s="642">
        <v>39538</v>
      </c>
      <c r="L135" s="610"/>
      <c r="M135" s="610"/>
      <c r="N135" s="610">
        <v>117956164</v>
      </c>
      <c r="O135" s="610">
        <v>0</v>
      </c>
      <c r="P135" s="610">
        <f t="shared" ref="P135:P178" si="6">+N135-O135</f>
        <v>117956164</v>
      </c>
      <c r="Q135" s="612" t="s">
        <v>491</v>
      </c>
      <c r="R135" s="656"/>
      <c r="S135" s="656"/>
      <c r="T135" s="492" t="s">
        <v>338</v>
      </c>
      <c r="U135" s="656"/>
      <c r="V135" s="656"/>
    </row>
    <row r="136" spans="1:23">
      <c r="A136" s="93" t="s">
        <v>520</v>
      </c>
      <c r="B136" s="491" t="s">
        <v>515</v>
      </c>
      <c r="C136" s="654" t="s">
        <v>1297</v>
      </c>
      <c r="D136" s="654" t="s">
        <v>299</v>
      </c>
      <c r="E136" s="654"/>
      <c r="F136" s="652"/>
      <c r="G136" s="657"/>
      <c r="H136" s="657"/>
      <c r="I136" s="657"/>
      <c r="J136" s="650"/>
      <c r="K136" s="652">
        <v>39629</v>
      </c>
      <c r="L136" s="657"/>
      <c r="M136" s="657"/>
      <c r="N136" s="657">
        <v>112989589</v>
      </c>
      <c r="O136" s="657">
        <v>0</v>
      </c>
      <c r="P136" s="657">
        <f t="shared" si="6"/>
        <v>112989589</v>
      </c>
      <c r="Q136" s="650" t="s">
        <v>491</v>
      </c>
      <c r="R136" s="654"/>
      <c r="S136" s="654"/>
      <c r="T136" s="493" t="s">
        <v>346</v>
      </c>
      <c r="U136" s="654"/>
      <c r="V136" s="654"/>
    </row>
    <row r="137" spans="1:23">
      <c r="A137" s="93" t="s">
        <v>520</v>
      </c>
      <c r="B137" s="491" t="s">
        <v>515</v>
      </c>
      <c r="C137" s="654" t="s">
        <v>1297</v>
      </c>
      <c r="D137" s="654" t="s">
        <v>299</v>
      </c>
      <c r="E137" s="654"/>
      <c r="F137" s="652"/>
      <c r="G137" s="657"/>
      <c r="H137" s="657"/>
      <c r="I137" s="657"/>
      <c r="J137" s="650"/>
      <c r="K137" s="652">
        <v>39721</v>
      </c>
      <c r="L137" s="657"/>
      <c r="M137" s="657"/>
      <c r="N137" s="657">
        <v>114231232</v>
      </c>
      <c r="O137" s="657">
        <v>0</v>
      </c>
      <c r="P137" s="657">
        <f t="shared" si="6"/>
        <v>114231232</v>
      </c>
      <c r="Q137" s="650" t="s">
        <v>491</v>
      </c>
      <c r="R137" s="654"/>
      <c r="S137" s="654"/>
      <c r="T137" s="493" t="s">
        <v>346</v>
      </c>
      <c r="U137" s="654"/>
      <c r="V137" s="654"/>
    </row>
    <row r="138" spans="1:23">
      <c r="A138" s="93" t="s">
        <v>520</v>
      </c>
      <c r="B138" s="491" t="s">
        <v>515</v>
      </c>
      <c r="C138" s="654" t="s">
        <v>1297</v>
      </c>
      <c r="D138" s="654" t="s">
        <v>299</v>
      </c>
      <c r="E138" s="654"/>
      <c r="F138" s="652"/>
      <c r="G138" s="657"/>
      <c r="H138" s="657"/>
      <c r="I138" s="657"/>
      <c r="J138" s="650"/>
      <c r="K138" s="652">
        <v>39813</v>
      </c>
      <c r="L138" s="657"/>
      <c r="M138" s="657"/>
      <c r="N138" s="657">
        <v>114231232</v>
      </c>
      <c r="O138" s="657">
        <v>0</v>
      </c>
      <c r="P138" s="657">
        <f t="shared" si="6"/>
        <v>114231232</v>
      </c>
      <c r="Q138" s="650" t="s">
        <v>491</v>
      </c>
      <c r="R138" s="654"/>
      <c r="S138" s="654"/>
      <c r="T138" s="493" t="s">
        <v>346</v>
      </c>
      <c r="U138" s="654"/>
      <c r="V138" s="654"/>
    </row>
    <row r="139" spans="1:23">
      <c r="A139" s="93" t="s">
        <v>520</v>
      </c>
      <c r="B139" s="491" t="s">
        <v>515</v>
      </c>
      <c r="C139" s="654" t="s">
        <v>1297</v>
      </c>
      <c r="D139" s="654" t="s">
        <v>299</v>
      </c>
      <c r="E139" s="654"/>
      <c r="F139" s="652"/>
      <c r="G139" s="657"/>
      <c r="H139" s="657"/>
      <c r="I139" s="657"/>
      <c r="J139" s="650"/>
      <c r="K139" s="652">
        <v>39903</v>
      </c>
      <c r="L139" s="657"/>
      <c r="M139" s="657"/>
      <c r="N139" s="657">
        <v>111747945</v>
      </c>
      <c r="O139" s="657">
        <v>0</v>
      </c>
      <c r="P139" s="657">
        <f t="shared" si="6"/>
        <v>111747945</v>
      </c>
      <c r="Q139" s="650" t="s">
        <v>491</v>
      </c>
      <c r="R139" s="654"/>
      <c r="S139" s="654"/>
      <c r="T139" s="493" t="s">
        <v>1250</v>
      </c>
      <c r="U139" s="654"/>
      <c r="V139" s="654"/>
    </row>
    <row r="140" spans="1:23">
      <c r="A140" s="93" t="s">
        <v>520</v>
      </c>
      <c r="B140" s="491" t="s">
        <v>515</v>
      </c>
      <c r="C140" s="476" t="s">
        <v>1297</v>
      </c>
      <c r="D140" s="476" t="s">
        <v>299</v>
      </c>
      <c r="E140" s="476"/>
      <c r="F140" s="646"/>
      <c r="G140" s="647"/>
      <c r="H140" s="647"/>
      <c r="I140" s="647"/>
      <c r="J140" s="735"/>
      <c r="K140" s="646">
        <v>39994</v>
      </c>
      <c r="L140" s="647"/>
      <c r="M140" s="647"/>
      <c r="N140" s="647">
        <v>112989589</v>
      </c>
      <c r="O140" s="647">
        <v>0</v>
      </c>
      <c r="P140" s="647">
        <f t="shared" si="6"/>
        <v>112989589</v>
      </c>
      <c r="Q140" s="735" t="s">
        <v>491</v>
      </c>
      <c r="R140" s="476"/>
      <c r="S140" s="476"/>
      <c r="T140" s="307" t="s">
        <v>1250</v>
      </c>
      <c r="U140" s="476"/>
      <c r="V140" s="476"/>
    </row>
    <row r="141" spans="1:23">
      <c r="A141" s="93" t="s">
        <v>520</v>
      </c>
      <c r="B141" s="491" t="s">
        <v>515</v>
      </c>
      <c r="C141" s="654" t="s">
        <v>1297</v>
      </c>
      <c r="D141" s="654" t="s">
        <v>299</v>
      </c>
      <c r="E141" s="654"/>
      <c r="F141" s="652"/>
      <c r="G141" s="657"/>
      <c r="H141" s="657"/>
      <c r="I141" s="657"/>
      <c r="J141" s="650"/>
      <c r="K141" s="652">
        <v>40086</v>
      </c>
      <c r="L141" s="657"/>
      <c r="M141" s="657"/>
      <c r="N141" s="657">
        <v>114231232</v>
      </c>
      <c r="O141" s="333"/>
      <c r="P141" s="657">
        <f t="shared" si="6"/>
        <v>114231232</v>
      </c>
      <c r="Q141" s="650" t="s">
        <v>491</v>
      </c>
      <c r="R141" s="654"/>
      <c r="S141" s="654"/>
      <c r="T141" s="493"/>
      <c r="U141" s="654"/>
      <c r="V141" s="654"/>
    </row>
    <row r="142" spans="1:23">
      <c r="A142" s="93" t="s">
        <v>520</v>
      </c>
      <c r="B142" s="491" t="s">
        <v>515</v>
      </c>
      <c r="C142" s="476" t="s">
        <v>1297</v>
      </c>
      <c r="D142" s="476" t="s">
        <v>299</v>
      </c>
      <c r="E142" s="476"/>
      <c r="F142" s="646"/>
      <c r="G142" s="647"/>
      <c r="H142" s="647"/>
      <c r="I142" s="647"/>
      <c r="J142" s="735"/>
      <c r="K142" s="646">
        <v>40178</v>
      </c>
      <c r="L142" s="647"/>
      <c r="M142" s="647"/>
      <c r="N142" s="647">
        <v>114231234</v>
      </c>
      <c r="O142" s="739"/>
      <c r="P142" s="647">
        <f t="shared" si="6"/>
        <v>114231234</v>
      </c>
      <c r="Q142" s="735" t="s">
        <v>491</v>
      </c>
      <c r="R142" s="476"/>
      <c r="S142" s="476"/>
      <c r="T142" s="307"/>
      <c r="U142" s="476"/>
      <c r="V142" s="476"/>
    </row>
    <row r="143" spans="1:23">
      <c r="A143" s="93" t="s">
        <v>520</v>
      </c>
      <c r="B143" s="491" t="s">
        <v>515</v>
      </c>
      <c r="C143" s="654" t="s">
        <v>1297</v>
      </c>
      <c r="D143" s="654" t="s">
        <v>299</v>
      </c>
      <c r="E143" s="654"/>
      <c r="F143" s="652"/>
      <c r="G143" s="657"/>
      <c r="H143" s="657"/>
      <c r="I143" s="657"/>
      <c r="J143" s="650"/>
      <c r="K143" s="652">
        <v>40268</v>
      </c>
      <c r="L143" s="657"/>
      <c r="M143" s="657"/>
      <c r="N143" s="657">
        <v>111747945</v>
      </c>
      <c r="O143" s="333">
        <v>0</v>
      </c>
      <c r="P143" s="657">
        <f t="shared" si="6"/>
        <v>111747945</v>
      </c>
      <c r="Q143" s="650" t="s">
        <v>491</v>
      </c>
      <c r="R143" s="654"/>
      <c r="S143" s="654"/>
      <c r="T143" s="493"/>
      <c r="U143" s="654"/>
      <c r="V143" s="654"/>
    </row>
    <row r="144" spans="1:23">
      <c r="A144" s="93" t="s">
        <v>520</v>
      </c>
      <c r="B144" s="491" t="s">
        <v>515</v>
      </c>
      <c r="C144" s="654" t="s">
        <v>1297</v>
      </c>
      <c r="D144" s="654" t="s">
        <v>299</v>
      </c>
      <c r="E144" s="654"/>
      <c r="F144" s="652"/>
      <c r="G144" s="657"/>
      <c r="H144" s="657"/>
      <c r="I144" s="657"/>
      <c r="J144" s="650"/>
      <c r="K144" s="652">
        <v>40274</v>
      </c>
      <c r="L144" s="657"/>
      <c r="M144" s="657"/>
      <c r="N144" s="657">
        <v>3083862437</v>
      </c>
      <c r="O144" s="333">
        <v>2700000000</v>
      </c>
      <c r="P144" s="657">
        <f t="shared" si="6"/>
        <v>383862437</v>
      </c>
      <c r="Q144" s="650" t="s">
        <v>1299</v>
      </c>
      <c r="R144" s="654"/>
      <c r="S144" s="654"/>
      <c r="T144" s="493"/>
      <c r="U144" s="654"/>
      <c r="V144" s="654"/>
    </row>
    <row r="145" spans="1:22">
      <c r="A145" s="93" t="s">
        <v>520</v>
      </c>
      <c r="B145" s="491" t="s">
        <v>515</v>
      </c>
      <c r="C145" s="654" t="s">
        <v>1297</v>
      </c>
      <c r="D145" s="654" t="s">
        <v>299</v>
      </c>
      <c r="E145" s="654"/>
      <c r="F145" s="652"/>
      <c r="G145" s="657"/>
      <c r="H145" s="657"/>
      <c r="I145" s="657"/>
      <c r="J145" s="650"/>
      <c r="K145" s="652">
        <v>40274</v>
      </c>
      <c r="L145" s="657"/>
      <c r="M145" s="657"/>
      <c r="N145" s="657">
        <v>343562570</v>
      </c>
      <c r="O145" s="333">
        <v>0</v>
      </c>
      <c r="P145" s="657">
        <f t="shared" si="6"/>
        <v>343562570</v>
      </c>
      <c r="Q145" s="650" t="s">
        <v>1252</v>
      </c>
      <c r="R145" s="654"/>
      <c r="S145" s="654"/>
      <c r="T145" s="493"/>
      <c r="U145" s="654"/>
      <c r="V145" s="654"/>
    </row>
    <row r="146" spans="1:22">
      <c r="A146" s="93" t="s">
        <v>520</v>
      </c>
      <c r="B146" s="491" t="s">
        <v>515</v>
      </c>
      <c r="C146" s="654" t="s">
        <v>1297</v>
      </c>
      <c r="D146" s="654" t="s">
        <v>299</v>
      </c>
      <c r="E146" s="654"/>
      <c r="F146" s="652"/>
      <c r="G146" s="657"/>
      <c r="H146" s="657"/>
      <c r="I146" s="657"/>
      <c r="J146" s="650"/>
      <c r="K146" s="652">
        <v>40359</v>
      </c>
      <c r="L146" s="657"/>
      <c r="M146" s="657"/>
      <c r="N146" s="657">
        <v>86063562</v>
      </c>
      <c r="O146" s="333">
        <v>0</v>
      </c>
      <c r="P146" s="657">
        <f t="shared" si="6"/>
        <v>86063562</v>
      </c>
      <c r="Q146" s="650" t="s">
        <v>491</v>
      </c>
      <c r="R146" s="654"/>
      <c r="S146" s="654"/>
      <c r="T146" s="493"/>
      <c r="U146" s="654"/>
      <c r="V146" s="654"/>
    </row>
    <row r="147" spans="1:22">
      <c r="A147" s="93" t="s">
        <v>520</v>
      </c>
      <c r="B147" s="491" t="s">
        <v>515</v>
      </c>
      <c r="C147" s="654" t="s">
        <v>1297</v>
      </c>
      <c r="D147" s="654" t="s">
        <v>299</v>
      </c>
      <c r="E147" s="654"/>
      <c r="F147" s="652"/>
      <c r="G147" s="657"/>
      <c r="H147" s="657"/>
      <c r="I147" s="657"/>
      <c r="J147" s="650"/>
      <c r="K147" s="652">
        <v>40451</v>
      </c>
      <c r="L147" s="657"/>
      <c r="M147" s="657"/>
      <c r="N147" s="657">
        <v>80657534</v>
      </c>
      <c r="O147" s="333"/>
      <c r="P147" s="657">
        <f t="shared" si="6"/>
        <v>80657534</v>
      </c>
      <c r="Q147" s="650" t="s">
        <v>491</v>
      </c>
      <c r="R147" s="654"/>
      <c r="S147" s="654"/>
      <c r="T147" s="493"/>
      <c r="U147" s="654"/>
      <c r="V147" s="654"/>
    </row>
    <row r="148" spans="1:22">
      <c r="A148" s="93" t="s">
        <v>520</v>
      </c>
      <c r="B148" s="491" t="s">
        <v>515</v>
      </c>
      <c r="C148" s="654" t="s">
        <v>1297</v>
      </c>
      <c r="D148" s="654" t="s">
        <v>299</v>
      </c>
      <c r="E148" s="654"/>
      <c r="F148" s="652"/>
      <c r="G148" s="657"/>
      <c r="H148" s="657"/>
      <c r="I148" s="657"/>
      <c r="J148" s="650"/>
      <c r="K148" s="652">
        <v>40451</v>
      </c>
      <c r="L148" s="657"/>
      <c r="M148" s="657"/>
      <c r="N148" s="657">
        <v>747170590</v>
      </c>
      <c r="O148" s="333">
        <v>630000000</v>
      </c>
      <c r="P148" s="657">
        <f t="shared" si="6"/>
        <v>117170590</v>
      </c>
      <c r="Q148" s="650" t="s">
        <v>1299</v>
      </c>
      <c r="R148" s="654"/>
      <c r="S148" s="654"/>
      <c r="T148" s="493"/>
      <c r="U148" s="654"/>
      <c r="V148" s="654"/>
    </row>
    <row r="149" spans="1:22">
      <c r="A149" s="93" t="s">
        <v>520</v>
      </c>
      <c r="B149" s="491" t="s">
        <v>515</v>
      </c>
      <c r="C149" s="654" t="s">
        <v>1297</v>
      </c>
      <c r="D149" s="654" t="s">
        <v>299</v>
      </c>
      <c r="E149" s="654"/>
      <c r="F149" s="652"/>
      <c r="G149" s="657"/>
      <c r="H149" s="657"/>
      <c r="I149" s="657"/>
      <c r="J149" s="650"/>
      <c r="K149" s="652">
        <v>40451</v>
      </c>
      <c r="L149" s="657"/>
      <c r="M149" s="657"/>
      <c r="N149" s="657">
        <v>102134719</v>
      </c>
      <c r="O149" s="333">
        <v>0</v>
      </c>
      <c r="P149" s="657">
        <f t="shared" si="6"/>
        <v>102134719</v>
      </c>
      <c r="Q149" s="650" t="s">
        <v>1252</v>
      </c>
      <c r="R149" s="654"/>
      <c r="S149" s="654"/>
      <c r="T149" s="493"/>
      <c r="U149" s="654"/>
      <c r="V149" s="654"/>
    </row>
    <row r="150" spans="1:22">
      <c r="A150" s="93" t="s">
        <v>520</v>
      </c>
      <c r="B150" s="491" t="s">
        <v>515</v>
      </c>
      <c r="C150" s="654" t="s">
        <v>1297</v>
      </c>
      <c r="D150" s="654" t="s">
        <v>299</v>
      </c>
      <c r="E150" s="654"/>
      <c r="F150" s="652"/>
      <c r="G150" s="657"/>
      <c r="H150" s="657"/>
      <c r="I150" s="657"/>
      <c r="J150" s="650"/>
      <c r="K150" s="652">
        <v>40543</v>
      </c>
      <c r="L150" s="657"/>
      <c r="M150" s="657"/>
      <c r="N150" s="657">
        <v>80657534</v>
      </c>
      <c r="O150" s="657">
        <v>0</v>
      </c>
      <c r="P150" s="657">
        <f t="shared" si="6"/>
        <v>80657534</v>
      </c>
      <c r="Q150" s="650" t="s">
        <v>491</v>
      </c>
      <c r="R150" s="654"/>
      <c r="S150" s="654"/>
      <c r="T150" s="493"/>
      <c r="U150" s="654"/>
      <c r="V150" s="654"/>
    </row>
    <row r="151" spans="1:22">
      <c r="A151" s="93" t="s">
        <v>520</v>
      </c>
      <c r="B151" s="491" t="s">
        <v>515</v>
      </c>
      <c r="C151" s="654" t="s">
        <v>1297</v>
      </c>
      <c r="D151" s="654" t="s">
        <v>299</v>
      </c>
      <c r="E151" s="654"/>
      <c r="F151" s="652"/>
      <c r="G151" s="657"/>
      <c r="H151" s="657"/>
      <c r="I151" s="657"/>
      <c r="J151" s="650"/>
      <c r="K151" s="652">
        <v>40633</v>
      </c>
      <c r="L151" s="657"/>
      <c r="M151" s="657"/>
      <c r="N151" s="657">
        <v>78904110</v>
      </c>
      <c r="O151" s="333"/>
      <c r="P151" s="657">
        <f t="shared" si="6"/>
        <v>78904110</v>
      </c>
      <c r="Q151" s="650" t="s">
        <v>491</v>
      </c>
      <c r="R151" s="654"/>
      <c r="S151" s="654"/>
      <c r="T151" s="494"/>
      <c r="U151" s="654"/>
      <c r="V151" s="654"/>
    </row>
    <row r="152" spans="1:22">
      <c r="A152" s="93" t="s">
        <v>520</v>
      </c>
      <c r="B152" s="491" t="s">
        <v>515</v>
      </c>
      <c r="C152" s="654" t="s">
        <v>1297</v>
      </c>
      <c r="D152" s="654" t="s">
        <v>299</v>
      </c>
      <c r="E152" s="654"/>
      <c r="F152" s="646"/>
      <c r="G152" s="647"/>
      <c r="H152" s="647"/>
      <c r="I152" s="647"/>
      <c r="J152" s="735"/>
      <c r="K152" s="646">
        <v>40722</v>
      </c>
      <c r="L152" s="647"/>
      <c r="M152" s="647"/>
      <c r="N152" s="647">
        <v>4965881959</v>
      </c>
      <c r="O152" s="739">
        <v>4000000000</v>
      </c>
      <c r="P152" s="647">
        <f t="shared" si="6"/>
        <v>965881959</v>
      </c>
      <c r="Q152" s="650" t="s">
        <v>1299</v>
      </c>
      <c r="R152" s="654"/>
      <c r="S152" s="654"/>
      <c r="T152" s="392"/>
      <c r="U152" s="654"/>
      <c r="V152" s="654"/>
    </row>
    <row r="153" spans="1:22">
      <c r="A153" s="93" t="s">
        <v>520</v>
      </c>
      <c r="B153" s="491" t="s">
        <v>515</v>
      </c>
      <c r="C153" s="476" t="s">
        <v>1297</v>
      </c>
      <c r="D153" s="476" t="s">
        <v>299</v>
      </c>
      <c r="E153" s="476"/>
      <c r="F153" s="646"/>
      <c r="G153" s="647"/>
      <c r="H153" s="647"/>
      <c r="I153" s="647"/>
      <c r="J153" s="735"/>
      <c r="K153" s="646">
        <v>40724</v>
      </c>
      <c r="L153" s="647"/>
      <c r="M153" s="647"/>
      <c r="N153" s="647">
        <v>39890411</v>
      </c>
      <c r="O153" s="647"/>
      <c r="P153" s="647">
        <f t="shared" si="6"/>
        <v>39890411</v>
      </c>
      <c r="Q153" s="735" t="s">
        <v>491</v>
      </c>
      <c r="R153" s="476"/>
      <c r="S153" s="476"/>
      <c r="T153" s="392"/>
      <c r="U153" s="476"/>
      <c r="V153" s="476"/>
    </row>
    <row r="154" spans="1:22">
      <c r="A154" s="93" t="s">
        <v>520</v>
      </c>
      <c r="B154" s="491" t="s">
        <v>515</v>
      </c>
      <c r="C154" s="476" t="s">
        <v>1297</v>
      </c>
      <c r="D154" s="476" t="s">
        <v>299</v>
      </c>
      <c r="E154" s="476"/>
      <c r="F154" s="646"/>
      <c r="G154" s="647"/>
      <c r="H154" s="647"/>
      <c r="I154" s="647"/>
      <c r="J154" s="735"/>
      <c r="K154" s="646">
        <v>40816</v>
      </c>
      <c r="L154" s="647"/>
      <c r="M154" s="647"/>
      <c r="N154" s="647">
        <v>40328767</v>
      </c>
      <c r="O154" s="647"/>
      <c r="P154" s="647">
        <f t="shared" si="6"/>
        <v>40328767</v>
      </c>
      <c r="Q154" s="735" t="s">
        <v>491</v>
      </c>
      <c r="R154" s="476"/>
      <c r="S154" s="476"/>
      <c r="T154" s="392"/>
      <c r="U154" s="476"/>
      <c r="V154" s="476"/>
    </row>
    <row r="155" spans="1:22">
      <c r="A155" s="93" t="s">
        <v>520</v>
      </c>
      <c r="B155" s="491" t="s">
        <v>515</v>
      </c>
      <c r="C155" s="654" t="s">
        <v>1297</v>
      </c>
      <c r="D155" s="654" t="s">
        <v>299</v>
      </c>
      <c r="E155" s="654"/>
      <c r="F155" s="652"/>
      <c r="G155" s="657"/>
      <c r="H155" s="657"/>
      <c r="I155" s="657"/>
      <c r="J155" s="650"/>
      <c r="K155" s="652">
        <v>40837</v>
      </c>
      <c r="L155" s="657"/>
      <c r="M155" s="657"/>
      <c r="N155" s="657">
        <v>2517814832</v>
      </c>
      <c r="O155" s="333">
        <v>2000000000</v>
      </c>
      <c r="P155" s="657">
        <f t="shared" si="6"/>
        <v>517814832</v>
      </c>
      <c r="Q155" s="650" t="s">
        <v>1299</v>
      </c>
      <c r="R155" s="654"/>
      <c r="S155" s="654"/>
      <c r="T155" s="392"/>
      <c r="U155" s="654"/>
      <c r="V155" s="654"/>
    </row>
    <row r="156" spans="1:22">
      <c r="A156" s="93" t="s">
        <v>520</v>
      </c>
      <c r="B156" s="491" t="s">
        <v>515</v>
      </c>
      <c r="C156" s="654" t="s">
        <v>1297</v>
      </c>
      <c r="D156" s="654" t="s">
        <v>299</v>
      </c>
      <c r="E156" s="654"/>
      <c r="F156" s="652"/>
      <c r="G156" s="657"/>
      <c r="H156" s="657"/>
      <c r="I156" s="657"/>
      <c r="J156" s="650"/>
      <c r="K156" s="652">
        <v>40910</v>
      </c>
      <c r="L156" s="657"/>
      <c r="M156" s="657"/>
      <c r="N156" s="657">
        <v>20164384</v>
      </c>
      <c r="O156" s="657">
        <v>0</v>
      </c>
      <c r="P156" s="657">
        <f t="shared" si="6"/>
        <v>20164384</v>
      </c>
      <c r="Q156" s="650" t="s">
        <v>491</v>
      </c>
      <c r="R156" s="654"/>
      <c r="S156" s="654"/>
      <c r="T156" s="392"/>
      <c r="U156" s="654"/>
      <c r="V156" s="654"/>
    </row>
    <row r="157" spans="1:22">
      <c r="A157" s="93" t="s">
        <v>520</v>
      </c>
      <c r="B157" s="491" t="s">
        <v>515</v>
      </c>
      <c r="C157" s="654" t="s">
        <v>1297</v>
      </c>
      <c r="D157" s="654" t="s">
        <v>299</v>
      </c>
      <c r="E157" s="654"/>
      <c r="F157" s="652"/>
      <c r="G157" s="657"/>
      <c r="H157" s="657"/>
      <c r="I157" s="657"/>
      <c r="J157" s="650"/>
      <c r="K157" s="652">
        <v>41001</v>
      </c>
      <c r="L157" s="657"/>
      <c r="M157" s="657"/>
      <c r="N157" s="657">
        <v>19890710</v>
      </c>
      <c r="O157" s="657">
        <v>0</v>
      </c>
      <c r="P157" s="657">
        <f t="shared" si="6"/>
        <v>19890710</v>
      </c>
      <c r="Q157" s="650" t="s">
        <v>491</v>
      </c>
      <c r="R157" s="654"/>
      <c r="S157" s="654"/>
      <c r="T157" s="392"/>
      <c r="U157" s="654"/>
      <c r="V157" s="654"/>
    </row>
    <row r="158" spans="1:22">
      <c r="A158" s="93" t="s">
        <v>520</v>
      </c>
      <c r="B158" s="491" t="s">
        <v>515</v>
      </c>
      <c r="C158" s="655" t="s">
        <v>1297</v>
      </c>
      <c r="D158" s="655" t="s">
        <v>299</v>
      </c>
      <c r="E158" s="655"/>
      <c r="F158" s="651"/>
      <c r="G158" s="614"/>
      <c r="H158" s="614"/>
      <c r="I158" s="614"/>
      <c r="J158" s="613"/>
      <c r="K158" s="651">
        <v>41023</v>
      </c>
      <c r="L158" s="614"/>
      <c r="M158" s="614"/>
      <c r="N158" s="614">
        <v>2602347462</v>
      </c>
      <c r="O158" s="614">
        <v>2000000000</v>
      </c>
      <c r="P158" s="614">
        <f t="shared" si="6"/>
        <v>602347462</v>
      </c>
      <c r="Q158" s="650" t="s">
        <v>491</v>
      </c>
      <c r="R158" s="497">
        <f>+SUM(I135:I158)-SUM(O135:O158)</f>
        <v>0</v>
      </c>
      <c r="S158" s="655"/>
      <c r="T158" s="392"/>
      <c r="U158" s="655"/>
      <c r="V158" s="655"/>
    </row>
    <row r="159" spans="1:22">
      <c r="A159" s="93" t="s">
        <v>520</v>
      </c>
      <c r="B159" s="491" t="s">
        <v>515</v>
      </c>
      <c r="C159" s="656" t="s">
        <v>280</v>
      </c>
      <c r="D159" s="656" t="s">
        <v>1298</v>
      </c>
      <c r="E159" s="656"/>
      <c r="F159" s="642">
        <v>39443</v>
      </c>
      <c r="G159" s="610">
        <v>1734000</v>
      </c>
      <c r="H159" s="610">
        <v>5000</v>
      </c>
      <c r="I159" s="610">
        <f>+G159*H159</f>
        <v>8670000000</v>
      </c>
      <c r="J159" s="612" t="s">
        <v>350</v>
      </c>
      <c r="K159" s="642">
        <v>40175</v>
      </c>
      <c r="L159" s="610">
        <v>230000</v>
      </c>
      <c r="M159" s="610">
        <v>6965</v>
      </c>
      <c r="N159" s="610">
        <f>+L159*M159</f>
        <v>1601950000</v>
      </c>
      <c r="O159" s="340">
        <f>+L159*5000</f>
        <v>1150000000</v>
      </c>
      <c r="P159" s="610">
        <f t="shared" si="6"/>
        <v>451950000</v>
      </c>
      <c r="Q159" s="612" t="s">
        <v>353</v>
      </c>
      <c r="R159" s="656"/>
      <c r="S159" s="656"/>
      <c r="T159" s="392"/>
      <c r="U159" s="656"/>
      <c r="V159" s="656"/>
    </row>
    <row r="160" spans="1:22">
      <c r="A160" s="93" t="s">
        <v>520</v>
      </c>
      <c r="B160" s="491" t="s">
        <v>515</v>
      </c>
      <c r="C160" s="654" t="s">
        <v>280</v>
      </c>
      <c r="D160" s="654" t="s">
        <v>1298</v>
      </c>
      <c r="E160" s="654"/>
      <c r="F160" s="652">
        <v>40268</v>
      </c>
      <c r="G160" s="657">
        <v>800000</v>
      </c>
      <c r="H160" s="657">
        <v>5000</v>
      </c>
      <c r="I160" s="657">
        <f>+G160*H160</f>
        <v>4000000000</v>
      </c>
      <c r="J160" s="650" t="s">
        <v>1300</v>
      </c>
      <c r="K160" s="652">
        <v>40602</v>
      </c>
      <c r="L160" s="657">
        <v>156000</v>
      </c>
      <c r="M160" s="657">
        <v>8457</v>
      </c>
      <c r="N160" s="657">
        <f>+L160*M160</f>
        <v>1319292000</v>
      </c>
      <c r="O160" s="333">
        <f>+L160*5000</f>
        <v>780000000</v>
      </c>
      <c r="P160" s="657">
        <f t="shared" si="6"/>
        <v>539292000</v>
      </c>
      <c r="Q160" s="650" t="s">
        <v>353</v>
      </c>
      <c r="R160" s="654"/>
      <c r="S160" s="654"/>
      <c r="T160" s="462"/>
      <c r="U160" s="654"/>
      <c r="V160" s="654"/>
    </row>
    <row r="161" spans="1:22">
      <c r="A161" s="93" t="s">
        <v>520</v>
      </c>
      <c r="B161" s="491" t="s">
        <v>515</v>
      </c>
      <c r="C161" s="654" t="s">
        <v>280</v>
      </c>
      <c r="D161" s="654" t="s">
        <v>1298</v>
      </c>
      <c r="E161" s="654"/>
      <c r="F161" s="652"/>
      <c r="G161" s="657"/>
      <c r="H161" s="657"/>
      <c r="I161" s="657"/>
      <c r="J161" s="650"/>
      <c r="K161" s="652">
        <v>41379</v>
      </c>
      <c r="L161" s="657"/>
      <c r="M161" s="657"/>
      <c r="N161" s="657">
        <v>1074000000</v>
      </c>
      <c r="O161" s="657">
        <v>0</v>
      </c>
      <c r="P161" s="657">
        <f t="shared" si="6"/>
        <v>1074000000</v>
      </c>
      <c r="Q161" s="650" t="s">
        <v>1003</v>
      </c>
      <c r="R161" s="654"/>
      <c r="S161" s="654"/>
      <c r="T161" s="492"/>
      <c r="U161" s="654"/>
      <c r="V161" s="654"/>
    </row>
    <row r="162" spans="1:22">
      <c r="A162" s="93" t="s">
        <v>520</v>
      </c>
      <c r="B162" s="491" t="s">
        <v>515</v>
      </c>
      <c r="C162" s="654" t="s">
        <v>280</v>
      </c>
      <c r="D162" s="654" t="s">
        <v>1298</v>
      </c>
      <c r="E162" s="654"/>
      <c r="F162" s="652"/>
      <c r="G162" s="657"/>
      <c r="H162" s="657"/>
      <c r="I162" s="657"/>
      <c r="J162" s="650"/>
      <c r="K162" s="652">
        <v>41705</v>
      </c>
      <c r="L162" s="657">
        <v>1533000</v>
      </c>
      <c r="M162" s="657">
        <f>+N162/L162</f>
        <v>6610</v>
      </c>
      <c r="N162" s="657">
        <v>10133130000</v>
      </c>
      <c r="O162" s="657">
        <f>+L162*5000</f>
        <v>7665000000</v>
      </c>
      <c r="P162" s="657">
        <f>+N162-O162</f>
        <v>2468130000</v>
      </c>
      <c r="Q162" s="650" t="s">
        <v>1440</v>
      </c>
      <c r="R162" s="654"/>
      <c r="S162" s="654"/>
      <c r="T162" s="494" t="s">
        <v>1441</v>
      </c>
      <c r="U162" s="654"/>
      <c r="V162" s="654"/>
    </row>
    <row r="163" spans="1:22">
      <c r="A163" s="93" t="s">
        <v>520</v>
      </c>
      <c r="B163" s="491" t="s">
        <v>515</v>
      </c>
      <c r="C163" s="655" t="s">
        <v>280</v>
      </c>
      <c r="D163" s="655" t="s">
        <v>1298</v>
      </c>
      <c r="E163" s="655"/>
      <c r="F163" s="651"/>
      <c r="G163" s="614"/>
      <c r="H163" s="614"/>
      <c r="I163" s="614"/>
      <c r="J163" s="613"/>
      <c r="K163" s="651">
        <v>41753</v>
      </c>
      <c r="L163" s="614">
        <v>615000</v>
      </c>
      <c r="M163" s="614">
        <f>+N163/L163</f>
        <v>6680</v>
      </c>
      <c r="N163" s="614">
        <v>4108200000</v>
      </c>
      <c r="O163" s="614">
        <f>+L163*5000</f>
        <v>3075000000</v>
      </c>
      <c r="P163" s="614">
        <f>+N163-O163</f>
        <v>1033200000</v>
      </c>
      <c r="Q163" s="613" t="s">
        <v>1443</v>
      </c>
      <c r="R163" s="130">
        <f>+SUM(I159:I163)-SUM(O159:O163)</f>
        <v>0</v>
      </c>
      <c r="S163" s="655"/>
      <c r="T163" s="392"/>
      <c r="U163" s="655"/>
      <c r="V163" s="655"/>
    </row>
    <row r="164" spans="1:22">
      <c r="A164" s="93" t="s">
        <v>520</v>
      </c>
      <c r="B164" s="491" t="s">
        <v>1438</v>
      </c>
      <c r="C164" s="656" t="s">
        <v>280</v>
      </c>
      <c r="D164" s="656" t="s">
        <v>1301</v>
      </c>
      <c r="E164" s="656"/>
      <c r="F164" s="642">
        <v>39337</v>
      </c>
      <c r="G164" s="610">
        <v>168000</v>
      </c>
      <c r="H164" s="610">
        <v>25000</v>
      </c>
      <c r="I164" s="610">
        <f>+G164*H164</f>
        <v>4200000000</v>
      </c>
      <c r="J164" s="612" t="s">
        <v>350</v>
      </c>
      <c r="K164" s="642">
        <v>40557</v>
      </c>
      <c r="L164" s="610"/>
      <c r="M164" s="610"/>
      <c r="N164" s="610">
        <v>193802158</v>
      </c>
      <c r="O164" s="610"/>
      <c r="P164" s="610">
        <f t="shared" si="6"/>
        <v>193802158</v>
      </c>
      <c r="Q164" s="612" t="s">
        <v>1302</v>
      </c>
      <c r="R164" s="656"/>
      <c r="S164" s="656"/>
      <c r="T164" s="462"/>
      <c r="U164" s="656"/>
      <c r="V164" s="656"/>
    </row>
    <row r="165" spans="1:22">
      <c r="A165" s="93" t="s">
        <v>520</v>
      </c>
      <c r="B165" s="491" t="s">
        <v>1438</v>
      </c>
      <c r="C165" s="654" t="s">
        <v>278</v>
      </c>
      <c r="D165" s="654" t="s">
        <v>1301</v>
      </c>
      <c r="E165" s="654"/>
      <c r="F165" s="652">
        <v>39337</v>
      </c>
      <c r="G165" s="657">
        <v>179200</v>
      </c>
      <c r="H165" s="657">
        <v>25000</v>
      </c>
      <c r="I165" s="657">
        <f>+G165*H165</f>
        <v>4480000000</v>
      </c>
      <c r="J165" s="650" t="s">
        <v>341</v>
      </c>
      <c r="K165" s="652">
        <v>40602</v>
      </c>
      <c r="L165" s="657"/>
      <c r="M165" s="657"/>
      <c r="N165" s="657">
        <v>193802158</v>
      </c>
      <c r="O165" s="657"/>
      <c r="P165" s="657">
        <f t="shared" si="6"/>
        <v>193802158</v>
      </c>
      <c r="Q165" s="650" t="s">
        <v>1302</v>
      </c>
      <c r="R165" s="654"/>
      <c r="S165" s="654"/>
      <c r="T165" s="462"/>
      <c r="U165" s="654"/>
      <c r="V165" s="654"/>
    </row>
    <row r="166" spans="1:22">
      <c r="A166" s="93" t="s">
        <v>520</v>
      </c>
      <c r="B166" s="491" t="s">
        <v>515</v>
      </c>
      <c r="C166" s="654" t="s">
        <v>278</v>
      </c>
      <c r="D166" s="654" t="s">
        <v>1301</v>
      </c>
      <c r="E166" s="654"/>
      <c r="F166" s="652">
        <v>39337</v>
      </c>
      <c r="G166" s="657">
        <v>212800</v>
      </c>
      <c r="H166" s="657">
        <v>25000</v>
      </c>
      <c r="I166" s="657">
        <f>+G166*H166</f>
        <v>5320000000</v>
      </c>
      <c r="J166" s="650" t="s">
        <v>341</v>
      </c>
      <c r="K166" s="652">
        <v>40639</v>
      </c>
      <c r="L166" s="657"/>
      <c r="M166" s="657"/>
      <c r="N166" s="657">
        <v>189589067</v>
      </c>
      <c r="O166" s="657"/>
      <c r="P166" s="657">
        <f t="shared" si="6"/>
        <v>189589067</v>
      </c>
      <c r="Q166" s="650" t="s">
        <v>1302</v>
      </c>
      <c r="R166" s="654"/>
      <c r="S166" s="654"/>
      <c r="T166" s="462"/>
      <c r="U166" s="654"/>
      <c r="V166" s="654"/>
    </row>
    <row r="167" spans="1:22">
      <c r="A167" s="93" t="s">
        <v>520</v>
      </c>
      <c r="B167" s="491" t="s">
        <v>515</v>
      </c>
      <c r="C167" s="654" t="s">
        <v>278</v>
      </c>
      <c r="D167" s="654" t="s">
        <v>1301</v>
      </c>
      <c r="E167" s="654"/>
      <c r="F167" s="652"/>
      <c r="G167" s="657"/>
      <c r="H167" s="657"/>
      <c r="I167" s="657"/>
      <c r="J167" s="650"/>
      <c r="K167" s="652">
        <v>40731</v>
      </c>
      <c r="L167" s="657"/>
      <c r="M167" s="657"/>
      <c r="N167" s="657">
        <v>191695613</v>
      </c>
      <c r="O167" s="657">
        <v>0</v>
      </c>
      <c r="P167" s="657">
        <f t="shared" si="6"/>
        <v>191695613</v>
      </c>
      <c r="Q167" s="650" t="s">
        <v>1302</v>
      </c>
      <c r="R167" s="654"/>
      <c r="S167" s="654"/>
      <c r="T167" s="462"/>
      <c r="U167" s="654"/>
      <c r="V167" s="654"/>
    </row>
    <row r="168" spans="1:22">
      <c r="A168" s="93" t="s">
        <v>520</v>
      </c>
      <c r="B168" s="491" t="s">
        <v>515</v>
      </c>
      <c r="C168" s="654" t="s">
        <v>278</v>
      </c>
      <c r="D168" s="654" t="s">
        <v>1301</v>
      </c>
      <c r="E168" s="654"/>
      <c r="F168" s="652"/>
      <c r="G168" s="657"/>
      <c r="H168" s="657"/>
      <c r="I168" s="657"/>
      <c r="J168" s="650"/>
      <c r="K168" s="652">
        <v>40822</v>
      </c>
      <c r="L168" s="657"/>
      <c r="M168" s="657"/>
      <c r="N168" s="657">
        <v>193802158</v>
      </c>
      <c r="O168" s="657"/>
      <c r="P168" s="657">
        <f t="shared" si="6"/>
        <v>193802158</v>
      </c>
      <c r="Q168" s="650" t="s">
        <v>1302</v>
      </c>
      <c r="R168" s="654"/>
      <c r="S168" s="654"/>
      <c r="T168" s="462"/>
      <c r="U168" s="654"/>
      <c r="V168" s="654"/>
    </row>
    <row r="169" spans="1:22">
      <c r="A169" s="93" t="s">
        <v>520</v>
      </c>
      <c r="B169" s="491" t="s">
        <v>515</v>
      </c>
      <c r="C169" s="654" t="s">
        <v>278</v>
      </c>
      <c r="D169" s="654" t="s">
        <v>1301</v>
      </c>
      <c r="E169" s="654"/>
      <c r="F169" s="652"/>
      <c r="G169" s="657"/>
      <c r="H169" s="657" t="s">
        <v>1476</v>
      </c>
      <c r="I169" s="657"/>
      <c r="J169" s="650"/>
      <c r="K169" s="652">
        <v>40914</v>
      </c>
      <c r="L169" s="657"/>
      <c r="M169" s="657"/>
      <c r="N169" s="657">
        <v>193802158</v>
      </c>
      <c r="O169" s="657"/>
      <c r="P169" s="657">
        <f t="shared" si="6"/>
        <v>193802158</v>
      </c>
      <c r="Q169" s="650" t="s">
        <v>1302</v>
      </c>
      <c r="R169" s="654"/>
      <c r="S169" s="654"/>
      <c r="T169" s="462"/>
      <c r="U169" s="654"/>
      <c r="V169" s="654"/>
    </row>
    <row r="170" spans="1:22">
      <c r="A170" s="93" t="s">
        <v>520</v>
      </c>
      <c r="B170" s="491" t="s">
        <v>515</v>
      </c>
      <c r="C170" s="654" t="s">
        <v>278</v>
      </c>
      <c r="D170" s="654" t="s">
        <v>1301</v>
      </c>
      <c r="E170" s="654"/>
      <c r="F170" s="652"/>
      <c r="G170" s="657"/>
      <c r="H170" s="657"/>
      <c r="I170" s="657"/>
      <c r="J170" s="650"/>
      <c r="K170" s="652">
        <v>41011</v>
      </c>
      <c r="L170" s="657"/>
      <c r="M170" s="657"/>
      <c r="N170" s="657">
        <v>204334884</v>
      </c>
      <c r="O170" s="657"/>
      <c r="P170" s="657">
        <f t="shared" si="6"/>
        <v>204334884</v>
      </c>
      <c r="Q170" s="650" t="s">
        <v>1302</v>
      </c>
      <c r="R170" s="654"/>
      <c r="S170" s="654"/>
      <c r="T170" s="462"/>
      <c r="U170" s="654"/>
      <c r="V170" s="654"/>
    </row>
    <row r="171" spans="1:22">
      <c r="A171" s="93" t="s">
        <v>520</v>
      </c>
      <c r="B171" s="491" t="s">
        <v>515</v>
      </c>
      <c r="C171" s="654" t="s">
        <v>278</v>
      </c>
      <c r="D171" s="654" t="s">
        <v>1301</v>
      </c>
      <c r="E171" s="654"/>
      <c r="F171" s="652"/>
      <c r="G171" s="657"/>
      <c r="H171" s="657"/>
      <c r="I171" s="657"/>
      <c r="J171" s="650"/>
      <c r="K171" s="652">
        <v>41080</v>
      </c>
      <c r="L171" s="657"/>
      <c r="M171" s="657"/>
      <c r="N171" s="657">
        <v>1176000000</v>
      </c>
      <c r="O171" s="657">
        <v>2800000000</v>
      </c>
      <c r="P171" s="657">
        <f t="shared" si="6"/>
        <v>-1624000000</v>
      </c>
      <c r="Q171" s="650" t="s">
        <v>1303</v>
      </c>
      <c r="R171" s="654"/>
      <c r="S171" s="654"/>
      <c r="T171" s="462"/>
      <c r="U171" s="654"/>
      <c r="V171" s="654"/>
    </row>
    <row r="172" spans="1:22">
      <c r="A172" s="93" t="s">
        <v>520</v>
      </c>
      <c r="B172" s="491" t="s">
        <v>515</v>
      </c>
      <c r="C172" s="654" t="s">
        <v>278</v>
      </c>
      <c r="D172" s="654" t="s">
        <v>1301</v>
      </c>
      <c r="E172" s="654"/>
      <c r="F172" s="652"/>
      <c r="G172" s="657"/>
      <c r="H172" s="657"/>
      <c r="I172" s="657"/>
      <c r="J172" s="650"/>
      <c r="K172" s="652">
        <v>41102</v>
      </c>
      <c r="L172" s="657"/>
      <c r="M172" s="657"/>
      <c r="N172" s="657">
        <v>191695613</v>
      </c>
      <c r="O172" s="657"/>
      <c r="P172" s="657">
        <f t="shared" si="6"/>
        <v>191695613</v>
      </c>
      <c r="Q172" s="650" t="s">
        <v>1302</v>
      </c>
      <c r="R172" s="654"/>
      <c r="S172" s="654"/>
      <c r="T172" s="462"/>
      <c r="U172" s="654"/>
      <c r="V172" s="654"/>
    </row>
    <row r="173" spans="1:22">
      <c r="A173" s="93" t="s">
        <v>520</v>
      </c>
      <c r="B173" s="491" t="s">
        <v>515</v>
      </c>
      <c r="C173" s="654" t="s">
        <v>278</v>
      </c>
      <c r="D173" s="654" t="s">
        <v>1301</v>
      </c>
      <c r="E173" s="654"/>
      <c r="F173" s="652"/>
      <c r="G173" s="657"/>
      <c r="H173" s="657"/>
      <c r="I173" s="657"/>
      <c r="J173" s="650"/>
      <c r="K173" s="652">
        <v>41110</v>
      </c>
      <c r="L173" s="657"/>
      <c r="M173" s="657"/>
      <c r="N173" s="657">
        <v>4704000000</v>
      </c>
      <c r="O173" s="657">
        <v>11200000000</v>
      </c>
      <c r="P173" s="657">
        <f t="shared" si="6"/>
        <v>-6496000000</v>
      </c>
      <c r="Q173" s="650" t="s">
        <v>353</v>
      </c>
      <c r="R173" s="654"/>
      <c r="S173" s="654"/>
      <c r="T173" s="462"/>
      <c r="U173" s="654"/>
      <c r="V173" s="654"/>
    </row>
    <row r="174" spans="1:22">
      <c r="A174" s="93" t="s">
        <v>520</v>
      </c>
      <c r="B174" s="491" t="s">
        <v>515</v>
      </c>
      <c r="C174" s="655" t="s">
        <v>278</v>
      </c>
      <c r="D174" s="655" t="s">
        <v>1301</v>
      </c>
      <c r="E174" s="655"/>
      <c r="F174" s="651"/>
      <c r="G174" s="614"/>
      <c r="H174" s="614"/>
      <c r="I174" s="614"/>
      <c r="J174" s="613"/>
      <c r="K174" s="651">
        <v>41194</v>
      </c>
      <c r="L174" s="614"/>
      <c r="M174" s="614"/>
      <c r="N174" s="614">
        <v>12639271</v>
      </c>
      <c r="O174" s="614">
        <v>0</v>
      </c>
      <c r="P174" s="614">
        <f t="shared" si="6"/>
        <v>12639271</v>
      </c>
      <c r="Q174" s="613" t="s">
        <v>1302</v>
      </c>
      <c r="R174" s="130">
        <f>+SUM(I164:I174)-SUM(O164:O174)</f>
        <v>0</v>
      </c>
      <c r="S174" s="655"/>
      <c r="T174" s="462"/>
      <c r="U174" s="655"/>
      <c r="V174" s="655"/>
    </row>
    <row r="175" spans="1:22">
      <c r="A175" s="93" t="s">
        <v>520</v>
      </c>
      <c r="B175" s="491" t="s">
        <v>515</v>
      </c>
      <c r="C175" s="656" t="s">
        <v>490</v>
      </c>
      <c r="D175" s="656" t="s">
        <v>507</v>
      </c>
      <c r="E175" s="656"/>
      <c r="F175" s="642">
        <v>39927</v>
      </c>
      <c r="G175" s="610"/>
      <c r="H175" s="610"/>
      <c r="I175" s="610">
        <v>4000000000</v>
      </c>
      <c r="J175" s="612" t="s">
        <v>351</v>
      </c>
      <c r="K175" s="642">
        <v>40018</v>
      </c>
      <c r="L175" s="610"/>
      <c r="M175" s="610"/>
      <c r="N175" s="610">
        <v>49863014</v>
      </c>
      <c r="O175" s="610">
        <v>0</v>
      </c>
      <c r="P175" s="610">
        <f t="shared" si="6"/>
        <v>49863014</v>
      </c>
      <c r="Q175" s="492" t="s">
        <v>491</v>
      </c>
      <c r="R175" s="656"/>
      <c r="S175" s="656"/>
      <c r="T175" s="462" t="s">
        <v>338</v>
      </c>
      <c r="U175" s="656"/>
      <c r="V175" s="656"/>
    </row>
    <row r="176" spans="1:22">
      <c r="A176" s="93" t="s">
        <v>520</v>
      </c>
      <c r="B176" s="491" t="s">
        <v>515</v>
      </c>
      <c r="C176" s="654" t="s">
        <v>490</v>
      </c>
      <c r="D176" s="654" t="s">
        <v>507</v>
      </c>
      <c r="E176" s="654"/>
      <c r="F176" s="652"/>
      <c r="G176" s="657"/>
      <c r="H176" s="657"/>
      <c r="I176" s="657"/>
      <c r="J176" s="650"/>
      <c r="K176" s="652">
        <v>40112</v>
      </c>
      <c r="L176" s="657"/>
      <c r="M176" s="657"/>
      <c r="N176" s="657">
        <v>50410959</v>
      </c>
      <c r="O176" s="657"/>
      <c r="P176" s="657">
        <f t="shared" si="6"/>
        <v>50410959</v>
      </c>
      <c r="Q176" s="493" t="s">
        <v>491</v>
      </c>
      <c r="R176" s="654"/>
      <c r="S176" s="654"/>
      <c r="T176" s="462"/>
      <c r="U176" s="654"/>
      <c r="V176" s="654"/>
    </row>
    <row r="177" spans="1:22">
      <c r="A177" s="93" t="s">
        <v>520</v>
      </c>
      <c r="B177" s="491" t="s">
        <v>515</v>
      </c>
      <c r="C177" s="654" t="s">
        <v>490</v>
      </c>
      <c r="D177" s="654" t="s">
        <v>507</v>
      </c>
      <c r="E177" s="654"/>
      <c r="F177" s="652"/>
      <c r="G177" s="657"/>
      <c r="H177" s="657"/>
      <c r="I177" s="657"/>
      <c r="J177" s="650"/>
      <c r="K177" s="652">
        <v>40203</v>
      </c>
      <c r="L177" s="657"/>
      <c r="M177" s="657"/>
      <c r="N177" s="657">
        <v>50410959</v>
      </c>
      <c r="O177" s="657"/>
      <c r="P177" s="657">
        <f t="shared" si="6"/>
        <v>50410959</v>
      </c>
      <c r="Q177" s="493" t="s">
        <v>491</v>
      </c>
      <c r="R177" s="654"/>
      <c r="S177" s="654"/>
      <c r="T177" s="462"/>
      <c r="U177" s="654"/>
      <c r="V177" s="654"/>
    </row>
    <row r="178" spans="1:22">
      <c r="A178" s="93" t="s">
        <v>520</v>
      </c>
      <c r="B178" s="491" t="s">
        <v>515</v>
      </c>
      <c r="C178" s="655" t="s">
        <v>490</v>
      </c>
      <c r="D178" s="655" t="s">
        <v>507</v>
      </c>
      <c r="E178" s="655"/>
      <c r="F178" s="651"/>
      <c r="G178" s="614"/>
      <c r="H178" s="614"/>
      <c r="I178" s="614"/>
      <c r="J178" s="613"/>
      <c r="K178" s="651">
        <v>40227</v>
      </c>
      <c r="L178" s="614"/>
      <c r="M178" s="614"/>
      <c r="N178" s="614">
        <v>4293150684</v>
      </c>
      <c r="O178" s="336">
        <v>4000000000</v>
      </c>
      <c r="P178" s="614">
        <f t="shared" si="6"/>
        <v>293150684</v>
      </c>
      <c r="Q178" s="494" t="s">
        <v>491</v>
      </c>
      <c r="R178" s="130">
        <f>+SUM(I175:I178)-SUM(O175:O178)</f>
        <v>0</v>
      </c>
      <c r="S178" s="655"/>
      <c r="T178" s="462"/>
      <c r="U178" s="655"/>
      <c r="V178" s="655"/>
    </row>
    <row r="179" spans="1:22">
      <c r="A179" s="272" t="s">
        <v>520</v>
      </c>
      <c r="B179" s="472" t="s">
        <v>515</v>
      </c>
      <c r="C179" s="467" t="s">
        <v>502</v>
      </c>
      <c r="D179" s="467"/>
      <c r="E179" s="467"/>
      <c r="F179" s="467"/>
      <c r="G179" s="467"/>
      <c r="H179" s="467"/>
      <c r="I179" s="498">
        <f>SUM(I135:I178)</f>
        <v>42000000000</v>
      </c>
      <c r="J179" s="468"/>
      <c r="K179" s="467"/>
      <c r="L179" s="498"/>
      <c r="M179" s="498"/>
      <c r="N179" s="498">
        <f t="shared" ref="N179:R179" si="7">SUM(N135:N178)</f>
        <v>45959258439</v>
      </c>
      <c r="O179" s="498">
        <f t="shared" si="7"/>
        <v>42000000000</v>
      </c>
      <c r="P179" s="498">
        <f t="shared" si="7"/>
        <v>3959258439</v>
      </c>
      <c r="Q179" s="161"/>
      <c r="R179" s="498">
        <f t="shared" si="7"/>
        <v>0</v>
      </c>
      <c r="S179" s="467"/>
      <c r="U179" s="467"/>
      <c r="V179" s="467"/>
    </row>
    <row r="200" spans="4:10">
      <c r="I200" s="4">
        <f>+I134+I129+I125+I115+I91+I86+I82+I54+I51+I50+I43+I42+I7</f>
        <v>209941009814</v>
      </c>
    </row>
    <row r="203" spans="4:10">
      <c r="D203" s="115" t="s">
        <v>512</v>
      </c>
      <c r="E203" s="115"/>
      <c r="F203" s="121">
        <v>39443</v>
      </c>
      <c r="G203" s="117">
        <f>33000*30</f>
        <v>990000</v>
      </c>
      <c r="H203" s="117">
        <f>+I203/G203</f>
        <v>-10000</v>
      </c>
      <c r="I203" s="117">
        <v>-9900000000</v>
      </c>
    </row>
    <row r="204" spans="4:10">
      <c r="D204" s="107" t="s">
        <v>512</v>
      </c>
      <c r="E204" s="107"/>
      <c r="F204" s="124">
        <v>39443</v>
      </c>
      <c r="G204" s="109">
        <f>26000*30</f>
        <v>780000</v>
      </c>
      <c r="H204" s="109">
        <f>+I204/G204</f>
        <v>-9333.3333333333339</v>
      </c>
      <c r="I204" s="109">
        <v>-7280000000</v>
      </c>
    </row>
    <row r="205" spans="4:10">
      <c r="D205" s="397"/>
      <c r="E205" s="397"/>
      <c r="F205" s="125">
        <v>39443</v>
      </c>
      <c r="G205" s="113">
        <f>10000*30</f>
        <v>300000</v>
      </c>
      <c r="H205" s="113">
        <f>+I205/G205</f>
        <v>-9333.3333333333339</v>
      </c>
      <c r="I205" s="113">
        <v>-2800000000</v>
      </c>
    </row>
    <row r="206" spans="4:10">
      <c r="F206" s="121">
        <v>40113</v>
      </c>
      <c r="G206" s="117">
        <v>990000</v>
      </c>
      <c r="H206" s="117">
        <f>+I206/G206</f>
        <v>15972.444444444445</v>
      </c>
      <c r="I206" s="117">
        <v>15812720000</v>
      </c>
    </row>
    <row r="207" spans="4:10">
      <c r="F207" s="124">
        <v>40113</v>
      </c>
      <c r="G207" s="109">
        <f>780000+300000</f>
        <v>1080000</v>
      </c>
      <c r="H207" s="109">
        <f>+I207/G207</f>
        <v>15972.444444444445</v>
      </c>
      <c r="I207" s="109">
        <v>17250240000</v>
      </c>
      <c r="J207" s="278">
        <f>+XIRR(I203:I207,F203:F207)</f>
        <v>0.31573289036750796</v>
      </c>
    </row>
    <row r="208" spans="4:10">
      <c r="I208" s="169">
        <f>+XIRR(I203:I207,F203:F207)</f>
        <v>0.31573289036750796</v>
      </c>
    </row>
    <row r="212" spans="4:10">
      <c r="D212" s="20" t="s">
        <v>605</v>
      </c>
      <c r="E212" s="20" t="s">
        <v>795</v>
      </c>
      <c r="F212" s="44">
        <v>38015</v>
      </c>
      <c r="G212" s="20">
        <v>0</v>
      </c>
      <c r="H212" s="20">
        <v>0</v>
      </c>
      <c r="I212" s="20">
        <f>+-I55</f>
        <v>-6100000000</v>
      </c>
    </row>
    <row r="213" spans="4:10">
      <c r="D213" s="14" t="s">
        <v>605</v>
      </c>
      <c r="E213" s="14"/>
      <c r="F213" s="45">
        <v>38016</v>
      </c>
      <c r="G213" s="14">
        <v>0</v>
      </c>
      <c r="H213" s="14">
        <v>0</v>
      </c>
      <c r="I213" s="20">
        <f t="shared" ref="I213:I218" si="8">+-I56</f>
        <v>-345496706</v>
      </c>
    </row>
    <row r="214" spans="4:10">
      <c r="D214" s="14" t="s">
        <v>605</v>
      </c>
      <c r="E214" s="14"/>
      <c r="F214" s="45">
        <v>38021</v>
      </c>
      <c r="G214" s="14">
        <v>0</v>
      </c>
      <c r="H214" s="14">
        <v>0</v>
      </c>
      <c r="I214" s="20">
        <f t="shared" si="8"/>
        <v>-31913480</v>
      </c>
    </row>
    <row r="215" spans="4:10">
      <c r="D215" s="14" t="s">
        <v>605</v>
      </c>
      <c r="E215" s="14"/>
      <c r="F215" s="45">
        <v>38036</v>
      </c>
      <c r="G215" s="14">
        <v>0</v>
      </c>
      <c r="H215" s="14">
        <v>0</v>
      </c>
      <c r="I215" s="20">
        <f t="shared" si="8"/>
        <v>-50000000</v>
      </c>
    </row>
    <row r="216" spans="4:10">
      <c r="D216" s="14" t="s">
        <v>605</v>
      </c>
      <c r="E216" s="14"/>
      <c r="F216" s="45">
        <v>38187</v>
      </c>
      <c r="G216" s="14">
        <v>0</v>
      </c>
      <c r="H216" s="14">
        <v>0</v>
      </c>
      <c r="I216" s="20">
        <f t="shared" si="8"/>
        <v>-350000000</v>
      </c>
    </row>
    <row r="217" spans="4:10">
      <c r="D217" s="14" t="s">
        <v>605</v>
      </c>
      <c r="E217" s="14"/>
      <c r="F217" s="45">
        <v>38198</v>
      </c>
      <c r="G217" s="14">
        <v>0</v>
      </c>
      <c r="H217" s="14">
        <v>0</v>
      </c>
      <c r="I217" s="20">
        <f t="shared" si="8"/>
        <v>-181200000</v>
      </c>
    </row>
    <row r="218" spans="4:10">
      <c r="D218" s="11" t="s">
        <v>605</v>
      </c>
      <c r="E218" s="11"/>
      <c r="F218" s="46">
        <v>38212</v>
      </c>
      <c r="G218" s="11">
        <v>0</v>
      </c>
      <c r="H218" s="11">
        <v>0</v>
      </c>
      <c r="I218" s="20">
        <f t="shared" si="8"/>
        <v>-30000000</v>
      </c>
    </row>
    <row r="219" spans="4:10">
      <c r="F219" s="44">
        <v>38077</v>
      </c>
      <c r="G219" s="20">
        <v>0</v>
      </c>
      <c r="H219" s="20">
        <v>0</v>
      </c>
      <c r="I219" s="20">
        <v>311667299</v>
      </c>
    </row>
    <row r="220" spans="4:10">
      <c r="F220" s="45">
        <v>38665</v>
      </c>
      <c r="G220" s="14">
        <v>0</v>
      </c>
      <c r="H220" s="14">
        <v>0</v>
      </c>
      <c r="I220" s="14">
        <v>4473006601</v>
      </c>
    </row>
    <row r="221" spans="4:10">
      <c r="F221" s="45">
        <v>38776</v>
      </c>
      <c r="G221" s="14">
        <v>0</v>
      </c>
      <c r="H221" s="14">
        <v>0</v>
      </c>
      <c r="I221" s="14">
        <v>5773112605</v>
      </c>
      <c r="J221" s="187">
        <f>+XIRR(I212:I221,F212:F221)</f>
        <v>0.24043567776679992</v>
      </c>
    </row>
    <row r="223" spans="4:10">
      <c r="D223" s="15" t="s">
        <v>606</v>
      </c>
      <c r="E223" s="15"/>
      <c r="F223" s="42">
        <v>38071</v>
      </c>
      <c r="G223" s="15">
        <v>100000</v>
      </c>
      <c r="H223" s="15">
        <v>20000</v>
      </c>
      <c r="I223" s="15">
        <v>-2000000000</v>
      </c>
    </row>
    <row r="224" spans="4:10">
      <c r="F224" s="42">
        <v>38387</v>
      </c>
      <c r="G224" s="15">
        <v>100000</v>
      </c>
      <c r="H224" s="15">
        <f>+I224/G224</f>
        <v>20562.37</v>
      </c>
      <c r="I224" s="15">
        <v>2056237000</v>
      </c>
      <c r="J224" s="187">
        <f>+XIRR(I223:I224,F223:F224)</f>
        <v>3.2548901438713085E-2</v>
      </c>
    </row>
    <row r="227" spans="4:10">
      <c r="D227" s="20" t="s">
        <v>606</v>
      </c>
      <c r="E227" s="20"/>
      <c r="F227" s="44">
        <v>38071</v>
      </c>
      <c r="G227" s="20"/>
      <c r="H227" s="20"/>
      <c r="I227" s="20">
        <v>-2000000000</v>
      </c>
    </row>
    <row r="228" spans="4:10">
      <c r="F228" s="44">
        <v>38077</v>
      </c>
      <c r="G228" s="20"/>
      <c r="H228" s="20"/>
      <c r="I228" s="20">
        <v>575342</v>
      </c>
    </row>
    <row r="229" spans="4:10">
      <c r="F229" s="45">
        <v>38168</v>
      </c>
      <c r="G229" s="14"/>
      <c r="H229" s="14"/>
      <c r="I229" s="14">
        <v>7397260</v>
      </c>
    </row>
    <row r="230" spans="4:10">
      <c r="F230" s="45">
        <v>38265</v>
      </c>
      <c r="G230" s="14"/>
      <c r="H230" s="14"/>
      <c r="I230" s="14">
        <v>7592718</v>
      </c>
    </row>
    <row r="231" spans="4:10">
      <c r="F231" s="45">
        <v>38321</v>
      </c>
      <c r="G231" s="14"/>
      <c r="H231" s="14"/>
      <c r="I231" s="14">
        <v>500000000</v>
      </c>
    </row>
    <row r="232" spans="4:10">
      <c r="F232" s="45">
        <v>38327</v>
      </c>
      <c r="G232" s="14"/>
      <c r="H232" s="14"/>
      <c r="I232" s="14">
        <v>500000000</v>
      </c>
    </row>
    <row r="233" spans="4:10">
      <c r="F233" s="45">
        <v>38371</v>
      </c>
      <c r="G233" s="14"/>
      <c r="H233" s="14"/>
      <c r="I233" s="14">
        <v>1000000000</v>
      </c>
    </row>
    <row r="234" spans="4:10">
      <c r="F234" s="46">
        <v>38386</v>
      </c>
      <c r="G234" s="11"/>
      <c r="H234" s="11"/>
      <c r="I234" s="11">
        <v>200000000</v>
      </c>
      <c r="J234" s="187">
        <f>+XIRR(I227:I234,F227:F234)</f>
        <v>0.14335885643959048</v>
      </c>
    </row>
    <row r="236" spans="4:10">
      <c r="D236" s="20" t="s">
        <v>608</v>
      </c>
      <c r="E236" s="20" t="s">
        <v>795</v>
      </c>
      <c r="F236" s="44">
        <v>38091</v>
      </c>
      <c r="G236" s="20">
        <v>500000</v>
      </c>
      <c r="H236" s="20">
        <v>5000</v>
      </c>
      <c r="I236" s="20">
        <v>-2500000000</v>
      </c>
    </row>
    <row r="237" spans="4:10">
      <c r="F237" s="44">
        <v>38600</v>
      </c>
      <c r="G237" s="20">
        <v>0</v>
      </c>
      <c r="H237" s="20">
        <v>0</v>
      </c>
      <c r="I237" s="20">
        <v>2650</v>
      </c>
    </row>
    <row r="238" spans="4:10">
      <c r="F238" s="45">
        <v>39157</v>
      </c>
      <c r="G238" s="14"/>
      <c r="H238" s="14"/>
      <c r="I238" s="14">
        <v>2000000000</v>
      </c>
    </row>
    <row r="239" spans="4:10">
      <c r="F239" s="46">
        <v>39167</v>
      </c>
      <c r="G239" s="11">
        <v>251868</v>
      </c>
      <c r="H239" s="11">
        <f>+(I238+I239)/G239</f>
        <v>14986.524310353043</v>
      </c>
      <c r="I239" s="11">
        <v>1774625905</v>
      </c>
      <c r="J239" s="187">
        <f>+XIRR(I236:I239,F236:F239)</f>
        <v>0.15079671740531925</v>
      </c>
    </row>
    <row r="241" spans="3:10">
      <c r="D241" s="14" t="s">
        <v>608</v>
      </c>
      <c r="E241" s="14"/>
      <c r="F241" s="45">
        <v>38091</v>
      </c>
      <c r="G241" s="14">
        <v>0</v>
      </c>
      <c r="H241" s="14">
        <v>0</v>
      </c>
      <c r="I241" s="14">
        <v>-2500000000</v>
      </c>
    </row>
    <row r="242" spans="3:10">
      <c r="F242" s="96">
        <v>38182</v>
      </c>
      <c r="G242" s="95"/>
      <c r="H242" s="95"/>
      <c r="I242" s="95">
        <v>50410958</v>
      </c>
    </row>
    <row r="243" spans="3:10">
      <c r="F243" s="97">
        <v>38274</v>
      </c>
      <c r="G243" s="14"/>
      <c r="H243" s="14"/>
      <c r="I243" s="14">
        <v>49863013</v>
      </c>
    </row>
    <row r="244" spans="3:10">
      <c r="F244" s="97">
        <v>38343</v>
      </c>
      <c r="G244" s="14"/>
      <c r="H244" s="14"/>
      <c r="I244" s="14">
        <v>1026679000</v>
      </c>
    </row>
    <row r="245" spans="3:10">
      <c r="F245" s="97">
        <v>38366</v>
      </c>
      <c r="G245" s="14"/>
      <c r="H245" s="14"/>
      <c r="I245" s="14">
        <v>30246575</v>
      </c>
    </row>
    <row r="246" spans="3:10">
      <c r="F246" s="97">
        <v>38456</v>
      </c>
      <c r="G246" s="14"/>
      <c r="H246" s="14"/>
      <c r="I246" s="14">
        <v>29589041</v>
      </c>
    </row>
    <row r="247" spans="3:10">
      <c r="F247" s="98">
        <v>38488</v>
      </c>
      <c r="G247" s="11"/>
      <c r="H247" s="11"/>
      <c r="I247" s="11">
        <v>1537580000</v>
      </c>
      <c r="J247" s="187">
        <f>+XIRR(I241:I247,F241:F247)</f>
        <v>9.9647599458694475E-2</v>
      </c>
    </row>
    <row r="249" spans="3:10">
      <c r="D249" s="20" t="s">
        <v>612</v>
      </c>
      <c r="E249" s="20" t="s">
        <v>795</v>
      </c>
      <c r="F249" s="44">
        <v>38168</v>
      </c>
      <c r="G249" s="20">
        <v>666667</v>
      </c>
      <c r="H249" s="20">
        <v>15000</v>
      </c>
      <c r="I249" s="20">
        <v>-10000005000</v>
      </c>
    </row>
    <row r="250" spans="3:10">
      <c r="F250" s="44">
        <v>39307</v>
      </c>
      <c r="G250" s="20">
        <v>333333</v>
      </c>
      <c r="H250" s="20">
        <v>22061</v>
      </c>
      <c r="I250" s="20">
        <v>7353496040</v>
      </c>
    </row>
    <row r="251" spans="3:10">
      <c r="F251" s="45">
        <v>39678</v>
      </c>
      <c r="G251" s="14">
        <v>333334</v>
      </c>
      <c r="H251" s="14">
        <f>+I251/G251</f>
        <v>22325.772270455458</v>
      </c>
      <c r="I251" s="14">
        <v>7441938974</v>
      </c>
    </row>
    <row r="252" spans="3:10">
      <c r="F252" s="46">
        <v>40101</v>
      </c>
      <c r="G252" s="11"/>
      <c r="H252" s="11"/>
      <c r="I252" s="11">
        <v>565000000</v>
      </c>
      <c r="J252" s="187">
        <f>+XIRR(I249:I252,F249:F252)</f>
        <v>0.12395723462104799</v>
      </c>
    </row>
    <row r="255" spans="3:10">
      <c r="C255" s="355" t="s">
        <v>613</v>
      </c>
      <c r="D255" s="355" t="s">
        <v>581</v>
      </c>
      <c r="E255" s="20" t="s">
        <v>612</v>
      </c>
      <c r="F255" s="20" t="s">
        <v>795</v>
      </c>
      <c r="G255" s="44">
        <v>38187</v>
      </c>
      <c r="H255" s="20">
        <v>666667</v>
      </c>
      <c r="I255" s="20">
        <v>15000</v>
      </c>
      <c r="J255" s="20">
        <v>-10000005000</v>
      </c>
    </row>
    <row r="256" spans="3:10">
      <c r="G256" s="44">
        <v>39307</v>
      </c>
      <c r="H256" s="20">
        <v>333333</v>
      </c>
      <c r="I256" s="20">
        <v>22001</v>
      </c>
      <c r="J256" s="20">
        <v>7333824277</v>
      </c>
    </row>
    <row r="257" spans="4:11">
      <c r="G257" s="45">
        <v>39678</v>
      </c>
      <c r="H257" s="14">
        <v>333334</v>
      </c>
      <c r="I257" s="14">
        <f>+J257/H257</f>
        <v>22139.996241007517</v>
      </c>
      <c r="J257" s="14">
        <v>7380013507</v>
      </c>
    </row>
    <row r="258" spans="4:11">
      <c r="G258" s="46">
        <v>40101</v>
      </c>
      <c r="H258" s="11"/>
      <c r="I258" s="11"/>
      <c r="J258" s="11">
        <v>565000000</v>
      </c>
      <c r="K258" s="187">
        <f>+XIRR(J255:J258,G255:G258)</f>
        <v>0.12423345446586609</v>
      </c>
    </row>
    <row r="263" spans="4:11">
      <c r="D263" s="20" t="s">
        <v>597</v>
      </c>
      <c r="E263" s="20"/>
      <c r="F263" s="44">
        <v>37644</v>
      </c>
      <c r="G263" s="20">
        <v>0</v>
      </c>
      <c r="H263" s="20">
        <v>0</v>
      </c>
      <c r="I263" s="20">
        <v>-3516457799</v>
      </c>
    </row>
    <row r="264" spans="4:11">
      <c r="F264" s="44">
        <v>37986</v>
      </c>
      <c r="G264" s="20">
        <v>0</v>
      </c>
      <c r="H264" s="20">
        <v>0</v>
      </c>
      <c r="I264" s="20">
        <v>1158205768</v>
      </c>
    </row>
    <row r="265" spans="4:11">
      <c r="F265" s="45">
        <v>38352</v>
      </c>
      <c r="G265" s="14">
        <v>0</v>
      </c>
      <c r="H265" s="14">
        <v>0</v>
      </c>
      <c r="I265" s="14">
        <v>1618205768</v>
      </c>
    </row>
    <row r="266" spans="4:11">
      <c r="F266" s="46">
        <v>38411</v>
      </c>
      <c r="G266" s="11">
        <v>0</v>
      </c>
      <c r="H266" s="11">
        <v>0</v>
      </c>
      <c r="I266" s="11">
        <v>1998366087</v>
      </c>
      <c r="J266" s="187">
        <f>+XIRR(I263:I266,F263:F266)</f>
        <v>0.19173228144645693</v>
      </c>
    </row>
    <row r="268" spans="4:11">
      <c r="D268" s="20" t="s">
        <v>602</v>
      </c>
      <c r="E268" s="20"/>
      <c r="F268" s="44">
        <v>37984</v>
      </c>
      <c r="G268" s="20">
        <v>890000</v>
      </c>
      <c r="H268" s="20">
        <v>5000</v>
      </c>
      <c r="I268" s="20">
        <v>-4450000000</v>
      </c>
    </row>
    <row r="269" spans="4:11">
      <c r="D269" s="20"/>
      <c r="E269" s="20"/>
      <c r="F269" s="44">
        <v>38595</v>
      </c>
      <c r="G269" s="20">
        <v>890000</v>
      </c>
      <c r="H269" s="20">
        <v>11260</v>
      </c>
      <c r="I269" s="20">
        <v>10020978231</v>
      </c>
      <c r="J269" s="187">
        <f>+XIRR(I268:I269,F268:F269)</f>
        <v>0.62407789826393123</v>
      </c>
    </row>
    <row r="270" spans="4:11">
      <c r="D270" s="15" t="s">
        <v>602</v>
      </c>
      <c r="E270" s="15"/>
      <c r="F270" s="42">
        <v>37984</v>
      </c>
      <c r="G270" s="15">
        <v>0</v>
      </c>
      <c r="H270" s="15">
        <v>0</v>
      </c>
      <c r="I270" s="15">
        <v>-4450000000</v>
      </c>
    </row>
    <row r="271" spans="4:11">
      <c r="F271" s="42">
        <v>38595</v>
      </c>
      <c r="G271" s="15">
        <v>0</v>
      </c>
      <c r="H271" s="15">
        <v>0</v>
      </c>
      <c r="I271" s="15">
        <v>4450000000</v>
      </c>
      <c r="J271" s="187">
        <f>+XIRR(I270:I271,F270:F271)</f>
        <v>2.9802322387695314E-9</v>
      </c>
    </row>
  </sheetData>
  <autoFilter ref="B3:AD179"/>
  <phoneticPr fontId="2" type="noConversion"/>
  <pageMargins left="0.19685039370078741" right="0.19685039370078741" top="0.31496062992125984" bottom="0.15748031496062992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741"/>
  <sheetViews>
    <sheetView view="pageBreakPreview" zoomScale="75" zoomScaleNormal="80" zoomScaleSheetLayoutView="75" workbookViewId="0">
      <pane xSplit="6" ySplit="3" topLeftCell="G463" activePane="bottomRight" state="frozen"/>
      <selection activeCell="D36" sqref="D36"/>
      <selection pane="topRight" activeCell="D36" sqref="D36"/>
      <selection pane="bottomLeft" activeCell="D36" sqref="D36"/>
      <selection pane="bottomRight" activeCell="M472" sqref="M472"/>
    </sheetView>
  </sheetViews>
  <sheetFormatPr defaultRowHeight="14.25" customHeight="1"/>
  <cols>
    <col min="1" max="1" width="15.625" style="455" bestFit="1" customWidth="1"/>
    <col min="2" max="2" width="11" style="455" hidden="1" customWidth="1"/>
    <col min="3" max="3" width="9.5" style="455" hidden="1" customWidth="1"/>
    <col min="4" max="4" width="15.5" style="455" hidden="1" customWidth="1"/>
    <col min="5" max="5" width="12.25" style="474" hidden="1" customWidth="1"/>
    <col min="6" max="6" width="19.875" style="455" customWidth="1"/>
    <col min="7" max="7" width="14.25" style="741" customWidth="1"/>
    <col min="8" max="8" width="13.125" style="637" customWidth="1"/>
    <col min="9" max="9" width="14.125" style="637" customWidth="1"/>
    <col min="10" max="10" width="17.125" style="637" bestFit="1" customWidth="1"/>
    <col min="11" max="11" width="20.5" style="887" customWidth="1"/>
    <col min="12" max="12" width="11.5" style="474" customWidth="1"/>
    <col min="13" max="13" width="9.625" style="637" bestFit="1" customWidth="1"/>
    <col min="14" max="14" width="14.75" style="637" bestFit="1" customWidth="1"/>
    <col min="15" max="15" width="15.375" style="637" customWidth="1"/>
    <col min="16" max="16" width="15.375" style="639" hidden="1" customWidth="1"/>
    <col min="17" max="17" width="17.5" style="637" customWidth="1"/>
    <col min="18" max="18" width="14.5" style="637" customWidth="1"/>
    <col min="19" max="19" width="18.75" style="474" customWidth="1"/>
    <col min="20" max="20" width="17.125" style="491" customWidth="1"/>
    <col min="21" max="21" width="14.75" style="455" bestFit="1" customWidth="1"/>
    <col min="22" max="22" width="15.625" style="460" customWidth="1"/>
    <col min="23" max="23" width="11" style="460" customWidth="1"/>
    <col min="24" max="24" width="11" style="455" customWidth="1"/>
    <col min="25" max="27" width="10.625" style="455" customWidth="1"/>
    <col min="28" max="28" width="14.75" style="455" customWidth="1"/>
    <col min="29" max="29" width="14.75" style="455" bestFit="1" customWidth="1"/>
    <col min="30" max="30" width="13.25" style="665" bestFit="1" customWidth="1"/>
    <col min="31" max="31" width="13.25" style="455" bestFit="1" customWidth="1"/>
    <col min="32" max="32" width="9" style="455"/>
    <col min="33" max="33" width="13.625" style="455" customWidth="1"/>
    <col min="34" max="37" width="13.875" style="455" customWidth="1"/>
    <col min="38" max="16384" width="9" style="455"/>
  </cols>
  <sheetData>
    <row r="1" spans="1:30" ht="14.25" customHeight="1">
      <c r="A1" s="458" t="s">
        <v>1182</v>
      </c>
      <c r="B1" s="458"/>
      <c r="C1" s="458"/>
      <c r="D1" s="458"/>
      <c r="E1" s="752"/>
      <c r="F1" s="574"/>
      <c r="G1" s="753"/>
      <c r="H1" s="752"/>
      <c r="I1" s="752"/>
      <c r="J1" s="752"/>
      <c r="K1" s="752"/>
      <c r="L1" s="752"/>
      <c r="M1" s="752"/>
      <c r="N1" s="752"/>
      <c r="O1" s="752"/>
      <c r="P1" s="574"/>
      <c r="Q1" s="752"/>
      <c r="R1" s="752"/>
      <c r="S1" s="752"/>
      <c r="T1" s="752"/>
      <c r="U1" s="574"/>
      <c r="V1" s="574"/>
      <c r="W1" s="574"/>
      <c r="X1" s="574"/>
    </row>
    <row r="3" spans="1:30" s="460" customFormat="1" ht="14.25" customHeight="1">
      <c r="A3" s="461" t="s">
        <v>831</v>
      </c>
      <c r="B3" s="912" t="s">
        <v>1183</v>
      </c>
      <c r="C3" s="913"/>
      <c r="D3" s="748" t="s">
        <v>1184</v>
      </c>
      <c r="E3" s="461" t="s">
        <v>1185</v>
      </c>
      <c r="F3" s="754" t="s">
        <v>1186</v>
      </c>
      <c r="G3" s="462" t="s">
        <v>1187</v>
      </c>
      <c r="H3" s="463" t="s">
        <v>1188</v>
      </c>
      <c r="I3" s="463" t="s">
        <v>1189</v>
      </c>
      <c r="J3" s="463" t="s">
        <v>281</v>
      </c>
      <c r="K3" s="463" t="s">
        <v>1190</v>
      </c>
      <c r="L3" s="461" t="s">
        <v>1191</v>
      </c>
      <c r="M3" s="463" t="s">
        <v>1192</v>
      </c>
      <c r="N3" s="463" t="s">
        <v>1193</v>
      </c>
      <c r="O3" s="463" t="s">
        <v>1194</v>
      </c>
      <c r="P3" s="755" t="s">
        <v>1195</v>
      </c>
      <c r="Q3" s="463" t="s">
        <v>1196</v>
      </c>
      <c r="R3" s="463" t="s">
        <v>1197</v>
      </c>
      <c r="S3" s="461" t="s">
        <v>1198</v>
      </c>
      <c r="T3" s="462" t="s">
        <v>1199</v>
      </c>
      <c r="U3" s="749" t="s">
        <v>1200</v>
      </c>
      <c r="V3" s="461" t="s">
        <v>1201</v>
      </c>
      <c r="W3" s="461" t="s">
        <v>1202</v>
      </c>
      <c r="X3" s="460" t="s">
        <v>1203</v>
      </c>
      <c r="AD3" s="356"/>
    </row>
    <row r="4" spans="1:30" ht="14.25" customHeight="1">
      <c r="A4" s="473" t="s">
        <v>476</v>
      </c>
      <c r="B4" s="473"/>
      <c r="C4" s="473"/>
      <c r="D4" s="473" t="s">
        <v>19</v>
      </c>
      <c r="E4" s="456" t="s">
        <v>1204</v>
      </c>
      <c r="F4" s="456" t="s">
        <v>287</v>
      </c>
      <c r="G4" s="663">
        <v>38316</v>
      </c>
      <c r="H4" s="662">
        <v>0</v>
      </c>
      <c r="I4" s="662"/>
      <c r="J4" s="662">
        <v>300000000</v>
      </c>
      <c r="K4" s="558" t="s">
        <v>1205</v>
      </c>
      <c r="L4" s="436">
        <v>38867</v>
      </c>
      <c r="M4" s="662">
        <v>0</v>
      </c>
      <c r="N4" s="662"/>
      <c r="O4" s="662">
        <v>35855582</v>
      </c>
      <c r="P4" s="634"/>
      <c r="Q4" s="662">
        <v>35855582</v>
      </c>
      <c r="R4" s="662">
        <v>0</v>
      </c>
      <c r="S4" s="512"/>
      <c r="T4" s="664"/>
      <c r="U4" s="456"/>
      <c r="V4" s="501" t="s">
        <v>475</v>
      </c>
      <c r="W4" s="501"/>
      <c r="X4" s="574"/>
    </row>
    <row r="5" spans="1:30" ht="14.25" customHeight="1">
      <c r="A5" s="474" t="s">
        <v>476</v>
      </c>
      <c r="B5" s="474"/>
      <c r="C5" s="474"/>
      <c r="D5" s="474" t="s">
        <v>1081</v>
      </c>
      <c r="E5" s="450" t="s">
        <v>1204</v>
      </c>
      <c r="F5" s="450" t="s">
        <v>287</v>
      </c>
      <c r="G5" s="627"/>
      <c r="H5" s="635"/>
      <c r="I5" s="635"/>
      <c r="J5" s="635"/>
      <c r="K5" s="471"/>
      <c r="L5" s="438">
        <v>38884</v>
      </c>
      <c r="M5" s="635">
        <v>0</v>
      </c>
      <c r="N5" s="635"/>
      <c r="O5" s="635">
        <v>35893732</v>
      </c>
      <c r="P5" s="635"/>
      <c r="Q5" s="635">
        <v>35893732</v>
      </c>
      <c r="R5" s="635">
        <v>0</v>
      </c>
      <c r="S5" s="450"/>
      <c r="T5" s="654"/>
      <c r="U5" s="450"/>
      <c r="V5" s="499" t="s">
        <v>475</v>
      </c>
      <c r="W5" s="499"/>
      <c r="X5" s="574"/>
    </row>
    <row r="6" spans="1:30" ht="14.25" customHeight="1">
      <c r="A6" s="474" t="s">
        <v>476</v>
      </c>
      <c r="B6" s="474"/>
      <c r="C6" s="474"/>
      <c r="D6" s="474" t="s">
        <v>1162</v>
      </c>
      <c r="E6" s="450" t="s">
        <v>1204</v>
      </c>
      <c r="F6" s="450" t="s">
        <v>287</v>
      </c>
      <c r="G6" s="627"/>
      <c r="H6" s="635"/>
      <c r="I6" s="635"/>
      <c r="J6" s="635"/>
      <c r="K6" s="471"/>
      <c r="L6" s="438">
        <v>38919</v>
      </c>
      <c r="M6" s="635">
        <v>0</v>
      </c>
      <c r="N6" s="635"/>
      <c r="O6" s="635">
        <v>35135349</v>
      </c>
      <c r="P6" s="635"/>
      <c r="Q6" s="635">
        <v>35135349</v>
      </c>
      <c r="R6" s="635">
        <v>0</v>
      </c>
      <c r="S6" s="450"/>
      <c r="T6" s="654"/>
      <c r="U6" s="450"/>
      <c r="V6" s="499" t="s">
        <v>475</v>
      </c>
      <c r="W6" s="499"/>
      <c r="X6" s="574"/>
    </row>
    <row r="7" spans="1:30" ht="14.25" customHeight="1">
      <c r="A7" s="474" t="s">
        <v>476</v>
      </c>
      <c r="B7" s="474"/>
      <c r="C7" s="474"/>
      <c r="D7" s="474"/>
      <c r="E7" s="450" t="s">
        <v>1204</v>
      </c>
      <c r="F7" s="450" t="s">
        <v>287</v>
      </c>
      <c r="G7" s="627"/>
      <c r="H7" s="635"/>
      <c r="I7" s="635"/>
      <c r="J7" s="635"/>
      <c r="K7" s="471"/>
      <c r="L7" s="438">
        <v>38951</v>
      </c>
      <c r="M7" s="635">
        <v>0</v>
      </c>
      <c r="N7" s="635"/>
      <c r="O7" s="635">
        <v>35554037</v>
      </c>
      <c r="P7" s="635"/>
      <c r="Q7" s="635">
        <v>35554037</v>
      </c>
      <c r="R7" s="635">
        <v>0</v>
      </c>
      <c r="S7" s="450"/>
      <c r="T7" s="654"/>
      <c r="U7" s="450"/>
      <c r="V7" s="499" t="s">
        <v>475</v>
      </c>
      <c r="W7" s="499"/>
      <c r="X7" s="574"/>
    </row>
    <row r="8" spans="1:30" ht="14.25" customHeight="1">
      <c r="A8" s="474" t="s">
        <v>476</v>
      </c>
      <c r="B8" s="474"/>
      <c r="C8" s="474"/>
      <c r="D8" s="474"/>
      <c r="E8" s="450" t="s">
        <v>1204</v>
      </c>
      <c r="F8" s="450" t="s">
        <v>287</v>
      </c>
      <c r="G8" s="627"/>
      <c r="H8" s="635"/>
      <c r="I8" s="635"/>
      <c r="J8" s="635"/>
      <c r="K8" s="471"/>
      <c r="L8" s="438">
        <v>38980</v>
      </c>
      <c r="M8" s="635">
        <v>0</v>
      </c>
      <c r="N8" s="635"/>
      <c r="O8" s="635">
        <v>30070077</v>
      </c>
      <c r="P8" s="635"/>
      <c r="Q8" s="635">
        <v>30070077</v>
      </c>
      <c r="R8" s="635">
        <v>0</v>
      </c>
      <c r="S8" s="450"/>
      <c r="T8" s="654"/>
      <c r="U8" s="450"/>
      <c r="V8" s="499" t="s">
        <v>475</v>
      </c>
      <c r="W8" s="499"/>
      <c r="X8" s="574"/>
    </row>
    <row r="9" spans="1:30" ht="14.25" customHeight="1">
      <c r="A9" s="474" t="s">
        <v>476</v>
      </c>
      <c r="B9" s="474"/>
      <c r="C9" s="474"/>
      <c r="D9" s="474"/>
      <c r="E9" s="450" t="s">
        <v>1204</v>
      </c>
      <c r="F9" s="450" t="s">
        <v>287</v>
      </c>
      <c r="G9" s="627"/>
      <c r="H9" s="635"/>
      <c r="I9" s="635"/>
      <c r="J9" s="635"/>
      <c r="K9" s="471"/>
      <c r="L9" s="438">
        <v>39020</v>
      </c>
      <c r="M9" s="635">
        <v>0</v>
      </c>
      <c r="N9" s="635"/>
      <c r="O9" s="635">
        <v>35489730</v>
      </c>
      <c r="P9" s="635"/>
      <c r="Q9" s="635">
        <v>35489730</v>
      </c>
      <c r="R9" s="635">
        <v>0</v>
      </c>
      <c r="S9" s="450"/>
      <c r="T9" s="654"/>
      <c r="U9" s="450"/>
      <c r="V9" s="499" t="s">
        <v>475</v>
      </c>
      <c r="W9" s="499"/>
      <c r="X9" s="574"/>
    </row>
    <row r="10" spans="1:30" ht="14.25" customHeight="1">
      <c r="A10" s="474" t="s">
        <v>476</v>
      </c>
      <c r="B10" s="474"/>
      <c r="C10" s="474"/>
      <c r="D10" s="474"/>
      <c r="E10" s="450" t="s">
        <v>1204</v>
      </c>
      <c r="F10" s="450" t="s">
        <v>287</v>
      </c>
      <c r="G10" s="627"/>
      <c r="H10" s="635"/>
      <c r="I10" s="635"/>
      <c r="J10" s="635"/>
      <c r="K10" s="471"/>
      <c r="L10" s="438">
        <v>39045</v>
      </c>
      <c r="M10" s="635">
        <v>0</v>
      </c>
      <c r="N10" s="635"/>
      <c r="O10" s="635">
        <v>38600720</v>
      </c>
      <c r="P10" s="635"/>
      <c r="Q10" s="635">
        <v>38600720</v>
      </c>
      <c r="R10" s="635">
        <v>0</v>
      </c>
      <c r="S10" s="450"/>
      <c r="T10" s="654"/>
      <c r="U10" s="450"/>
      <c r="V10" s="499" t="s">
        <v>475</v>
      </c>
      <c r="W10" s="499"/>
      <c r="X10" s="574"/>
    </row>
    <row r="11" spans="1:30" ht="14.25" customHeight="1">
      <c r="A11" s="474" t="s">
        <v>476</v>
      </c>
      <c r="B11" s="474"/>
      <c r="C11" s="474"/>
      <c r="D11" s="474"/>
      <c r="E11" s="450" t="s">
        <v>1204</v>
      </c>
      <c r="F11" s="450" t="s">
        <v>287</v>
      </c>
      <c r="G11" s="627"/>
      <c r="H11" s="635"/>
      <c r="I11" s="635"/>
      <c r="J11" s="635"/>
      <c r="K11" s="471"/>
      <c r="L11" s="438">
        <v>39080</v>
      </c>
      <c r="M11" s="635">
        <v>0</v>
      </c>
      <c r="N11" s="635"/>
      <c r="O11" s="635">
        <v>31020816</v>
      </c>
      <c r="P11" s="635"/>
      <c r="Q11" s="635">
        <v>31020816</v>
      </c>
      <c r="R11" s="635">
        <v>0</v>
      </c>
      <c r="S11" s="450"/>
      <c r="T11" s="654"/>
      <c r="U11" s="450"/>
      <c r="V11" s="499" t="s">
        <v>475</v>
      </c>
      <c r="W11" s="499"/>
      <c r="X11" s="574"/>
    </row>
    <row r="12" spans="1:30" ht="14.25" customHeight="1">
      <c r="A12" s="474" t="s">
        <v>476</v>
      </c>
      <c r="B12" s="474"/>
      <c r="C12" s="474"/>
      <c r="D12" s="474"/>
      <c r="E12" s="450" t="s">
        <v>1204</v>
      </c>
      <c r="F12" s="450" t="s">
        <v>287</v>
      </c>
      <c r="G12" s="627"/>
      <c r="H12" s="635"/>
      <c r="I12" s="635"/>
      <c r="J12" s="635"/>
      <c r="K12" s="471"/>
      <c r="L12" s="439">
        <v>39113</v>
      </c>
      <c r="M12" s="635">
        <v>0</v>
      </c>
      <c r="N12" s="635"/>
      <c r="O12" s="635">
        <v>28363989</v>
      </c>
      <c r="P12" s="635"/>
      <c r="Q12" s="635">
        <v>22379957</v>
      </c>
      <c r="R12" s="635">
        <v>5984032</v>
      </c>
      <c r="S12" s="450" t="s">
        <v>478</v>
      </c>
      <c r="T12" s="654"/>
      <c r="U12" s="450"/>
      <c r="V12" s="499" t="s">
        <v>477</v>
      </c>
      <c r="W12" s="499"/>
      <c r="X12" s="574"/>
    </row>
    <row r="13" spans="1:30" ht="14.25" customHeight="1">
      <c r="A13" s="474" t="s">
        <v>476</v>
      </c>
      <c r="B13" s="474"/>
      <c r="C13" s="474"/>
      <c r="D13" s="474"/>
      <c r="E13" s="450" t="s">
        <v>1204</v>
      </c>
      <c r="F13" s="450" t="s">
        <v>287</v>
      </c>
      <c r="G13" s="627"/>
      <c r="H13" s="635"/>
      <c r="I13" s="635"/>
      <c r="J13" s="635"/>
      <c r="K13" s="471"/>
      <c r="L13" s="439">
        <v>39141</v>
      </c>
      <c r="M13" s="635">
        <v>0</v>
      </c>
      <c r="N13" s="635"/>
      <c r="O13" s="635">
        <v>14434236</v>
      </c>
      <c r="P13" s="635"/>
      <c r="Q13" s="635">
        <v>0</v>
      </c>
      <c r="R13" s="635">
        <v>14434236</v>
      </c>
      <c r="S13" s="450" t="s">
        <v>478</v>
      </c>
      <c r="T13" s="654"/>
      <c r="U13" s="450"/>
      <c r="V13" s="499" t="s">
        <v>479</v>
      </c>
      <c r="W13" s="499"/>
      <c r="X13" s="574"/>
    </row>
    <row r="14" spans="1:30" ht="14.25" customHeight="1">
      <c r="A14" s="474" t="s">
        <v>476</v>
      </c>
      <c r="B14" s="474"/>
      <c r="C14" s="474"/>
      <c r="D14" s="474"/>
      <c r="E14" s="450" t="s">
        <v>1204</v>
      </c>
      <c r="F14" s="450" t="s">
        <v>287</v>
      </c>
      <c r="G14" s="627"/>
      <c r="H14" s="635"/>
      <c r="I14" s="635"/>
      <c r="J14" s="635"/>
      <c r="K14" s="471"/>
      <c r="L14" s="439">
        <v>39178</v>
      </c>
      <c r="M14" s="635">
        <v>0</v>
      </c>
      <c r="N14" s="635"/>
      <c r="O14" s="635">
        <v>15783269</v>
      </c>
      <c r="P14" s="635"/>
      <c r="Q14" s="635">
        <v>0</v>
      </c>
      <c r="R14" s="635">
        <v>15783269</v>
      </c>
      <c r="S14" s="450" t="s">
        <v>478</v>
      </c>
      <c r="T14" s="654"/>
      <c r="U14" s="450"/>
      <c r="V14" s="499" t="s">
        <v>479</v>
      </c>
      <c r="W14" s="499"/>
      <c r="X14" s="574"/>
    </row>
    <row r="15" spans="1:30" ht="14.25" customHeight="1">
      <c r="A15" s="474" t="s">
        <v>476</v>
      </c>
      <c r="B15" s="474"/>
      <c r="C15" s="474"/>
      <c r="D15" s="474"/>
      <c r="E15" s="450" t="s">
        <v>1204</v>
      </c>
      <c r="F15" s="450" t="s">
        <v>287</v>
      </c>
      <c r="G15" s="627"/>
      <c r="H15" s="635"/>
      <c r="I15" s="635"/>
      <c r="J15" s="635"/>
      <c r="K15" s="471"/>
      <c r="L15" s="439">
        <v>39212</v>
      </c>
      <c r="M15" s="635">
        <v>0</v>
      </c>
      <c r="N15" s="635"/>
      <c r="O15" s="635">
        <v>17278455</v>
      </c>
      <c r="P15" s="635"/>
      <c r="Q15" s="635">
        <v>0</v>
      </c>
      <c r="R15" s="635">
        <v>17278455</v>
      </c>
      <c r="S15" s="450" t="s">
        <v>478</v>
      </c>
      <c r="T15" s="654"/>
      <c r="U15" s="450"/>
      <c r="V15" s="499" t="s">
        <v>479</v>
      </c>
      <c r="W15" s="499"/>
      <c r="X15" s="574"/>
    </row>
    <row r="16" spans="1:30" ht="14.25" customHeight="1">
      <c r="A16" s="474" t="s">
        <v>476</v>
      </c>
      <c r="B16" s="474"/>
      <c r="C16" s="474"/>
      <c r="D16" s="474"/>
      <c r="E16" s="450" t="s">
        <v>1204</v>
      </c>
      <c r="F16" s="450" t="s">
        <v>287</v>
      </c>
      <c r="G16" s="627"/>
      <c r="H16" s="635"/>
      <c r="I16" s="635"/>
      <c r="J16" s="635"/>
      <c r="K16" s="471"/>
      <c r="L16" s="439">
        <v>39233</v>
      </c>
      <c r="M16" s="635">
        <v>0</v>
      </c>
      <c r="N16" s="635"/>
      <c r="O16" s="635">
        <v>14640461</v>
      </c>
      <c r="P16" s="635"/>
      <c r="Q16" s="635">
        <v>0</v>
      </c>
      <c r="R16" s="635">
        <v>14640461</v>
      </c>
      <c r="S16" s="450" t="s">
        <v>478</v>
      </c>
      <c r="T16" s="654"/>
      <c r="U16" s="450"/>
      <c r="V16" s="499" t="s">
        <v>479</v>
      </c>
      <c r="W16" s="499"/>
      <c r="X16" s="574"/>
    </row>
    <row r="17" spans="1:30" ht="14.25" customHeight="1">
      <c r="A17" s="474" t="s">
        <v>476</v>
      </c>
      <c r="B17" s="474"/>
      <c r="C17" s="474"/>
      <c r="D17" s="474"/>
      <c r="E17" s="450" t="s">
        <v>1204</v>
      </c>
      <c r="F17" s="450" t="s">
        <v>287</v>
      </c>
      <c r="G17" s="627"/>
      <c r="H17" s="635"/>
      <c r="I17" s="635"/>
      <c r="J17" s="635"/>
      <c r="K17" s="471"/>
      <c r="L17" s="439">
        <v>39262</v>
      </c>
      <c r="M17" s="635">
        <v>0</v>
      </c>
      <c r="N17" s="635"/>
      <c r="O17" s="635">
        <v>14497134</v>
      </c>
      <c r="P17" s="635"/>
      <c r="Q17" s="635">
        <v>0</v>
      </c>
      <c r="R17" s="635">
        <v>14497134</v>
      </c>
      <c r="S17" s="450" t="s">
        <v>478</v>
      </c>
      <c r="T17" s="654"/>
      <c r="U17" s="450"/>
      <c r="V17" s="499" t="s">
        <v>479</v>
      </c>
      <c r="W17" s="499"/>
    </row>
    <row r="18" spans="1:30" ht="14.25" customHeight="1">
      <c r="A18" s="474" t="s">
        <v>476</v>
      </c>
      <c r="B18" s="474"/>
      <c r="C18" s="474"/>
      <c r="D18" s="474"/>
      <c r="E18" s="450" t="s">
        <v>1204</v>
      </c>
      <c r="F18" s="450" t="s">
        <v>287</v>
      </c>
      <c r="G18" s="627"/>
      <c r="H18" s="635"/>
      <c r="I18" s="635"/>
      <c r="J18" s="635"/>
      <c r="K18" s="471"/>
      <c r="L18" s="439">
        <v>39294</v>
      </c>
      <c r="M18" s="635">
        <v>0</v>
      </c>
      <c r="N18" s="635"/>
      <c r="O18" s="635">
        <v>12897503</v>
      </c>
      <c r="P18" s="635"/>
      <c r="Q18" s="635">
        <v>0</v>
      </c>
      <c r="R18" s="635">
        <v>12897503</v>
      </c>
      <c r="S18" s="450" t="s">
        <v>478</v>
      </c>
      <c r="T18" s="654"/>
      <c r="U18" s="450"/>
      <c r="V18" s="499" t="s">
        <v>479</v>
      </c>
      <c r="W18" s="499"/>
    </row>
    <row r="19" spans="1:30" ht="14.25" customHeight="1">
      <c r="A19" s="474" t="s">
        <v>476</v>
      </c>
      <c r="B19" s="474"/>
      <c r="C19" s="474"/>
      <c r="D19" s="474"/>
      <c r="E19" s="450" t="s">
        <v>1204</v>
      </c>
      <c r="F19" s="450" t="s">
        <v>287</v>
      </c>
      <c r="G19" s="627"/>
      <c r="H19" s="635"/>
      <c r="I19" s="635"/>
      <c r="J19" s="635"/>
      <c r="K19" s="471"/>
      <c r="L19" s="439">
        <v>39325</v>
      </c>
      <c r="M19" s="635">
        <v>0</v>
      </c>
      <c r="N19" s="635"/>
      <c r="O19" s="635">
        <v>12857480</v>
      </c>
      <c r="P19" s="635"/>
      <c r="Q19" s="635">
        <v>0</v>
      </c>
      <c r="R19" s="635">
        <v>12857480</v>
      </c>
      <c r="S19" s="450" t="s">
        <v>478</v>
      </c>
      <c r="T19" s="654"/>
      <c r="U19" s="450"/>
      <c r="V19" s="499" t="s">
        <v>479</v>
      </c>
      <c r="W19" s="499"/>
    </row>
    <row r="20" spans="1:30" ht="14.25" customHeight="1">
      <c r="A20" s="474" t="s">
        <v>476</v>
      </c>
      <c r="B20" s="474"/>
      <c r="C20" s="474"/>
      <c r="D20" s="474"/>
      <c r="E20" s="450" t="s">
        <v>1204</v>
      </c>
      <c r="F20" s="450" t="s">
        <v>287</v>
      </c>
      <c r="G20" s="627"/>
      <c r="H20" s="635"/>
      <c r="I20" s="635"/>
      <c r="J20" s="635"/>
      <c r="K20" s="471"/>
      <c r="L20" s="440">
        <v>39353</v>
      </c>
      <c r="M20" s="635">
        <v>0</v>
      </c>
      <c r="N20" s="635"/>
      <c r="O20" s="635">
        <v>11799137</v>
      </c>
      <c r="P20" s="635"/>
      <c r="Q20" s="635">
        <v>0</v>
      </c>
      <c r="R20" s="635">
        <v>11799137</v>
      </c>
      <c r="S20" s="450" t="s">
        <v>478</v>
      </c>
      <c r="T20" s="654"/>
      <c r="U20" s="450"/>
      <c r="V20" s="499" t="s">
        <v>479</v>
      </c>
      <c r="W20" s="499"/>
    </row>
    <row r="21" spans="1:30" ht="14.25" customHeight="1">
      <c r="A21" s="474" t="s">
        <v>476</v>
      </c>
      <c r="B21" s="474"/>
      <c r="C21" s="474"/>
      <c r="D21" s="474"/>
      <c r="E21" s="450" t="s">
        <v>1204</v>
      </c>
      <c r="F21" s="450" t="s">
        <v>287</v>
      </c>
      <c r="G21" s="627"/>
      <c r="H21" s="635"/>
      <c r="I21" s="635"/>
      <c r="J21" s="635"/>
      <c r="K21" s="471"/>
      <c r="L21" s="439">
        <v>39386</v>
      </c>
      <c r="M21" s="635">
        <v>0</v>
      </c>
      <c r="N21" s="635"/>
      <c r="O21" s="635">
        <v>58015905</v>
      </c>
      <c r="P21" s="635"/>
      <c r="Q21" s="635">
        <v>0</v>
      </c>
      <c r="R21" s="635">
        <v>58015905</v>
      </c>
      <c r="S21" s="450" t="s">
        <v>478</v>
      </c>
      <c r="T21" s="654"/>
      <c r="U21" s="450"/>
      <c r="V21" s="499" t="s">
        <v>479</v>
      </c>
      <c r="W21" s="499"/>
    </row>
    <row r="22" spans="1:30" ht="14.25" customHeight="1">
      <c r="A22" s="474" t="s">
        <v>476</v>
      </c>
      <c r="B22" s="474"/>
      <c r="C22" s="474"/>
      <c r="D22" s="474"/>
      <c r="E22" s="450" t="s">
        <v>1204</v>
      </c>
      <c r="F22" s="450" t="s">
        <v>287</v>
      </c>
      <c r="G22" s="627"/>
      <c r="H22" s="635"/>
      <c r="I22" s="635"/>
      <c r="J22" s="635"/>
      <c r="K22" s="471"/>
      <c r="L22" s="440">
        <v>39416</v>
      </c>
      <c r="M22" s="635">
        <v>0</v>
      </c>
      <c r="N22" s="635"/>
      <c r="O22" s="635">
        <v>13573172</v>
      </c>
      <c r="P22" s="635"/>
      <c r="Q22" s="635">
        <v>0</v>
      </c>
      <c r="R22" s="635">
        <v>13573172</v>
      </c>
      <c r="S22" s="450" t="s">
        <v>478</v>
      </c>
      <c r="T22" s="654"/>
      <c r="U22" s="450"/>
      <c r="V22" s="499" t="s">
        <v>479</v>
      </c>
      <c r="W22" s="499"/>
    </row>
    <row r="23" spans="1:30" ht="14.25" customHeight="1">
      <c r="A23" s="474" t="s">
        <v>476</v>
      </c>
      <c r="B23" s="474"/>
      <c r="C23" s="474"/>
      <c r="D23" s="474"/>
      <c r="E23" s="450" t="s">
        <v>1204</v>
      </c>
      <c r="F23" s="450" t="s">
        <v>287</v>
      </c>
      <c r="G23" s="627"/>
      <c r="H23" s="635"/>
      <c r="I23" s="635"/>
      <c r="J23" s="635"/>
      <c r="K23" s="471"/>
      <c r="L23" s="439">
        <v>39444</v>
      </c>
      <c r="M23" s="635">
        <v>0</v>
      </c>
      <c r="N23" s="635"/>
      <c r="O23" s="635">
        <v>11929583</v>
      </c>
      <c r="P23" s="635"/>
      <c r="Q23" s="635">
        <v>0</v>
      </c>
      <c r="R23" s="635">
        <v>11929583</v>
      </c>
      <c r="S23" s="450" t="s">
        <v>478</v>
      </c>
      <c r="T23" s="654"/>
      <c r="U23" s="450"/>
      <c r="V23" s="499" t="s">
        <v>479</v>
      </c>
      <c r="W23" s="499"/>
    </row>
    <row r="24" spans="1:30" ht="14.25" customHeight="1">
      <c r="A24" s="474" t="s">
        <v>476</v>
      </c>
      <c r="B24" s="474"/>
      <c r="C24" s="474"/>
      <c r="D24" s="474"/>
      <c r="E24" s="450" t="s">
        <v>1204</v>
      </c>
      <c r="F24" s="450" t="s">
        <v>287</v>
      </c>
      <c r="G24" s="627"/>
      <c r="H24" s="635"/>
      <c r="I24" s="635"/>
      <c r="J24" s="635"/>
      <c r="K24" s="471"/>
      <c r="L24" s="440">
        <v>39478</v>
      </c>
      <c r="M24" s="635">
        <v>0</v>
      </c>
      <c r="N24" s="635"/>
      <c r="O24" s="635">
        <v>9995593</v>
      </c>
      <c r="P24" s="635"/>
      <c r="Q24" s="635">
        <v>0</v>
      </c>
      <c r="R24" s="635">
        <v>9995593</v>
      </c>
      <c r="S24" s="450" t="s">
        <v>478</v>
      </c>
      <c r="T24" s="654"/>
      <c r="U24" s="450"/>
      <c r="V24" s="499" t="s">
        <v>479</v>
      </c>
      <c r="W24" s="499"/>
    </row>
    <row r="25" spans="1:30" ht="14.25" customHeight="1">
      <c r="A25" s="474" t="s">
        <v>476</v>
      </c>
      <c r="B25" s="474"/>
      <c r="C25" s="474"/>
      <c r="D25" s="474"/>
      <c r="E25" s="450" t="s">
        <v>1204</v>
      </c>
      <c r="F25" s="450" t="s">
        <v>287</v>
      </c>
      <c r="G25" s="627"/>
      <c r="H25" s="635"/>
      <c r="I25" s="635"/>
      <c r="J25" s="635"/>
      <c r="K25" s="471"/>
      <c r="L25" s="439">
        <v>39507</v>
      </c>
      <c r="M25" s="635">
        <v>0</v>
      </c>
      <c r="N25" s="635"/>
      <c r="O25" s="635">
        <v>8753232</v>
      </c>
      <c r="P25" s="635"/>
      <c r="Q25" s="635">
        <v>0</v>
      </c>
      <c r="R25" s="635">
        <v>8753232</v>
      </c>
      <c r="S25" s="450" t="s">
        <v>478</v>
      </c>
      <c r="T25" s="654"/>
      <c r="U25" s="450"/>
      <c r="V25" s="499" t="s">
        <v>479</v>
      </c>
      <c r="W25" s="499"/>
    </row>
    <row r="26" spans="1:30" ht="14.25" customHeight="1">
      <c r="A26" s="474" t="s">
        <v>476</v>
      </c>
      <c r="B26" s="474"/>
      <c r="C26" s="474"/>
      <c r="D26" s="474"/>
      <c r="E26" s="450" t="s">
        <v>1204</v>
      </c>
      <c r="F26" s="450" t="s">
        <v>287</v>
      </c>
      <c r="G26" s="627"/>
      <c r="H26" s="635"/>
      <c r="I26" s="635"/>
      <c r="J26" s="635"/>
      <c r="K26" s="471"/>
      <c r="L26" s="440">
        <v>39538</v>
      </c>
      <c r="M26" s="635">
        <v>0</v>
      </c>
      <c r="N26" s="635"/>
      <c r="O26" s="635">
        <v>9471616</v>
      </c>
      <c r="P26" s="635"/>
      <c r="Q26" s="635">
        <v>0</v>
      </c>
      <c r="R26" s="635">
        <v>9471616</v>
      </c>
      <c r="S26" s="450" t="s">
        <v>478</v>
      </c>
      <c r="T26" s="654"/>
      <c r="U26" s="450"/>
      <c r="V26" s="499" t="s">
        <v>479</v>
      </c>
      <c r="W26" s="499"/>
    </row>
    <row r="27" spans="1:30" ht="14.25" customHeight="1">
      <c r="A27" s="474" t="s">
        <v>476</v>
      </c>
      <c r="B27" s="474"/>
      <c r="C27" s="474"/>
      <c r="D27" s="474"/>
      <c r="E27" s="450" t="s">
        <v>1204</v>
      </c>
      <c r="F27" s="450" t="s">
        <v>287</v>
      </c>
      <c r="G27" s="627"/>
      <c r="H27" s="635"/>
      <c r="I27" s="635"/>
      <c r="J27" s="635"/>
      <c r="K27" s="471"/>
      <c r="L27" s="439">
        <v>39568</v>
      </c>
      <c r="M27" s="635">
        <v>0</v>
      </c>
      <c r="N27" s="635"/>
      <c r="O27" s="635">
        <v>10435179</v>
      </c>
      <c r="P27" s="635"/>
      <c r="Q27" s="635">
        <v>0</v>
      </c>
      <c r="R27" s="635">
        <v>10435179</v>
      </c>
      <c r="S27" s="450" t="s">
        <v>478</v>
      </c>
      <c r="T27" s="654"/>
      <c r="U27" s="450"/>
      <c r="V27" s="499" t="s">
        <v>479</v>
      </c>
      <c r="W27" s="499"/>
    </row>
    <row r="28" spans="1:30" ht="14.25" customHeight="1">
      <c r="A28" s="474" t="s">
        <v>476</v>
      </c>
      <c r="B28" s="474"/>
      <c r="C28" s="474"/>
      <c r="D28" s="474"/>
      <c r="E28" s="450" t="s">
        <v>1204</v>
      </c>
      <c r="F28" s="450" t="s">
        <v>287</v>
      </c>
      <c r="G28" s="627"/>
      <c r="H28" s="635"/>
      <c r="I28" s="635"/>
      <c r="J28" s="635"/>
      <c r="K28" s="471"/>
      <c r="L28" s="440">
        <v>39598</v>
      </c>
      <c r="M28" s="635">
        <v>0</v>
      </c>
      <c r="N28" s="635"/>
      <c r="O28" s="635">
        <v>10529961</v>
      </c>
      <c r="P28" s="635"/>
      <c r="Q28" s="635">
        <v>0</v>
      </c>
      <c r="R28" s="635">
        <v>10529961</v>
      </c>
      <c r="S28" s="450" t="s">
        <v>478</v>
      </c>
      <c r="T28" s="654"/>
      <c r="U28" s="450"/>
      <c r="V28" s="499" t="s">
        <v>479</v>
      </c>
      <c r="W28" s="499"/>
    </row>
    <row r="29" spans="1:30" ht="14.25" customHeight="1">
      <c r="A29" s="474" t="s">
        <v>476</v>
      </c>
      <c r="B29" s="474"/>
      <c r="C29" s="474"/>
      <c r="D29" s="474"/>
      <c r="E29" s="449" t="s">
        <v>1204</v>
      </c>
      <c r="F29" s="449" t="s">
        <v>287</v>
      </c>
      <c r="G29" s="606"/>
      <c r="H29" s="636"/>
      <c r="I29" s="636"/>
      <c r="J29" s="636"/>
      <c r="K29" s="470"/>
      <c r="L29" s="441">
        <v>39629</v>
      </c>
      <c r="M29" s="636">
        <v>0</v>
      </c>
      <c r="N29" s="636"/>
      <c r="O29" s="636">
        <v>170000000</v>
      </c>
      <c r="P29" s="636">
        <v>722875948</v>
      </c>
      <c r="Q29" s="636">
        <v>0</v>
      </c>
      <c r="R29" s="636">
        <v>170000000</v>
      </c>
      <c r="S29" s="449" t="s">
        <v>478</v>
      </c>
      <c r="T29" s="497">
        <v>0</v>
      </c>
      <c r="U29" s="449"/>
      <c r="V29" s="500" t="s">
        <v>479</v>
      </c>
      <c r="W29" s="500"/>
    </row>
    <row r="30" spans="1:30" s="608" customFormat="1" ht="14.25" customHeight="1">
      <c r="A30" s="491" t="s">
        <v>476</v>
      </c>
      <c r="B30" s="491"/>
      <c r="C30" s="491"/>
      <c r="D30" s="491"/>
      <c r="E30" s="656" t="s">
        <v>487</v>
      </c>
      <c r="F30" s="656" t="s">
        <v>288</v>
      </c>
      <c r="G30" s="605">
        <v>38345</v>
      </c>
      <c r="H30" s="610">
        <v>13941</v>
      </c>
      <c r="I30" s="610">
        <v>75000</v>
      </c>
      <c r="J30" s="610">
        <v>1045575000</v>
      </c>
      <c r="K30" s="612" t="s">
        <v>499</v>
      </c>
      <c r="L30" s="445">
        <v>39189</v>
      </c>
      <c r="M30" s="610">
        <v>13941</v>
      </c>
      <c r="N30" s="610">
        <v>117497.79233914353</v>
      </c>
      <c r="O30" s="610">
        <v>881600000</v>
      </c>
      <c r="P30" s="610"/>
      <c r="Q30" s="610">
        <v>881600000</v>
      </c>
      <c r="R30" s="610">
        <v>0</v>
      </c>
      <c r="S30" s="656" t="s">
        <v>1206</v>
      </c>
      <c r="T30" s="656"/>
      <c r="U30" s="656"/>
      <c r="V30" s="492" t="s">
        <v>1207</v>
      </c>
      <c r="W30" s="492" t="s">
        <v>1208</v>
      </c>
      <c r="AD30" s="677"/>
    </row>
    <row r="31" spans="1:30" s="608" customFormat="1" ht="14.25" customHeight="1">
      <c r="A31" s="491" t="s">
        <v>476</v>
      </c>
      <c r="B31" s="491"/>
      <c r="C31" s="491"/>
      <c r="D31" s="491"/>
      <c r="E31" s="654" t="s">
        <v>487</v>
      </c>
      <c r="F31" s="654" t="s">
        <v>288</v>
      </c>
      <c r="G31" s="627"/>
      <c r="H31" s="657"/>
      <c r="I31" s="657"/>
      <c r="J31" s="657"/>
      <c r="K31" s="650"/>
      <c r="L31" s="440">
        <v>39199</v>
      </c>
      <c r="M31" s="657">
        <v>0</v>
      </c>
      <c r="N31" s="657"/>
      <c r="O31" s="657">
        <v>428431005</v>
      </c>
      <c r="P31" s="657"/>
      <c r="Q31" s="657">
        <v>163975000</v>
      </c>
      <c r="R31" s="657">
        <v>264456005</v>
      </c>
      <c r="S31" s="654" t="s">
        <v>1206</v>
      </c>
      <c r="T31" s="654"/>
      <c r="U31" s="654"/>
      <c r="V31" s="493" t="s">
        <v>1209</v>
      </c>
      <c r="W31" s="493" t="s">
        <v>1208</v>
      </c>
      <c r="AD31" s="677"/>
    </row>
    <row r="32" spans="1:30" s="608" customFormat="1" ht="14.25" customHeight="1">
      <c r="A32" s="491" t="s">
        <v>476</v>
      </c>
      <c r="B32" s="491"/>
      <c r="C32" s="491"/>
      <c r="D32" s="491"/>
      <c r="E32" s="655" t="s">
        <v>487</v>
      </c>
      <c r="F32" s="655" t="s">
        <v>288</v>
      </c>
      <c r="G32" s="606"/>
      <c r="H32" s="614"/>
      <c r="I32" s="614"/>
      <c r="J32" s="614"/>
      <c r="K32" s="613"/>
      <c r="L32" s="442">
        <v>39567</v>
      </c>
      <c r="M32" s="614">
        <v>0</v>
      </c>
      <c r="N32" s="614"/>
      <c r="O32" s="614">
        <v>328005718</v>
      </c>
      <c r="P32" s="614">
        <v>1638036723</v>
      </c>
      <c r="Q32" s="614">
        <v>0</v>
      </c>
      <c r="R32" s="614">
        <v>328005718</v>
      </c>
      <c r="S32" s="655" t="s">
        <v>1206</v>
      </c>
      <c r="T32" s="497">
        <v>0</v>
      </c>
      <c r="U32" s="655"/>
      <c r="V32" s="494" t="s">
        <v>1210</v>
      </c>
      <c r="W32" s="494" t="s">
        <v>1208</v>
      </c>
      <c r="AD32" s="677"/>
    </row>
    <row r="33" spans="1:30" ht="14.25" customHeight="1">
      <c r="A33" s="474" t="s">
        <v>476</v>
      </c>
      <c r="B33" s="474"/>
      <c r="C33" s="474"/>
      <c r="D33" s="474"/>
      <c r="E33" s="656" t="s">
        <v>487</v>
      </c>
      <c r="F33" s="656" t="s">
        <v>289</v>
      </c>
      <c r="G33" s="605">
        <v>38418</v>
      </c>
      <c r="H33" s="610">
        <v>180000</v>
      </c>
      <c r="I33" s="610">
        <v>5000</v>
      </c>
      <c r="J33" s="610">
        <v>900000000</v>
      </c>
      <c r="K33" s="612" t="s">
        <v>499</v>
      </c>
      <c r="L33" s="605">
        <v>39147</v>
      </c>
      <c r="M33" s="610">
        <v>40000</v>
      </c>
      <c r="N33" s="610">
        <v>5832</v>
      </c>
      <c r="O33" s="610">
        <v>233280000</v>
      </c>
      <c r="P33" s="610"/>
      <c r="Q33" s="610">
        <v>200000000</v>
      </c>
      <c r="R33" s="610">
        <v>33280000</v>
      </c>
      <c r="S33" s="656" t="s">
        <v>1206</v>
      </c>
      <c r="T33" s="656"/>
      <c r="U33" s="456"/>
      <c r="V33" s="501" t="s">
        <v>480</v>
      </c>
      <c r="W33" s="501"/>
      <c r="AD33" s="455"/>
    </row>
    <row r="34" spans="1:30" ht="14.25" customHeight="1">
      <c r="A34" s="474" t="s">
        <v>476</v>
      </c>
      <c r="B34" s="474"/>
      <c r="C34" s="474"/>
      <c r="D34" s="474"/>
      <c r="E34" s="654" t="s">
        <v>487</v>
      </c>
      <c r="F34" s="654" t="s">
        <v>289</v>
      </c>
      <c r="G34" s="627"/>
      <c r="H34" s="657"/>
      <c r="I34" s="657"/>
      <c r="J34" s="657"/>
      <c r="K34" s="650"/>
      <c r="L34" s="627">
        <v>39568</v>
      </c>
      <c r="M34" s="657">
        <v>120000</v>
      </c>
      <c r="N34" s="657">
        <v>6266.8089083333334</v>
      </c>
      <c r="O34" s="657">
        <v>752017069</v>
      </c>
      <c r="P34" s="657"/>
      <c r="Q34" s="657">
        <v>600000000</v>
      </c>
      <c r="R34" s="657">
        <v>152017069</v>
      </c>
      <c r="S34" s="654" t="s">
        <v>1206</v>
      </c>
      <c r="T34" s="654"/>
      <c r="U34" s="450"/>
      <c r="V34" s="499" t="s">
        <v>481</v>
      </c>
      <c r="W34" s="499"/>
      <c r="AD34" s="455"/>
    </row>
    <row r="35" spans="1:30" ht="14.25" customHeight="1">
      <c r="A35" s="474" t="s">
        <v>476</v>
      </c>
      <c r="B35" s="474"/>
      <c r="C35" s="474"/>
      <c r="D35" s="474"/>
      <c r="E35" s="655" t="s">
        <v>487</v>
      </c>
      <c r="F35" s="655" t="s">
        <v>289</v>
      </c>
      <c r="G35" s="606"/>
      <c r="H35" s="614"/>
      <c r="I35" s="614"/>
      <c r="J35" s="614"/>
      <c r="K35" s="613"/>
      <c r="L35" s="606">
        <v>39575</v>
      </c>
      <c r="M35" s="614">
        <v>20000</v>
      </c>
      <c r="N35" s="614">
        <v>6372.0287500000004</v>
      </c>
      <c r="O35" s="614">
        <v>127440575</v>
      </c>
      <c r="P35" s="614">
        <v>1112737644</v>
      </c>
      <c r="Q35" s="614">
        <v>100000000</v>
      </c>
      <c r="R35" s="614">
        <v>27440575</v>
      </c>
      <c r="S35" s="655" t="s">
        <v>1206</v>
      </c>
      <c r="T35" s="497">
        <v>0</v>
      </c>
      <c r="U35" s="449"/>
      <c r="V35" s="500" t="s">
        <v>482</v>
      </c>
      <c r="W35" s="500"/>
      <c r="AD35" s="455"/>
    </row>
    <row r="36" spans="1:30" ht="14.25" customHeight="1">
      <c r="A36" s="474" t="s">
        <v>476</v>
      </c>
      <c r="B36" s="474"/>
      <c r="C36" s="474"/>
      <c r="D36" s="474"/>
      <c r="E36" s="656" t="s">
        <v>487</v>
      </c>
      <c r="F36" s="656" t="s">
        <v>290</v>
      </c>
      <c r="G36" s="605">
        <v>38464</v>
      </c>
      <c r="H36" s="610">
        <v>333330</v>
      </c>
      <c r="I36" s="610">
        <v>3000</v>
      </c>
      <c r="J36" s="610">
        <v>999990000</v>
      </c>
      <c r="K36" s="612" t="s">
        <v>1134</v>
      </c>
      <c r="L36" s="605">
        <v>39198</v>
      </c>
      <c r="M36" s="610">
        <v>169998</v>
      </c>
      <c r="N36" s="610">
        <v>8395.9035635713353</v>
      </c>
      <c r="O36" s="610">
        <v>1427286814</v>
      </c>
      <c r="P36" s="610"/>
      <c r="Q36" s="610">
        <v>509994000</v>
      </c>
      <c r="R36" s="610">
        <v>917292814</v>
      </c>
      <c r="S36" s="656" t="s">
        <v>1206</v>
      </c>
      <c r="T36" s="656"/>
      <c r="U36" s="456"/>
      <c r="V36" s="501" t="s">
        <v>483</v>
      </c>
      <c r="W36" s="501" t="s">
        <v>1208</v>
      </c>
      <c r="AD36" s="455"/>
    </row>
    <row r="37" spans="1:30" ht="14.25" customHeight="1">
      <c r="A37" s="474" t="s">
        <v>476</v>
      </c>
      <c r="B37" s="474"/>
      <c r="C37" s="474"/>
      <c r="D37" s="474"/>
      <c r="E37" s="654" t="s">
        <v>487</v>
      </c>
      <c r="F37" s="654" t="s">
        <v>485</v>
      </c>
      <c r="G37" s="627">
        <v>39405</v>
      </c>
      <c r="H37" s="657">
        <v>-101686</v>
      </c>
      <c r="I37" s="657">
        <v>4316.9259726131477</v>
      </c>
      <c r="J37" s="657"/>
      <c r="K37" s="650"/>
      <c r="L37" s="627">
        <v>39426</v>
      </c>
      <c r="M37" s="657">
        <v>20000</v>
      </c>
      <c r="N37" s="657">
        <v>16644.599999999999</v>
      </c>
      <c r="O37" s="657">
        <v>332892000</v>
      </c>
      <c r="P37" s="657"/>
      <c r="Q37" s="657">
        <v>158970898</v>
      </c>
      <c r="R37" s="657">
        <v>173921102</v>
      </c>
      <c r="S37" s="654" t="s">
        <v>489</v>
      </c>
      <c r="T37" s="654"/>
      <c r="U37" s="450"/>
      <c r="V37" s="499" t="s">
        <v>484</v>
      </c>
      <c r="W37" s="499" t="s">
        <v>1208</v>
      </c>
      <c r="AD37" s="455"/>
    </row>
    <row r="38" spans="1:30" ht="14.25" customHeight="1">
      <c r="A38" s="474" t="s">
        <v>476</v>
      </c>
      <c r="B38" s="474"/>
      <c r="C38" s="474"/>
      <c r="D38" s="474"/>
      <c r="E38" s="654" t="s">
        <v>487</v>
      </c>
      <c r="F38" s="654" t="s">
        <v>485</v>
      </c>
      <c r="G38" s="627"/>
      <c r="H38" s="657"/>
      <c r="I38" s="657"/>
      <c r="J38" s="657"/>
      <c r="K38" s="650"/>
      <c r="L38" s="627">
        <v>39433</v>
      </c>
      <c r="M38" s="657">
        <v>22345</v>
      </c>
      <c r="N38" s="657">
        <v>17381.769970910718</v>
      </c>
      <c r="O38" s="657">
        <v>388395650</v>
      </c>
      <c r="P38" s="657"/>
      <c r="Q38" s="657">
        <v>177610236</v>
      </c>
      <c r="R38" s="657">
        <v>210785414</v>
      </c>
      <c r="S38" s="654" t="s">
        <v>489</v>
      </c>
      <c r="T38" s="654"/>
      <c r="U38" s="450"/>
      <c r="V38" s="499" t="s">
        <v>484</v>
      </c>
      <c r="W38" s="499" t="s">
        <v>1208</v>
      </c>
      <c r="AD38" s="455"/>
    </row>
    <row r="39" spans="1:30" ht="14.25" customHeight="1">
      <c r="A39" s="474" t="s">
        <v>476</v>
      </c>
      <c r="B39" s="474"/>
      <c r="C39" s="474"/>
      <c r="D39" s="474"/>
      <c r="E39" s="654" t="s">
        <v>487</v>
      </c>
      <c r="F39" s="654" t="s">
        <v>485</v>
      </c>
      <c r="G39" s="627"/>
      <c r="H39" s="657"/>
      <c r="I39" s="657"/>
      <c r="J39" s="657"/>
      <c r="K39" s="650"/>
      <c r="L39" s="627">
        <v>39533</v>
      </c>
      <c r="M39" s="657">
        <v>0</v>
      </c>
      <c r="N39" s="657"/>
      <c r="O39" s="657">
        <v>387667241</v>
      </c>
      <c r="P39" s="657"/>
      <c r="Q39" s="657">
        <v>0</v>
      </c>
      <c r="R39" s="657">
        <v>387667241</v>
      </c>
      <c r="S39" s="654" t="s">
        <v>1211</v>
      </c>
      <c r="T39" s="504"/>
      <c r="U39" s="450"/>
      <c r="V39" s="499" t="s">
        <v>486</v>
      </c>
      <c r="W39" s="499" t="s">
        <v>1208</v>
      </c>
      <c r="AD39" s="455"/>
    </row>
    <row r="40" spans="1:30" ht="14.25" customHeight="1">
      <c r="A40" s="474" t="s">
        <v>476</v>
      </c>
      <c r="B40" s="474"/>
      <c r="C40" s="474"/>
      <c r="D40" s="474"/>
      <c r="E40" s="654" t="s">
        <v>487</v>
      </c>
      <c r="F40" s="654" t="s">
        <v>485</v>
      </c>
      <c r="G40" s="627"/>
      <c r="H40" s="657"/>
      <c r="I40" s="657"/>
      <c r="J40" s="657"/>
      <c r="K40" s="650"/>
      <c r="L40" s="627">
        <v>39994</v>
      </c>
      <c r="M40" s="657"/>
      <c r="N40" s="657"/>
      <c r="O40" s="657">
        <v>0</v>
      </c>
      <c r="P40" s="657"/>
      <c r="Q40" s="657">
        <v>63800323</v>
      </c>
      <c r="R40" s="657">
        <v>-63800323</v>
      </c>
      <c r="S40" s="654" t="s">
        <v>1212</v>
      </c>
      <c r="T40" s="504"/>
      <c r="U40" s="450"/>
      <c r="V40" s="499"/>
      <c r="W40" s="499" t="s">
        <v>1208</v>
      </c>
      <c r="AD40" s="455"/>
    </row>
    <row r="41" spans="1:30" ht="14.25" customHeight="1">
      <c r="A41" s="474" t="s">
        <v>476</v>
      </c>
      <c r="B41" s="474"/>
      <c r="C41" s="474"/>
      <c r="D41" s="474"/>
      <c r="E41" s="654" t="s">
        <v>487</v>
      </c>
      <c r="F41" s="654" t="s">
        <v>485</v>
      </c>
      <c r="G41" s="627"/>
      <c r="H41" s="657"/>
      <c r="I41" s="657"/>
      <c r="J41" s="657"/>
      <c r="K41" s="650"/>
      <c r="L41" s="627">
        <v>40178</v>
      </c>
      <c r="M41" s="657"/>
      <c r="N41" s="657"/>
      <c r="O41" s="657">
        <v>0</v>
      </c>
      <c r="P41" s="657"/>
      <c r="Q41" s="657">
        <v>12767303</v>
      </c>
      <c r="R41" s="657">
        <v>-12767303</v>
      </c>
      <c r="S41" s="654" t="s">
        <v>1212</v>
      </c>
      <c r="T41" s="504"/>
      <c r="U41" s="450"/>
      <c r="V41" s="499"/>
      <c r="W41" s="499" t="s">
        <v>1208</v>
      </c>
      <c r="AD41" s="455"/>
    </row>
    <row r="42" spans="1:30" ht="14.25" customHeight="1">
      <c r="A42" s="474" t="s">
        <v>476</v>
      </c>
      <c r="B42" s="474"/>
      <c r="C42" s="474"/>
      <c r="D42" s="474"/>
      <c r="E42" s="654" t="s">
        <v>487</v>
      </c>
      <c r="F42" s="654" t="s">
        <v>485</v>
      </c>
      <c r="G42" s="627"/>
      <c r="H42" s="657"/>
      <c r="I42" s="657"/>
      <c r="J42" s="657"/>
      <c r="K42" s="650"/>
      <c r="L42" s="627">
        <v>40543</v>
      </c>
      <c r="M42" s="657"/>
      <c r="N42" s="657"/>
      <c r="O42" s="657">
        <v>0</v>
      </c>
      <c r="P42" s="657"/>
      <c r="Q42" s="657">
        <v>-16575872</v>
      </c>
      <c r="R42" s="657">
        <v>16575872</v>
      </c>
      <c r="S42" s="654" t="s">
        <v>1213</v>
      </c>
      <c r="T42" s="504">
        <v>0</v>
      </c>
      <c r="U42" s="450"/>
      <c r="V42" s="499"/>
      <c r="W42" s="499" t="s">
        <v>1208</v>
      </c>
      <c r="AD42" s="455"/>
    </row>
    <row r="43" spans="1:30" ht="14.25" customHeight="1">
      <c r="A43" s="474" t="s">
        <v>476</v>
      </c>
      <c r="B43" s="474"/>
      <c r="C43" s="474"/>
      <c r="D43" s="474"/>
      <c r="E43" s="655" t="s">
        <v>487</v>
      </c>
      <c r="F43" s="655" t="s">
        <v>485</v>
      </c>
      <c r="G43" s="606"/>
      <c r="H43" s="614"/>
      <c r="I43" s="614"/>
      <c r="J43" s="614"/>
      <c r="K43" s="613"/>
      <c r="L43" s="606">
        <v>40596</v>
      </c>
      <c r="M43" s="614">
        <v>19301</v>
      </c>
      <c r="N43" s="614"/>
      <c r="O43" s="614">
        <v>151348688</v>
      </c>
      <c r="P43" s="614">
        <v>2687590393</v>
      </c>
      <c r="Q43" s="614">
        <v>93423112</v>
      </c>
      <c r="R43" s="614">
        <v>57925576</v>
      </c>
      <c r="S43" s="655"/>
      <c r="T43" s="497"/>
      <c r="U43" s="449"/>
      <c r="V43" s="500"/>
      <c r="W43" s="500" t="s">
        <v>1208</v>
      </c>
      <c r="AD43" s="455"/>
    </row>
    <row r="44" spans="1:30" ht="14.25" customHeight="1">
      <c r="A44" s="474" t="s">
        <v>476</v>
      </c>
      <c r="B44" s="474"/>
      <c r="C44" s="474"/>
      <c r="D44" s="474"/>
      <c r="E44" s="656" t="s">
        <v>487</v>
      </c>
      <c r="F44" s="656" t="s">
        <v>291</v>
      </c>
      <c r="G44" s="605">
        <v>38481</v>
      </c>
      <c r="H44" s="610">
        <v>421050</v>
      </c>
      <c r="I44" s="610">
        <v>4750</v>
      </c>
      <c r="J44" s="610">
        <v>1999987500</v>
      </c>
      <c r="K44" s="612" t="s">
        <v>1134</v>
      </c>
      <c r="L44" s="605">
        <v>38989</v>
      </c>
      <c r="M44" s="610">
        <v>66000</v>
      </c>
      <c r="N44" s="610">
        <v>9788.7933333333331</v>
      </c>
      <c r="O44" s="610">
        <v>646060360</v>
      </c>
      <c r="P44" s="610"/>
      <c r="Q44" s="610">
        <v>313500000</v>
      </c>
      <c r="R44" s="610">
        <v>332560360</v>
      </c>
      <c r="S44" s="656" t="s">
        <v>489</v>
      </c>
      <c r="T44" s="656"/>
      <c r="U44" s="456"/>
      <c r="V44" s="501" t="s">
        <v>488</v>
      </c>
      <c r="W44" s="501" t="s">
        <v>1208</v>
      </c>
      <c r="AD44" s="455"/>
    </row>
    <row r="45" spans="1:30" ht="14.25" customHeight="1">
      <c r="A45" s="474" t="s">
        <v>476</v>
      </c>
      <c r="B45" s="474"/>
      <c r="C45" s="474"/>
      <c r="D45" s="474"/>
      <c r="E45" s="654" t="s">
        <v>487</v>
      </c>
      <c r="F45" s="654" t="s">
        <v>291</v>
      </c>
      <c r="G45" s="627"/>
      <c r="H45" s="657"/>
      <c r="I45" s="657"/>
      <c r="J45" s="657"/>
      <c r="K45" s="650"/>
      <c r="L45" s="627">
        <v>39052</v>
      </c>
      <c r="M45" s="657">
        <v>200000</v>
      </c>
      <c r="N45" s="657">
        <v>8000</v>
      </c>
      <c r="O45" s="657">
        <v>1600000000</v>
      </c>
      <c r="P45" s="657"/>
      <c r="Q45" s="657">
        <v>950000000</v>
      </c>
      <c r="R45" s="657">
        <v>650000000</v>
      </c>
      <c r="S45" s="654" t="s">
        <v>489</v>
      </c>
      <c r="T45" s="654"/>
      <c r="U45" s="450"/>
      <c r="V45" s="499" t="s">
        <v>488</v>
      </c>
      <c r="W45" s="499" t="s">
        <v>1208</v>
      </c>
      <c r="AD45" s="455"/>
    </row>
    <row r="46" spans="1:30" ht="14.25" customHeight="1">
      <c r="A46" s="474" t="s">
        <v>476</v>
      </c>
      <c r="B46" s="474"/>
      <c r="C46" s="474"/>
      <c r="D46" s="474"/>
      <c r="E46" s="654" t="s">
        <v>487</v>
      </c>
      <c r="F46" s="654" t="s">
        <v>291</v>
      </c>
      <c r="G46" s="627"/>
      <c r="H46" s="657"/>
      <c r="I46" s="657"/>
      <c r="J46" s="657"/>
      <c r="K46" s="650"/>
      <c r="L46" s="627">
        <v>39160</v>
      </c>
      <c r="M46" s="657">
        <v>63491</v>
      </c>
      <c r="N46" s="657">
        <v>8142.2333874092392</v>
      </c>
      <c r="O46" s="657">
        <v>516958540</v>
      </c>
      <c r="P46" s="657"/>
      <c r="Q46" s="657">
        <v>301582250</v>
      </c>
      <c r="R46" s="657">
        <v>215376290</v>
      </c>
      <c r="S46" s="654" t="s">
        <v>489</v>
      </c>
      <c r="T46" s="654"/>
      <c r="U46" s="450"/>
      <c r="V46" s="499" t="s">
        <v>488</v>
      </c>
      <c r="W46" s="499" t="s">
        <v>1208</v>
      </c>
      <c r="AD46" s="455"/>
    </row>
    <row r="47" spans="1:30" ht="14.25" customHeight="1">
      <c r="A47" s="474" t="s">
        <v>476</v>
      </c>
      <c r="B47" s="474"/>
      <c r="C47" s="474"/>
      <c r="D47" s="474"/>
      <c r="E47" s="654" t="s">
        <v>487</v>
      </c>
      <c r="F47" s="654" t="s">
        <v>291</v>
      </c>
      <c r="G47" s="627"/>
      <c r="H47" s="657"/>
      <c r="I47" s="657"/>
      <c r="J47" s="657"/>
      <c r="K47" s="650"/>
      <c r="L47" s="627">
        <v>39161</v>
      </c>
      <c r="M47" s="657">
        <v>20326</v>
      </c>
      <c r="N47" s="657">
        <v>8156.178785791597</v>
      </c>
      <c r="O47" s="657">
        <v>165782490</v>
      </c>
      <c r="P47" s="657"/>
      <c r="Q47" s="657">
        <v>96548500</v>
      </c>
      <c r="R47" s="657">
        <v>69233990</v>
      </c>
      <c r="S47" s="654" t="s">
        <v>489</v>
      </c>
      <c r="T47" s="654"/>
      <c r="U47" s="450"/>
      <c r="V47" s="499" t="s">
        <v>488</v>
      </c>
      <c r="W47" s="499" t="s">
        <v>1208</v>
      </c>
      <c r="AD47" s="455"/>
    </row>
    <row r="48" spans="1:30" ht="14.25" customHeight="1">
      <c r="A48" s="474" t="s">
        <v>476</v>
      </c>
      <c r="B48" s="474"/>
      <c r="C48" s="474"/>
      <c r="D48" s="474"/>
      <c r="E48" s="654" t="s">
        <v>487</v>
      </c>
      <c r="F48" s="654" t="s">
        <v>291</v>
      </c>
      <c r="G48" s="627"/>
      <c r="H48" s="657"/>
      <c r="I48" s="657"/>
      <c r="J48" s="657"/>
      <c r="K48" s="650"/>
      <c r="L48" s="627">
        <v>39162</v>
      </c>
      <c r="M48" s="657">
        <v>11846</v>
      </c>
      <c r="N48" s="657">
        <v>8053.2399122066518</v>
      </c>
      <c r="O48" s="657">
        <v>95398680</v>
      </c>
      <c r="P48" s="657"/>
      <c r="Q48" s="657">
        <v>56268500</v>
      </c>
      <c r="R48" s="657">
        <v>39130180</v>
      </c>
      <c r="S48" s="654" t="s">
        <v>489</v>
      </c>
      <c r="T48" s="654"/>
      <c r="U48" s="450"/>
      <c r="V48" s="499" t="s">
        <v>488</v>
      </c>
      <c r="W48" s="499" t="s">
        <v>1208</v>
      </c>
      <c r="AD48" s="455"/>
    </row>
    <row r="49" spans="1:30" ht="14.25" customHeight="1">
      <c r="A49" s="474" t="s">
        <v>476</v>
      </c>
      <c r="B49" s="474"/>
      <c r="C49" s="474"/>
      <c r="D49" s="474"/>
      <c r="E49" s="654" t="s">
        <v>487</v>
      </c>
      <c r="F49" s="654" t="s">
        <v>291</v>
      </c>
      <c r="G49" s="627"/>
      <c r="H49" s="657"/>
      <c r="I49" s="657"/>
      <c r="J49" s="657"/>
      <c r="K49" s="650"/>
      <c r="L49" s="627">
        <v>39163</v>
      </c>
      <c r="M49" s="657">
        <v>39387</v>
      </c>
      <c r="N49" s="657">
        <v>8175.0539518115111</v>
      </c>
      <c r="O49" s="657">
        <v>321990850</v>
      </c>
      <c r="P49" s="657"/>
      <c r="Q49" s="657">
        <v>187088250</v>
      </c>
      <c r="R49" s="657">
        <v>134902600</v>
      </c>
      <c r="S49" s="654" t="s">
        <v>489</v>
      </c>
      <c r="T49" s="654"/>
      <c r="U49" s="450"/>
      <c r="V49" s="499" t="s">
        <v>488</v>
      </c>
      <c r="W49" s="499" t="s">
        <v>1208</v>
      </c>
      <c r="AD49" s="455"/>
    </row>
    <row r="50" spans="1:30" ht="14.25" customHeight="1">
      <c r="A50" s="474" t="s">
        <v>476</v>
      </c>
      <c r="B50" s="474"/>
      <c r="C50" s="474"/>
      <c r="D50" s="474"/>
      <c r="E50" s="655" t="s">
        <v>487</v>
      </c>
      <c r="F50" s="655" t="s">
        <v>291</v>
      </c>
      <c r="G50" s="606"/>
      <c r="H50" s="614"/>
      <c r="I50" s="614"/>
      <c r="J50" s="614"/>
      <c r="K50" s="613"/>
      <c r="L50" s="606">
        <v>39164</v>
      </c>
      <c r="M50" s="614">
        <v>20000</v>
      </c>
      <c r="N50" s="614">
        <v>8239.4349999999995</v>
      </c>
      <c r="O50" s="614">
        <v>164788700</v>
      </c>
      <c r="P50" s="614">
        <v>3510979620</v>
      </c>
      <c r="Q50" s="614">
        <v>95000000</v>
      </c>
      <c r="R50" s="614">
        <v>69788700</v>
      </c>
      <c r="S50" s="655" t="s">
        <v>489</v>
      </c>
      <c r="T50" s="497">
        <v>0</v>
      </c>
      <c r="U50" s="449"/>
      <c r="V50" s="500" t="s">
        <v>488</v>
      </c>
      <c r="W50" s="500" t="s">
        <v>1208</v>
      </c>
      <c r="AD50" s="455"/>
    </row>
    <row r="51" spans="1:30" ht="14.25" customHeight="1">
      <c r="A51" s="474" t="s">
        <v>476</v>
      </c>
      <c r="B51" s="474"/>
      <c r="C51" s="474"/>
      <c r="D51" s="474"/>
      <c r="E51" s="656" t="s">
        <v>492</v>
      </c>
      <c r="F51" s="656" t="s">
        <v>292</v>
      </c>
      <c r="G51" s="605">
        <v>38645</v>
      </c>
      <c r="H51" s="610">
        <v>0</v>
      </c>
      <c r="I51" s="610"/>
      <c r="J51" s="610">
        <v>1000000000</v>
      </c>
      <c r="K51" s="612" t="s">
        <v>1214</v>
      </c>
      <c r="L51" s="605">
        <v>38737</v>
      </c>
      <c r="M51" s="610">
        <v>0</v>
      </c>
      <c r="N51" s="610"/>
      <c r="O51" s="610">
        <v>5095890</v>
      </c>
      <c r="P51" s="610"/>
      <c r="Q51" s="610">
        <v>0</v>
      </c>
      <c r="R51" s="610">
        <v>5095890</v>
      </c>
      <c r="S51" s="656" t="s">
        <v>493</v>
      </c>
      <c r="T51" s="656"/>
      <c r="U51" s="456"/>
      <c r="V51" s="501" t="s">
        <v>346</v>
      </c>
      <c r="W51" s="501" t="s">
        <v>1208</v>
      </c>
      <c r="AD51" s="455"/>
    </row>
    <row r="52" spans="1:30" ht="14.25" customHeight="1">
      <c r="A52" s="474" t="s">
        <v>476</v>
      </c>
      <c r="B52" s="474"/>
      <c r="C52" s="474"/>
      <c r="D52" s="474"/>
      <c r="E52" s="654" t="s">
        <v>492</v>
      </c>
      <c r="F52" s="654" t="s">
        <v>292</v>
      </c>
      <c r="G52" s="627"/>
      <c r="H52" s="657"/>
      <c r="I52" s="657"/>
      <c r="J52" s="657"/>
      <c r="K52" s="650"/>
      <c r="L52" s="627">
        <v>38832</v>
      </c>
      <c r="M52" s="657">
        <v>0</v>
      </c>
      <c r="N52" s="657"/>
      <c r="O52" s="657">
        <v>5205479</v>
      </c>
      <c r="P52" s="657"/>
      <c r="Q52" s="657">
        <v>0</v>
      </c>
      <c r="R52" s="657">
        <v>5205479</v>
      </c>
      <c r="S52" s="654" t="s">
        <v>493</v>
      </c>
      <c r="T52" s="654"/>
      <c r="U52" s="450"/>
      <c r="V52" s="499" t="s">
        <v>346</v>
      </c>
      <c r="W52" s="499" t="s">
        <v>1208</v>
      </c>
      <c r="AD52" s="455"/>
    </row>
    <row r="53" spans="1:30" ht="14.25" customHeight="1">
      <c r="A53" s="474" t="s">
        <v>476</v>
      </c>
      <c r="B53" s="474"/>
      <c r="C53" s="474"/>
      <c r="D53" s="474"/>
      <c r="E53" s="654" t="s">
        <v>492</v>
      </c>
      <c r="F53" s="654" t="s">
        <v>292</v>
      </c>
      <c r="G53" s="627"/>
      <c r="H53" s="657"/>
      <c r="I53" s="657"/>
      <c r="J53" s="657"/>
      <c r="K53" s="650"/>
      <c r="L53" s="627">
        <v>38923</v>
      </c>
      <c r="M53" s="657">
        <v>0</v>
      </c>
      <c r="N53" s="657"/>
      <c r="O53" s="657">
        <v>4986301</v>
      </c>
      <c r="P53" s="657"/>
      <c r="Q53" s="657">
        <v>0</v>
      </c>
      <c r="R53" s="657">
        <v>4986301</v>
      </c>
      <c r="S53" s="654" t="s">
        <v>493</v>
      </c>
      <c r="T53" s="654"/>
      <c r="U53" s="450"/>
      <c r="V53" s="499" t="s">
        <v>346</v>
      </c>
      <c r="W53" s="499" t="s">
        <v>1208</v>
      </c>
      <c r="AD53" s="455"/>
    </row>
    <row r="54" spans="1:30" ht="14.25" customHeight="1">
      <c r="A54" s="474" t="s">
        <v>476</v>
      </c>
      <c r="B54" s="474"/>
      <c r="C54" s="474"/>
      <c r="D54" s="474"/>
      <c r="E54" s="654" t="s">
        <v>492</v>
      </c>
      <c r="F54" s="654" t="s">
        <v>292</v>
      </c>
      <c r="G54" s="627"/>
      <c r="H54" s="657"/>
      <c r="I54" s="657"/>
      <c r="J54" s="657"/>
      <c r="K54" s="650"/>
      <c r="L54" s="627">
        <v>39015</v>
      </c>
      <c r="M54" s="657">
        <v>0</v>
      </c>
      <c r="N54" s="657"/>
      <c r="O54" s="657">
        <v>5041096</v>
      </c>
      <c r="P54" s="657"/>
      <c r="Q54" s="657">
        <v>0</v>
      </c>
      <c r="R54" s="657">
        <v>5041096</v>
      </c>
      <c r="S54" s="654" t="s">
        <v>493</v>
      </c>
      <c r="T54" s="654"/>
      <c r="U54" s="450"/>
      <c r="V54" s="499" t="s">
        <v>346</v>
      </c>
      <c r="W54" s="499" t="s">
        <v>1208</v>
      </c>
      <c r="AD54" s="455"/>
    </row>
    <row r="55" spans="1:30" ht="14.25" customHeight="1">
      <c r="A55" s="474" t="s">
        <v>476</v>
      </c>
      <c r="B55" s="474"/>
      <c r="C55" s="474"/>
      <c r="D55" s="474"/>
      <c r="E55" s="654" t="s">
        <v>492</v>
      </c>
      <c r="F55" s="654" t="s">
        <v>292</v>
      </c>
      <c r="G55" s="627"/>
      <c r="H55" s="657"/>
      <c r="I55" s="657"/>
      <c r="J55" s="657"/>
      <c r="K55" s="650"/>
      <c r="L55" s="440">
        <v>39107</v>
      </c>
      <c r="M55" s="657">
        <v>0</v>
      </c>
      <c r="N55" s="657"/>
      <c r="O55" s="657">
        <v>5041096</v>
      </c>
      <c r="P55" s="657"/>
      <c r="Q55" s="657">
        <v>0</v>
      </c>
      <c r="R55" s="657">
        <v>5041096</v>
      </c>
      <c r="S55" s="654" t="s">
        <v>493</v>
      </c>
      <c r="T55" s="654"/>
      <c r="U55" s="450"/>
      <c r="V55" s="499" t="s">
        <v>346</v>
      </c>
      <c r="W55" s="499" t="s">
        <v>1208</v>
      </c>
      <c r="AD55" s="455"/>
    </row>
    <row r="56" spans="1:30" ht="14.25" customHeight="1">
      <c r="A56" s="474" t="s">
        <v>476</v>
      </c>
      <c r="B56" s="474"/>
      <c r="C56" s="474"/>
      <c r="D56" s="474"/>
      <c r="E56" s="654" t="s">
        <v>492</v>
      </c>
      <c r="F56" s="654" t="s">
        <v>292</v>
      </c>
      <c r="G56" s="627"/>
      <c r="H56" s="657"/>
      <c r="I56" s="657"/>
      <c r="J56" s="657"/>
      <c r="K56" s="650"/>
      <c r="L56" s="440">
        <v>39197</v>
      </c>
      <c r="M56" s="657">
        <v>0</v>
      </c>
      <c r="N56" s="657"/>
      <c r="O56" s="657">
        <v>4931507</v>
      </c>
      <c r="P56" s="657"/>
      <c r="Q56" s="657">
        <v>0</v>
      </c>
      <c r="R56" s="657">
        <v>4931507</v>
      </c>
      <c r="S56" s="654" t="s">
        <v>493</v>
      </c>
      <c r="T56" s="654"/>
      <c r="U56" s="450"/>
      <c r="V56" s="499" t="s">
        <v>346</v>
      </c>
      <c r="W56" s="499" t="s">
        <v>1208</v>
      </c>
      <c r="AD56" s="455"/>
    </row>
    <row r="57" spans="1:30" ht="14.25" customHeight="1">
      <c r="A57" s="474" t="s">
        <v>476</v>
      </c>
      <c r="B57" s="474"/>
      <c r="C57" s="474"/>
      <c r="D57" s="474"/>
      <c r="E57" s="654" t="s">
        <v>492</v>
      </c>
      <c r="F57" s="654" t="s">
        <v>292</v>
      </c>
      <c r="G57" s="627"/>
      <c r="H57" s="657"/>
      <c r="I57" s="657"/>
      <c r="J57" s="657"/>
      <c r="K57" s="650"/>
      <c r="L57" s="440">
        <v>39286</v>
      </c>
      <c r="M57" s="657">
        <v>0</v>
      </c>
      <c r="N57" s="657"/>
      <c r="O57" s="657">
        <v>4986301</v>
      </c>
      <c r="P57" s="657"/>
      <c r="Q57" s="657">
        <v>0</v>
      </c>
      <c r="R57" s="657">
        <v>4986301</v>
      </c>
      <c r="S57" s="654" t="s">
        <v>493</v>
      </c>
      <c r="T57" s="654"/>
      <c r="U57" s="450"/>
      <c r="V57" s="499" t="s">
        <v>346</v>
      </c>
      <c r="W57" s="499" t="s">
        <v>1208</v>
      </c>
      <c r="AD57" s="455"/>
    </row>
    <row r="58" spans="1:30" ht="14.25" customHeight="1">
      <c r="A58" s="474" t="s">
        <v>476</v>
      </c>
      <c r="B58" s="474"/>
      <c r="C58" s="474"/>
      <c r="D58" s="474"/>
      <c r="E58" s="654" t="s">
        <v>492</v>
      </c>
      <c r="F58" s="654" t="s">
        <v>292</v>
      </c>
      <c r="G58" s="627"/>
      <c r="H58" s="657"/>
      <c r="I58" s="657"/>
      <c r="J58" s="657"/>
      <c r="K58" s="650"/>
      <c r="L58" s="440">
        <v>39378</v>
      </c>
      <c r="M58" s="657">
        <v>0</v>
      </c>
      <c r="N58" s="657"/>
      <c r="O58" s="657">
        <v>5041096</v>
      </c>
      <c r="P58" s="657"/>
      <c r="Q58" s="657">
        <v>0</v>
      </c>
      <c r="R58" s="657">
        <v>5041096</v>
      </c>
      <c r="S58" s="654" t="s">
        <v>493</v>
      </c>
      <c r="T58" s="654"/>
      <c r="U58" s="450"/>
      <c r="V58" s="499" t="s">
        <v>346</v>
      </c>
      <c r="W58" s="499" t="s">
        <v>1208</v>
      </c>
      <c r="AD58" s="455"/>
    </row>
    <row r="59" spans="1:30" ht="14.25" customHeight="1">
      <c r="A59" s="474" t="s">
        <v>476</v>
      </c>
      <c r="B59" s="474"/>
      <c r="C59" s="474"/>
      <c r="D59" s="474"/>
      <c r="E59" s="654" t="s">
        <v>492</v>
      </c>
      <c r="F59" s="654" t="s">
        <v>292</v>
      </c>
      <c r="G59" s="627"/>
      <c r="H59" s="657"/>
      <c r="I59" s="657"/>
      <c r="J59" s="657"/>
      <c r="K59" s="650"/>
      <c r="L59" s="440">
        <v>39472</v>
      </c>
      <c r="M59" s="657">
        <v>0</v>
      </c>
      <c r="N59" s="657"/>
      <c r="O59" s="657">
        <v>5041096</v>
      </c>
      <c r="P59" s="657"/>
      <c r="Q59" s="657">
        <v>0</v>
      </c>
      <c r="R59" s="657">
        <v>5041096</v>
      </c>
      <c r="S59" s="654" t="s">
        <v>493</v>
      </c>
      <c r="T59" s="654"/>
      <c r="U59" s="450"/>
      <c r="V59" s="499" t="s">
        <v>346</v>
      </c>
      <c r="W59" s="499" t="s">
        <v>1208</v>
      </c>
      <c r="AD59" s="455"/>
    </row>
    <row r="60" spans="1:30" ht="14.25" customHeight="1">
      <c r="A60" s="474" t="s">
        <v>476</v>
      </c>
      <c r="B60" s="474"/>
      <c r="C60" s="474"/>
      <c r="D60" s="474"/>
      <c r="E60" s="654" t="s">
        <v>492</v>
      </c>
      <c r="F60" s="654" t="s">
        <v>292</v>
      </c>
      <c r="G60" s="627"/>
      <c r="H60" s="657"/>
      <c r="I60" s="657"/>
      <c r="J60" s="657"/>
      <c r="K60" s="650"/>
      <c r="L60" s="440">
        <v>39545</v>
      </c>
      <c r="M60" s="657">
        <v>0</v>
      </c>
      <c r="N60" s="657"/>
      <c r="O60" s="657">
        <v>814518538</v>
      </c>
      <c r="P60" s="657"/>
      <c r="Q60" s="657">
        <v>700000000</v>
      </c>
      <c r="R60" s="657">
        <v>114518538</v>
      </c>
      <c r="S60" s="654" t="s">
        <v>493</v>
      </c>
      <c r="T60" s="654"/>
      <c r="U60" s="450"/>
      <c r="V60" s="499" t="s">
        <v>494</v>
      </c>
      <c r="W60" s="499" t="s">
        <v>1208</v>
      </c>
      <c r="AD60" s="455"/>
    </row>
    <row r="61" spans="1:30" ht="14.25" customHeight="1">
      <c r="A61" s="474" t="s">
        <v>476</v>
      </c>
      <c r="B61" s="474"/>
      <c r="C61" s="474"/>
      <c r="D61" s="474"/>
      <c r="E61" s="654" t="s">
        <v>492</v>
      </c>
      <c r="F61" s="654" t="s">
        <v>292</v>
      </c>
      <c r="G61" s="627"/>
      <c r="H61" s="657"/>
      <c r="I61" s="657"/>
      <c r="J61" s="657"/>
      <c r="K61" s="650"/>
      <c r="L61" s="440">
        <v>39563</v>
      </c>
      <c r="M61" s="657">
        <v>0</v>
      </c>
      <c r="N61" s="657"/>
      <c r="O61" s="657">
        <v>1495890</v>
      </c>
      <c r="P61" s="657"/>
      <c r="Q61" s="657">
        <v>0</v>
      </c>
      <c r="R61" s="657">
        <v>1495890</v>
      </c>
      <c r="S61" s="654" t="s">
        <v>493</v>
      </c>
      <c r="T61" s="654"/>
      <c r="U61" s="450"/>
      <c r="V61" s="499" t="s">
        <v>346</v>
      </c>
      <c r="W61" s="499" t="s">
        <v>1208</v>
      </c>
      <c r="AD61" s="455"/>
    </row>
    <row r="62" spans="1:30" ht="14.25" customHeight="1">
      <c r="A62" s="474" t="s">
        <v>476</v>
      </c>
      <c r="B62" s="474"/>
      <c r="C62" s="474"/>
      <c r="D62" s="474"/>
      <c r="E62" s="655" t="s">
        <v>492</v>
      </c>
      <c r="F62" s="655" t="s">
        <v>292</v>
      </c>
      <c r="G62" s="606"/>
      <c r="H62" s="614"/>
      <c r="I62" s="614"/>
      <c r="J62" s="614"/>
      <c r="K62" s="613"/>
      <c r="L62" s="442">
        <v>39588</v>
      </c>
      <c r="M62" s="614">
        <v>0</v>
      </c>
      <c r="N62" s="614"/>
      <c r="O62" s="614">
        <v>352035857</v>
      </c>
      <c r="P62" s="614">
        <v>1213420147</v>
      </c>
      <c r="Q62" s="614">
        <v>300000000</v>
      </c>
      <c r="R62" s="614">
        <v>52035857</v>
      </c>
      <c r="S62" s="655" t="s">
        <v>493</v>
      </c>
      <c r="T62" s="497">
        <v>0</v>
      </c>
      <c r="U62" s="449"/>
      <c r="V62" s="500" t="s">
        <v>495</v>
      </c>
      <c r="W62" s="500" t="s">
        <v>1208</v>
      </c>
      <c r="AD62" s="455"/>
    </row>
    <row r="63" spans="1:30" ht="14.25" customHeight="1">
      <c r="A63" s="474" t="s">
        <v>476</v>
      </c>
      <c r="B63" s="474"/>
      <c r="C63" s="474"/>
      <c r="D63" s="474"/>
      <c r="E63" s="656" t="s">
        <v>492</v>
      </c>
      <c r="F63" s="656" t="s">
        <v>496</v>
      </c>
      <c r="G63" s="605">
        <v>38729</v>
      </c>
      <c r="H63" s="610">
        <v>0</v>
      </c>
      <c r="I63" s="610"/>
      <c r="J63" s="610">
        <v>500000000</v>
      </c>
      <c r="K63" s="612" t="s">
        <v>1214</v>
      </c>
      <c r="L63" s="605">
        <v>38832</v>
      </c>
      <c r="M63" s="610">
        <v>0</v>
      </c>
      <c r="N63" s="610"/>
      <c r="O63" s="610">
        <v>4232877</v>
      </c>
      <c r="P63" s="610"/>
      <c r="Q63" s="610">
        <v>0</v>
      </c>
      <c r="R63" s="610">
        <v>4232877</v>
      </c>
      <c r="S63" s="656" t="s">
        <v>493</v>
      </c>
      <c r="T63" s="656"/>
      <c r="U63" s="456"/>
      <c r="V63" s="501" t="s">
        <v>346</v>
      </c>
      <c r="W63" s="501" t="s">
        <v>1208</v>
      </c>
      <c r="AD63" s="455"/>
    </row>
    <row r="64" spans="1:30" ht="14.25" customHeight="1">
      <c r="A64" s="474" t="s">
        <v>476</v>
      </c>
      <c r="B64" s="474"/>
      <c r="C64" s="474"/>
      <c r="D64" s="474"/>
      <c r="E64" s="654" t="s">
        <v>492</v>
      </c>
      <c r="F64" s="654" t="s">
        <v>496</v>
      </c>
      <c r="G64" s="627"/>
      <c r="H64" s="657">
        <v>31506</v>
      </c>
      <c r="I64" s="657">
        <v>15870</v>
      </c>
      <c r="J64" s="657"/>
      <c r="K64" s="650" t="s">
        <v>1215</v>
      </c>
      <c r="L64" s="627">
        <v>38923</v>
      </c>
      <c r="M64" s="657">
        <v>0</v>
      </c>
      <c r="N64" s="657"/>
      <c r="O64" s="657">
        <v>3739726</v>
      </c>
      <c r="P64" s="657"/>
      <c r="Q64" s="657">
        <v>0</v>
      </c>
      <c r="R64" s="657">
        <v>3739726</v>
      </c>
      <c r="S64" s="654" t="s">
        <v>493</v>
      </c>
      <c r="T64" s="654"/>
      <c r="U64" s="450"/>
      <c r="V64" s="499" t="s">
        <v>346</v>
      </c>
      <c r="W64" s="499" t="s">
        <v>1208</v>
      </c>
      <c r="AD64" s="455"/>
    </row>
    <row r="65" spans="1:30" ht="14.25" customHeight="1">
      <c r="A65" s="474" t="s">
        <v>476</v>
      </c>
      <c r="B65" s="474"/>
      <c r="C65" s="474"/>
      <c r="D65" s="474"/>
      <c r="E65" s="654" t="s">
        <v>492</v>
      </c>
      <c r="F65" s="654" t="s">
        <v>496</v>
      </c>
      <c r="G65" s="627">
        <v>39994</v>
      </c>
      <c r="H65" s="657">
        <v>283554</v>
      </c>
      <c r="I65" s="657">
        <v>1586.9993017203071</v>
      </c>
      <c r="J65" s="657"/>
      <c r="K65" s="650" t="s">
        <v>1139</v>
      </c>
      <c r="L65" s="627">
        <v>39015</v>
      </c>
      <c r="M65" s="657">
        <v>0</v>
      </c>
      <c r="N65" s="657"/>
      <c r="O65" s="657">
        <v>3780822</v>
      </c>
      <c r="P65" s="657"/>
      <c r="Q65" s="657">
        <v>0</v>
      </c>
      <c r="R65" s="657">
        <v>3780822</v>
      </c>
      <c r="S65" s="654" t="s">
        <v>493</v>
      </c>
      <c r="T65" s="654"/>
      <c r="U65" s="450"/>
      <c r="V65" s="499" t="s">
        <v>346</v>
      </c>
      <c r="W65" s="499" t="s">
        <v>1208</v>
      </c>
      <c r="AD65" s="455"/>
    </row>
    <row r="66" spans="1:30" ht="14.25" customHeight="1">
      <c r="A66" s="474" t="s">
        <v>476</v>
      </c>
      <c r="B66" s="474"/>
      <c r="C66" s="474"/>
      <c r="D66" s="474"/>
      <c r="E66" s="654" t="s">
        <v>492</v>
      </c>
      <c r="F66" s="654" t="s">
        <v>496</v>
      </c>
      <c r="G66" s="627"/>
      <c r="H66" s="657"/>
      <c r="I66" s="657"/>
      <c r="J66" s="657"/>
      <c r="K66" s="650"/>
      <c r="L66" s="440">
        <v>39107</v>
      </c>
      <c r="M66" s="657">
        <v>0</v>
      </c>
      <c r="N66" s="657"/>
      <c r="O66" s="657">
        <v>3780822</v>
      </c>
      <c r="P66" s="657"/>
      <c r="Q66" s="657">
        <v>0</v>
      </c>
      <c r="R66" s="657">
        <v>3780822</v>
      </c>
      <c r="S66" s="654" t="s">
        <v>493</v>
      </c>
      <c r="T66" s="654"/>
      <c r="U66" s="450"/>
      <c r="V66" s="499" t="s">
        <v>346</v>
      </c>
      <c r="W66" s="499" t="s">
        <v>1208</v>
      </c>
      <c r="AD66" s="455"/>
    </row>
    <row r="67" spans="1:30" ht="14.25" customHeight="1">
      <c r="A67" s="474" t="s">
        <v>476</v>
      </c>
      <c r="B67" s="474"/>
      <c r="C67" s="474"/>
      <c r="D67" s="474"/>
      <c r="E67" s="654" t="s">
        <v>492</v>
      </c>
      <c r="F67" s="654" t="s">
        <v>496</v>
      </c>
      <c r="G67" s="627"/>
      <c r="H67" s="657"/>
      <c r="I67" s="657"/>
      <c r="J67" s="657"/>
      <c r="K67" s="650"/>
      <c r="L67" s="440">
        <v>39197</v>
      </c>
      <c r="M67" s="657">
        <v>0</v>
      </c>
      <c r="N67" s="657"/>
      <c r="O67" s="657">
        <v>3698630</v>
      </c>
      <c r="P67" s="657"/>
      <c r="Q67" s="657">
        <v>0</v>
      </c>
      <c r="R67" s="657">
        <v>3698630</v>
      </c>
      <c r="S67" s="654" t="s">
        <v>493</v>
      </c>
      <c r="T67" s="654"/>
      <c r="U67" s="450"/>
      <c r="V67" s="499" t="s">
        <v>346</v>
      </c>
      <c r="W67" s="499" t="s">
        <v>1208</v>
      </c>
      <c r="AD67" s="455"/>
    </row>
    <row r="68" spans="1:30" ht="14.25" customHeight="1">
      <c r="A68" s="474" t="s">
        <v>476</v>
      </c>
      <c r="B68" s="474"/>
      <c r="C68" s="474"/>
      <c r="D68" s="474"/>
      <c r="E68" s="654" t="s">
        <v>492</v>
      </c>
      <c r="F68" s="654" t="s">
        <v>496</v>
      </c>
      <c r="G68" s="627"/>
      <c r="H68" s="657"/>
      <c r="I68" s="657"/>
      <c r="J68" s="657"/>
      <c r="K68" s="650"/>
      <c r="L68" s="440">
        <v>39286</v>
      </c>
      <c r="M68" s="657">
        <v>0</v>
      </c>
      <c r="N68" s="657"/>
      <c r="O68" s="657">
        <v>3739726</v>
      </c>
      <c r="P68" s="657"/>
      <c r="Q68" s="657">
        <v>0</v>
      </c>
      <c r="R68" s="657">
        <v>3739726</v>
      </c>
      <c r="S68" s="654" t="s">
        <v>493</v>
      </c>
      <c r="T68" s="654"/>
      <c r="U68" s="450"/>
      <c r="V68" s="499" t="s">
        <v>346</v>
      </c>
      <c r="W68" s="499" t="s">
        <v>1208</v>
      </c>
      <c r="AD68" s="455"/>
    </row>
    <row r="69" spans="1:30" ht="14.25" customHeight="1">
      <c r="A69" s="474" t="s">
        <v>476</v>
      </c>
      <c r="B69" s="474"/>
      <c r="C69" s="474"/>
      <c r="D69" s="474"/>
      <c r="E69" s="654" t="s">
        <v>492</v>
      </c>
      <c r="F69" s="654" t="s">
        <v>496</v>
      </c>
      <c r="G69" s="627"/>
      <c r="H69" s="657"/>
      <c r="I69" s="657"/>
      <c r="J69" s="657"/>
      <c r="K69" s="650"/>
      <c r="L69" s="440">
        <v>39380</v>
      </c>
      <c r="M69" s="657">
        <v>0</v>
      </c>
      <c r="N69" s="657"/>
      <c r="O69" s="657">
        <v>3780822</v>
      </c>
      <c r="P69" s="657"/>
      <c r="Q69" s="657">
        <v>0</v>
      </c>
      <c r="R69" s="657">
        <v>3780822</v>
      </c>
      <c r="S69" s="654" t="s">
        <v>493</v>
      </c>
      <c r="T69" s="654"/>
      <c r="U69" s="450"/>
      <c r="V69" s="499" t="s">
        <v>346</v>
      </c>
      <c r="W69" s="499" t="s">
        <v>1208</v>
      </c>
      <c r="AD69" s="455"/>
    </row>
    <row r="70" spans="1:30" ht="14.25" customHeight="1">
      <c r="A70" s="474" t="s">
        <v>476</v>
      </c>
      <c r="B70" s="474"/>
      <c r="C70" s="474"/>
      <c r="D70" s="474"/>
      <c r="E70" s="654" t="s">
        <v>492</v>
      </c>
      <c r="F70" s="654" t="s">
        <v>496</v>
      </c>
      <c r="G70" s="627"/>
      <c r="H70" s="657"/>
      <c r="I70" s="657"/>
      <c r="J70" s="657"/>
      <c r="K70" s="650"/>
      <c r="L70" s="440">
        <v>39472</v>
      </c>
      <c r="M70" s="657">
        <v>0</v>
      </c>
      <c r="N70" s="657"/>
      <c r="O70" s="657">
        <v>3780822</v>
      </c>
      <c r="P70" s="657"/>
      <c r="Q70" s="657">
        <v>0</v>
      </c>
      <c r="R70" s="657">
        <v>3780822</v>
      </c>
      <c r="S70" s="654" t="s">
        <v>493</v>
      </c>
      <c r="T70" s="654"/>
      <c r="U70" s="450"/>
      <c r="V70" s="499" t="s">
        <v>346</v>
      </c>
      <c r="W70" s="499" t="s">
        <v>1208</v>
      </c>
      <c r="AD70" s="455"/>
    </row>
    <row r="71" spans="1:30" ht="14.25" customHeight="1">
      <c r="A71" s="474" t="s">
        <v>476</v>
      </c>
      <c r="B71" s="474"/>
      <c r="C71" s="474"/>
      <c r="D71" s="474"/>
      <c r="E71" s="654" t="s">
        <v>492</v>
      </c>
      <c r="F71" s="654" t="s">
        <v>496</v>
      </c>
      <c r="G71" s="627"/>
      <c r="H71" s="657"/>
      <c r="I71" s="657"/>
      <c r="J71" s="657"/>
      <c r="K71" s="650"/>
      <c r="L71" s="440">
        <v>39563</v>
      </c>
      <c r="M71" s="657">
        <v>0</v>
      </c>
      <c r="N71" s="657"/>
      <c r="O71" s="657">
        <v>3739726</v>
      </c>
      <c r="P71" s="657"/>
      <c r="Q71" s="657">
        <v>0</v>
      </c>
      <c r="R71" s="657">
        <v>3739726</v>
      </c>
      <c r="S71" s="654" t="s">
        <v>493</v>
      </c>
      <c r="T71" s="654"/>
      <c r="U71" s="450"/>
      <c r="V71" s="499" t="s">
        <v>346</v>
      </c>
      <c r="W71" s="499" t="s">
        <v>1208</v>
      </c>
      <c r="AD71" s="455"/>
    </row>
    <row r="72" spans="1:30" ht="14.25" customHeight="1">
      <c r="A72" s="474" t="s">
        <v>476</v>
      </c>
      <c r="B72" s="474"/>
      <c r="C72" s="474"/>
      <c r="D72" s="474"/>
      <c r="E72" s="654" t="s">
        <v>492</v>
      </c>
      <c r="F72" s="654" t="s">
        <v>496</v>
      </c>
      <c r="G72" s="627"/>
      <c r="H72" s="657"/>
      <c r="I72" s="657"/>
      <c r="J72" s="657"/>
      <c r="K72" s="650"/>
      <c r="L72" s="440">
        <v>39653</v>
      </c>
      <c r="M72" s="657">
        <v>0</v>
      </c>
      <c r="N72" s="657"/>
      <c r="O72" s="657">
        <v>3739726</v>
      </c>
      <c r="P72" s="657"/>
      <c r="Q72" s="657">
        <v>0</v>
      </c>
      <c r="R72" s="657">
        <v>3739726</v>
      </c>
      <c r="S72" s="654" t="s">
        <v>493</v>
      </c>
      <c r="T72" s="654"/>
      <c r="U72" s="450"/>
      <c r="V72" s="499" t="s">
        <v>346</v>
      </c>
      <c r="W72" s="499" t="s">
        <v>1208</v>
      </c>
      <c r="AD72" s="455"/>
    </row>
    <row r="73" spans="1:30" ht="14.25" customHeight="1">
      <c r="A73" s="474" t="s">
        <v>476</v>
      </c>
      <c r="B73" s="474"/>
      <c r="C73" s="474"/>
      <c r="D73" s="474"/>
      <c r="E73" s="654" t="s">
        <v>492</v>
      </c>
      <c r="F73" s="654" t="s">
        <v>496</v>
      </c>
      <c r="G73" s="627"/>
      <c r="H73" s="657"/>
      <c r="I73" s="657"/>
      <c r="J73" s="657"/>
      <c r="K73" s="650"/>
      <c r="L73" s="440">
        <v>39748</v>
      </c>
      <c r="M73" s="657">
        <v>0</v>
      </c>
      <c r="N73" s="657"/>
      <c r="O73" s="657">
        <v>3780822</v>
      </c>
      <c r="P73" s="657"/>
      <c r="Q73" s="657">
        <v>0</v>
      </c>
      <c r="R73" s="657">
        <v>3780822</v>
      </c>
      <c r="S73" s="654" t="s">
        <v>493</v>
      </c>
      <c r="T73" s="654"/>
      <c r="U73" s="450"/>
      <c r="V73" s="499" t="s">
        <v>346</v>
      </c>
      <c r="W73" s="499" t="s">
        <v>1208</v>
      </c>
      <c r="AD73" s="455"/>
    </row>
    <row r="74" spans="1:30" ht="14.25" customHeight="1">
      <c r="A74" s="474" t="s">
        <v>476</v>
      </c>
      <c r="B74" s="474"/>
      <c r="C74" s="474"/>
      <c r="D74" s="474"/>
      <c r="E74" s="654" t="s">
        <v>492</v>
      </c>
      <c r="F74" s="654" t="s">
        <v>496</v>
      </c>
      <c r="G74" s="627"/>
      <c r="H74" s="657"/>
      <c r="I74" s="657"/>
      <c r="J74" s="657"/>
      <c r="K74" s="650"/>
      <c r="L74" s="440">
        <v>39825</v>
      </c>
      <c r="M74" s="657">
        <v>0</v>
      </c>
      <c r="N74" s="657"/>
      <c r="O74" s="657">
        <v>3082192</v>
      </c>
      <c r="P74" s="657">
        <v>44876713</v>
      </c>
      <c r="Q74" s="657">
        <v>0</v>
      </c>
      <c r="R74" s="657">
        <v>3082192</v>
      </c>
      <c r="S74" s="654" t="s">
        <v>493</v>
      </c>
      <c r="T74" s="506"/>
      <c r="U74" s="450"/>
      <c r="V74" s="499" t="s">
        <v>346</v>
      </c>
      <c r="W74" s="499" t="s">
        <v>1208</v>
      </c>
      <c r="AD74" s="455"/>
    </row>
    <row r="75" spans="1:30" ht="14.25" customHeight="1">
      <c r="A75" s="474" t="s">
        <v>476</v>
      </c>
      <c r="B75" s="474"/>
      <c r="C75" s="474"/>
      <c r="D75" s="474"/>
      <c r="E75" s="654" t="s">
        <v>487</v>
      </c>
      <c r="F75" s="654" t="s">
        <v>496</v>
      </c>
      <c r="G75" s="440"/>
      <c r="H75" s="657"/>
      <c r="I75" s="657"/>
      <c r="J75" s="657"/>
      <c r="K75" s="650"/>
      <c r="L75" s="627">
        <v>40840</v>
      </c>
      <c r="M75" s="657">
        <v>50000</v>
      </c>
      <c r="N75" s="657">
        <v>12300</v>
      </c>
      <c r="O75" s="657">
        <v>615000000</v>
      </c>
      <c r="P75" s="657"/>
      <c r="Q75" s="657">
        <v>79349965.086015359</v>
      </c>
      <c r="R75" s="657">
        <v>535650034.91398466</v>
      </c>
      <c r="S75" s="654" t="s">
        <v>1216</v>
      </c>
      <c r="T75" s="504"/>
      <c r="U75" s="450"/>
      <c r="V75" s="499"/>
      <c r="W75" s="499" t="s">
        <v>1208</v>
      </c>
      <c r="AD75" s="455"/>
    </row>
    <row r="76" spans="1:30" ht="14.25" customHeight="1">
      <c r="A76" s="474" t="s">
        <v>476</v>
      </c>
      <c r="B76" s="474"/>
      <c r="C76" s="474"/>
      <c r="D76" s="474"/>
      <c r="E76" s="654" t="s">
        <v>487</v>
      </c>
      <c r="F76" s="654" t="s">
        <v>496</v>
      </c>
      <c r="G76" s="440"/>
      <c r="H76" s="657"/>
      <c r="I76" s="657"/>
      <c r="J76" s="657"/>
      <c r="K76" s="650"/>
      <c r="L76" s="627">
        <v>40842</v>
      </c>
      <c r="M76" s="657">
        <v>65060</v>
      </c>
      <c r="N76" s="657">
        <v>12000</v>
      </c>
      <c r="O76" s="657">
        <v>780720000</v>
      </c>
      <c r="P76" s="657"/>
      <c r="Q76" s="657">
        <v>103250174.56992318</v>
      </c>
      <c r="R76" s="657">
        <v>677469825.43007684</v>
      </c>
      <c r="S76" s="654" t="s">
        <v>1216</v>
      </c>
      <c r="T76" s="504"/>
      <c r="U76" s="450"/>
      <c r="V76" s="499"/>
      <c r="W76" s="499" t="s">
        <v>1208</v>
      </c>
      <c r="AD76" s="455"/>
    </row>
    <row r="77" spans="1:30" ht="14.25" customHeight="1">
      <c r="A77" s="475" t="s">
        <v>476</v>
      </c>
      <c r="B77" s="475"/>
      <c r="C77" s="475"/>
      <c r="D77" s="475"/>
      <c r="E77" s="655" t="s">
        <v>487</v>
      </c>
      <c r="F77" s="655" t="s">
        <v>496</v>
      </c>
      <c r="G77" s="442"/>
      <c r="H77" s="614"/>
      <c r="I77" s="614"/>
      <c r="J77" s="614"/>
      <c r="K77" s="613"/>
      <c r="L77" s="606">
        <v>40847</v>
      </c>
      <c r="M77" s="614">
        <v>200000</v>
      </c>
      <c r="N77" s="614">
        <v>12300</v>
      </c>
      <c r="O77" s="614">
        <v>2460000000</v>
      </c>
      <c r="P77" s="614"/>
      <c r="Q77" s="614">
        <v>317399860.34406143</v>
      </c>
      <c r="R77" s="614">
        <v>2142600139.6559386</v>
      </c>
      <c r="S77" s="655" t="s">
        <v>1216</v>
      </c>
      <c r="T77" s="497">
        <v>0</v>
      </c>
      <c r="U77" s="449"/>
      <c r="V77" s="500"/>
      <c r="W77" s="500" t="s">
        <v>1208</v>
      </c>
      <c r="AD77" s="455"/>
    </row>
    <row r="78" spans="1:30" ht="14.25" customHeight="1">
      <c r="A78" s="474" t="s">
        <v>476</v>
      </c>
      <c r="B78" s="474"/>
      <c r="C78" s="474"/>
      <c r="D78" s="474"/>
      <c r="E78" s="664" t="s">
        <v>1204</v>
      </c>
      <c r="F78" s="664" t="s">
        <v>497</v>
      </c>
      <c r="G78" s="663">
        <v>38791</v>
      </c>
      <c r="H78" s="648">
        <v>0</v>
      </c>
      <c r="I78" s="648"/>
      <c r="J78" s="648">
        <v>400000000</v>
      </c>
      <c r="K78" s="750" t="s">
        <v>1205</v>
      </c>
      <c r="L78" s="663">
        <v>39672</v>
      </c>
      <c r="M78" s="648">
        <v>0</v>
      </c>
      <c r="N78" s="648"/>
      <c r="O78" s="648">
        <v>51668632</v>
      </c>
      <c r="P78" s="648"/>
      <c r="Q78" s="648">
        <v>51668632</v>
      </c>
      <c r="R78" s="648"/>
      <c r="S78" s="664" t="s">
        <v>1217</v>
      </c>
      <c r="T78" s="664"/>
      <c r="U78" s="512"/>
      <c r="V78" s="522" t="s">
        <v>475</v>
      </c>
      <c r="W78" s="522"/>
      <c r="AD78" s="455"/>
    </row>
    <row r="79" spans="1:30" ht="14.25" customHeight="1">
      <c r="A79" s="474" t="s">
        <v>476</v>
      </c>
      <c r="B79" s="474"/>
      <c r="C79" s="474"/>
      <c r="D79" s="474"/>
      <c r="E79" s="654" t="s">
        <v>1204</v>
      </c>
      <c r="F79" s="654" t="s">
        <v>497</v>
      </c>
      <c r="G79" s="627">
        <v>38887</v>
      </c>
      <c r="H79" s="657">
        <v>0</v>
      </c>
      <c r="I79" s="657"/>
      <c r="J79" s="657">
        <v>300000000</v>
      </c>
      <c r="K79" s="650" t="s">
        <v>1205</v>
      </c>
      <c r="L79" s="627">
        <v>39694</v>
      </c>
      <c r="M79" s="657">
        <v>0</v>
      </c>
      <c r="N79" s="657"/>
      <c r="O79" s="657">
        <v>56362752</v>
      </c>
      <c r="P79" s="657"/>
      <c r="Q79" s="657">
        <v>56362752</v>
      </c>
      <c r="R79" s="657"/>
      <c r="S79" s="654" t="s">
        <v>1217</v>
      </c>
      <c r="T79" s="654"/>
      <c r="U79" s="450"/>
      <c r="V79" s="499" t="s">
        <v>475</v>
      </c>
      <c r="W79" s="499"/>
      <c r="AD79" s="455"/>
    </row>
    <row r="80" spans="1:30" ht="14.25" customHeight="1">
      <c r="A80" s="474" t="s">
        <v>476</v>
      </c>
      <c r="B80" s="474"/>
      <c r="C80" s="474"/>
      <c r="D80" s="474"/>
      <c r="E80" s="655" t="s">
        <v>1204</v>
      </c>
      <c r="F80" s="655" t="s">
        <v>497</v>
      </c>
      <c r="G80" s="606">
        <v>38981</v>
      </c>
      <c r="H80" s="614">
        <v>0</v>
      </c>
      <c r="I80" s="614"/>
      <c r="J80" s="614">
        <v>300000000</v>
      </c>
      <c r="K80" s="613" t="s">
        <v>1205</v>
      </c>
      <c r="L80" s="606">
        <v>39994</v>
      </c>
      <c r="M80" s="614"/>
      <c r="N80" s="614"/>
      <c r="O80" s="614">
        <v>0</v>
      </c>
      <c r="P80" s="614">
        <v>108031384</v>
      </c>
      <c r="Q80" s="614">
        <v>891968616</v>
      </c>
      <c r="R80" s="614">
        <v>-891968616</v>
      </c>
      <c r="S80" s="655" t="s">
        <v>23</v>
      </c>
      <c r="T80" s="497">
        <v>0</v>
      </c>
      <c r="U80" s="449"/>
      <c r="V80" s="500"/>
      <c r="W80" s="500"/>
      <c r="AD80" s="455"/>
    </row>
    <row r="81" spans="1:30" ht="14.25" customHeight="1">
      <c r="A81" s="474" t="s">
        <v>476</v>
      </c>
      <c r="B81" s="474"/>
      <c r="C81" s="474"/>
      <c r="D81" s="474"/>
      <c r="E81" s="656" t="s">
        <v>492</v>
      </c>
      <c r="F81" s="656" t="s">
        <v>293</v>
      </c>
      <c r="G81" s="605">
        <v>38852</v>
      </c>
      <c r="H81" s="610">
        <v>0</v>
      </c>
      <c r="I81" s="610"/>
      <c r="J81" s="610">
        <v>1400040000</v>
      </c>
      <c r="K81" s="612" t="s">
        <v>1214</v>
      </c>
      <c r="L81" s="605">
        <v>38898</v>
      </c>
      <c r="M81" s="610">
        <v>0</v>
      </c>
      <c r="N81" s="610"/>
      <c r="O81" s="610">
        <v>3175981</v>
      </c>
      <c r="P81" s="610"/>
      <c r="Q81" s="610">
        <v>0</v>
      </c>
      <c r="R81" s="610">
        <v>3175981</v>
      </c>
      <c r="S81" s="656" t="s">
        <v>493</v>
      </c>
      <c r="T81" s="656"/>
      <c r="U81" s="456"/>
      <c r="V81" s="501" t="s">
        <v>346</v>
      </c>
      <c r="W81" s="501"/>
      <c r="AD81" s="455"/>
    </row>
    <row r="82" spans="1:30" ht="14.25" customHeight="1">
      <c r="A82" s="474" t="s">
        <v>476</v>
      </c>
      <c r="B82" s="474"/>
      <c r="C82" s="474"/>
      <c r="D82" s="474"/>
      <c r="E82" s="654" t="s">
        <v>492</v>
      </c>
      <c r="F82" s="654" t="s">
        <v>293</v>
      </c>
      <c r="G82" s="627"/>
      <c r="H82" s="657"/>
      <c r="I82" s="657"/>
      <c r="J82" s="657"/>
      <c r="K82" s="650"/>
      <c r="L82" s="627">
        <v>38989</v>
      </c>
      <c r="M82" s="657">
        <v>0</v>
      </c>
      <c r="N82" s="657"/>
      <c r="O82" s="657">
        <v>6300180</v>
      </c>
      <c r="P82" s="657"/>
      <c r="Q82" s="657">
        <v>0</v>
      </c>
      <c r="R82" s="657">
        <v>6300180</v>
      </c>
      <c r="S82" s="654" t="s">
        <v>493</v>
      </c>
      <c r="T82" s="654"/>
      <c r="U82" s="450"/>
      <c r="V82" s="499" t="s">
        <v>346</v>
      </c>
      <c r="W82" s="499"/>
      <c r="AD82" s="455"/>
    </row>
    <row r="83" spans="1:30" ht="14.25" customHeight="1">
      <c r="A83" s="474" t="s">
        <v>476</v>
      </c>
      <c r="B83" s="474"/>
      <c r="C83" s="474"/>
      <c r="D83" s="474"/>
      <c r="E83" s="654" t="s">
        <v>492</v>
      </c>
      <c r="F83" s="654" t="s">
        <v>293</v>
      </c>
      <c r="G83" s="627"/>
      <c r="H83" s="657"/>
      <c r="I83" s="657"/>
      <c r="J83" s="657"/>
      <c r="K83" s="650"/>
      <c r="L83" s="627">
        <v>39036</v>
      </c>
      <c r="M83" s="657">
        <v>0</v>
      </c>
      <c r="N83" s="657"/>
      <c r="O83" s="657">
        <v>3124199</v>
      </c>
      <c r="P83" s="657"/>
      <c r="Q83" s="657">
        <v>0</v>
      </c>
      <c r="R83" s="657">
        <v>3124199</v>
      </c>
      <c r="S83" s="654" t="s">
        <v>493</v>
      </c>
      <c r="T83" s="654"/>
      <c r="U83" s="450"/>
      <c r="V83" s="499" t="s">
        <v>346</v>
      </c>
      <c r="W83" s="499"/>
      <c r="AD83" s="455"/>
    </row>
    <row r="84" spans="1:30" ht="14.25" customHeight="1">
      <c r="A84" s="474" t="s">
        <v>476</v>
      </c>
      <c r="B84" s="474"/>
      <c r="C84" s="474"/>
      <c r="D84" s="474"/>
      <c r="E84" s="654" t="s">
        <v>492</v>
      </c>
      <c r="F84" s="654" t="s">
        <v>293</v>
      </c>
      <c r="G84" s="627"/>
      <c r="H84" s="657"/>
      <c r="I84" s="657"/>
      <c r="J84" s="657"/>
      <c r="K84" s="650"/>
      <c r="L84" s="440">
        <v>39128</v>
      </c>
      <c r="M84" s="657">
        <v>0</v>
      </c>
      <c r="N84" s="657"/>
      <c r="O84" s="657">
        <v>6300180</v>
      </c>
      <c r="P84" s="657"/>
      <c r="Q84" s="657">
        <v>0</v>
      </c>
      <c r="R84" s="657">
        <v>6300180</v>
      </c>
      <c r="S84" s="654" t="s">
        <v>493</v>
      </c>
      <c r="T84" s="654"/>
      <c r="U84" s="450"/>
      <c r="V84" s="499" t="s">
        <v>346</v>
      </c>
      <c r="W84" s="499"/>
      <c r="AD84" s="455"/>
    </row>
    <row r="85" spans="1:30" ht="14.25" customHeight="1">
      <c r="A85" s="474" t="s">
        <v>476</v>
      </c>
      <c r="B85" s="474"/>
      <c r="C85" s="474"/>
      <c r="D85" s="474"/>
      <c r="E85" s="654" t="s">
        <v>492</v>
      </c>
      <c r="F85" s="654" t="s">
        <v>293</v>
      </c>
      <c r="G85" s="627"/>
      <c r="H85" s="657"/>
      <c r="I85" s="657"/>
      <c r="J85" s="657"/>
      <c r="K85" s="650"/>
      <c r="L85" s="440">
        <v>39217</v>
      </c>
      <c r="M85" s="657">
        <v>0</v>
      </c>
      <c r="N85" s="657"/>
      <c r="O85" s="657">
        <v>6300180</v>
      </c>
      <c r="P85" s="657"/>
      <c r="Q85" s="657">
        <v>0</v>
      </c>
      <c r="R85" s="657">
        <v>6300180</v>
      </c>
      <c r="S85" s="654" t="s">
        <v>493</v>
      </c>
      <c r="T85" s="654"/>
      <c r="U85" s="450"/>
      <c r="V85" s="499" t="s">
        <v>346</v>
      </c>
      <c r="W85" s="499"/>
      <c r="AD85" s="455"/>
    </row>
    <row r="86" spans="1:30" ht="14.25" customHeight="1">
      <c r="A86" s="474" t="s">
        <v>476</v>
      </c>
      <c r="B86" s="474"/>
      <c r="C86" s="474"/>
      <c r="D86" s="474"/>
      <c r="E86" s="654" t="s">
        <v>492</v>
      </c>
      <c r="F86" s="654" t="s">
        <v>293</v>
      </c>
      <c r="G86" s="627"/>
      <c r="H86" s="657"/>
      <c r="I86" s="657"/>
      <c r="J86" s="657"/>
      <c r="K86" s="650"/>
      <c r="L86" s="440">
        <v>39308</v>
      </c>
      <c r="M86" s="657">
        <v>0</v>
      </c>
      <c r="N86" s="657"/>
      <c r="O86" s="657">
        <v>6300180</v>
      </c>
      <c r="P86" s="657"/>
      <c r="Q86" s="657">
        <v>0</v>
      </c>
      <c r="R86" s="657">
        <v>6300180</v>
      </c>
      <c r="S86" s="654" t="s">
        <v>493</v>
      </c>
      <c r="T86" s="654"/>
      <c r="U86" s="450"/>
      <c r="V86" s="499" t="s">
        <v>346</v>
      </c>
      <c r="W86" s="499"/>
      <c r="AD86" s="455"/>
    </row>
    <row r="87" spans="1:30" ht="14.25" customHeight="1">
      <c r="A87" s="474" t="s">
        <v>476</v>
      </c>
      <c r="B87" s="474"/>
      <c r="C87" s="474"/>
      <c r="D87" s="474"/>
      <c r="E87" s="654" t="s">
        <v>492</v>
      </c>
      <c r="F87" s="654" t="s">
        <v>293</v>
      </c>
      <c r="G87" s="627"/>
      <c r="H87" s="657"/>
      <c r="I87" s="657"/>
      <c r="J87" s="657"/>
      <c r="K87" s="650"/>
      <c r="L87" s="440">
        <v>39401</v>
      </c>
      <c r="M87" s="657">
        <v>0</v>
      </c>
      <c r="N87" s="657"/>
      <c r="O87" s="657">
        <v>6300180</v>
      </c>
      <c r="P87" s="657"/>
      <c r="Q87" s="657">
        <v>0</v>
      </c>
      <c r="R87" s="657">
        <v>6300180</v>
      </c>
      <c r="S87" s="654" t="s">
        <v>493</v>
      </c>
      <c r="T87" s="654"/>
      <c r="U87" s="450"/>
      <c r="V87" s="499" t="s">
        <v>346</v>
      </c>
      <c r="W87" s="499"/>
      <c r="AD87" s="455"/>
    </row>
    <row r="88" spans="1:30" ht="14.25" customHeight="1">
      <c r="A88" s="474" t="s">
        <v>476</v>
      </c>
      <c r="B88" s="474"/>
      <c r="C88" s="474"/>
      <c r="D88" s="474"/>
      <c r="E88" s="654" t="s">
        <v>492</v>
      </c>
      <c r="F88" s="654" t="s">
        <v>293</v>
      </c>
      <c r="G88" s="627"/>
      <c r="H88" s="657"/>
      <c r="I88" s="657"/>
      <c r="J88" s="657"/>
      <c r="K88" s="650"/>
      <c r="L88" s="440">
        <v>39493</v>
      </c>
      <c r="M88" s="657">
        <v>0</v>
      </c>
      <c r="N88" s="657"/>
      <c r="O88" s="657">
        <v>6300180</v>
      </c>
      <c r="P88" s="657"/>
      <c r="Q88" s="657">
        <v>0</v>
      </c>
      <c r="R88" s="657">
        <v>6300180</v>
      </c>
      <c r="S88" s="654" t="s">
        <v>493</v>
      </c>
      <c r="T88" s="654"/>
      <c r="U88" s="450"/>
      <c r="V88" s="499" t="s">
        <v>346</v>
      </c>
      <c r="W88" s="499"/>
      <c r="AD88" s="455"/>
    </row>
    <row r="89" spans="1:30" ht="14.25" customHeight="1">
      <c r="A89" s="474" t="s">
        <v>476</v>
      </c>
      <c r="B89" s="474"/>
      <c r="C89" s="474"/>
      <c r="D89" s="474"/>
      <c r="E89" s="654" t="s">
        <v>492</v>
      </c>
      <c r="F89" s="654" t="s">
        <v>293</v>
      </c>
      <c r="G89" s="627"/>
      <c r="H89" s="657"/>
      <c r="I89" s="657"/>
      <c r="J89" s="657"/>
      <c r="K89" s="650"/>
      <c r="L89" s="440">
        <v>39583</v>
      </c>
      <c r="M89" s="657">
        <v>0</v>
      </c>
      <c r="N89" s="657"/>
      <c r="O89" s="657">
        <v>6300180</v>
      </c>
      <c r="P89" s="657"/>
      <c r="Q89" s="657">
        <v>0</v>
      </c>
      <c r="R89" s="657">
        <v>6300180</v>
      </c>
      <c r="S89" s="654" t="s">
        <v>493</v>
      </c>
      <c r="T89" s="654"/>
      <c r="U89" s="450"/>
      <c r="V89" s="499" t="s">
        <v>346</v>
      </c>
      <c r="W89" s="499"/>
      <c r="AD89" s="455"/>
    </row>
    <row r="90" spans="1:30" ht="14.25" customHeight="1">
      <c r="A90" s="474" t="s">
        <v>476</v>
      </c>
      <c r="B90" s="474"/>
      <c r="C90" s="474"/>
      <c r="D90" s="474"/>
      <c r="E90" s="654" t="s">
        <v>492</v>
      </c>
      <c r="F90" s="654" t="s">
        <v>293</v>
      </c>
      <c r="G90" s="627"/>
      <c r="H90" s="657"/>
      <c r="I90" s="657"/>
      <c r="J90" s="657"/>
      <c r="K90" s="650"/>
      <c r="L90" s="440">
        <v>39674</v>
      </c>
      <c r="M90" s="657">
        <v>0</v>
      </c>
      <c r="N90" s="657"/>
      <c r="O90" s="657">
        <v>6300180</v>
      </c>
      <c r="P90" s="657"/>
      <c r="Q90" s="657">
        <v>0</v>
      </c>
      <c r="R90" s="657">
        <v>6300180</v>
      </c>
      <c r="S90" s="654" t="s">
        <v>493</v>
      </c>
      <c r="T90" s="654"/>
      <c r="U90" s="450"/>
      <c r="V90" s="499" t="s">
        <v>346</v>
      </c>
      <c r="W90" s="499"/>
      <c r="AD90" s="455"/>
    </row>
    <row r="91" spans="1:30" ht="14.25" customHeight="1">
      <c r="A91" s="474" t="s">
        <v>476</v>
      </c>
      <c r="B91" s="474"/>
      <c r="C91" s="474"/>
      <c r="D91" s="474"/>
      <c r="E91" s="654" t="s">
        <v>492</v>
      </c>
      <c r="F91" s="654" t="s">
        <v>293</v>
      </c>
      <c r="G91" s="627"/>
      <c r="H91" s="657"/>
      <c r="I91" s="657"/>
      <c r="J91" s="657"/>
      <c r="K91" s="650"/>
      <c r="L91" s="440">
        <v>39766</v>
      </c>
      <c r="M91" s="657">
        <v>0</v>
      </c>
      <c r="N91" s="657"/>
      <c r="O91" s="657">
        <v>6300180</v>
      </c>
      <c r="P91" s="657"/>
      <c r="Q91" s="657">
        <v>0</v>
      </c>
      <c r="R91" s="657">
        <v>6300180</v>
      </c>
      <c r="S91" s="654" t="s">
        <v>493</v>
      </c>
      <c r="T91" s="654"/>
      <c r="U91" s="450"/>
      <c r="V91" s="499" t="s">
        <v>346</v>
      </c>
      <c r="W91" s="499"/>
      <c r="AD91" s="455"/>
    </row>
    <row r="92" spans="1:30" ht="14.25" customHeight="1">
      <c r="A92" s="474" t="s">
        <v>476</v>
      </c>
      <c r="B92" s="474"/>
      <c r="C92" s="474"/>
      <c r="D92" s="474"/>
      <c r="E92" s="654" t="s">
        <v>492</v>
      </c>
      <c r="F92" s="654" t="s">
        <v>293</v>
      </c>
      <c r="G92" s="627"/>
      <c r="H92" s="657"/>
      <c r="I92" s="657"/>
      <c r="J92" s="657"/>
      <c r="K92" s="650"/>
      <c r="L92" s="440">
        <v>39857</v>
      </c>
      <c r="M92" s="657">
        <v>0</v>
      </c>
      <c r="N92" s="657"/>
      <c r="O92" s="657">
        <v>6300180</v>
      </c>
      <c r="P92" s="657"/>
      <c r="Q92" s="657">
        <v>0</v>
      </c>
      <c r="R92" s="657">
        <v>6300180</v>
      </c>
      <c r="S92" s="654" t="s">
        <v>493</v>
      </c>
      <c r="T92" s="654"/>
      <c r="U92" s="450"/>
      <c r="V92" s="499" t="s">
        <v>346</v>
      </c>
      <c r="W92" s="499"/>
      <c r="AD92" s="455"/>
    </row>
    <row r="93" spans="1:30" ht="14.25" customHeight="1">
      <c r="A93" s="474" t="s">
        <v>476</v>
      </c>
      <c r="B93" s="474"/>
      <c r="C93" s="474"/>
      <c r="D93" s="474"/>
      <c r="E93" s="654" t="s">
        <v>492</v>
      </c>
      <c r="F93" s="654" t="s">
        <v>293</v>
      </c>
      <c r="G93" s="627"/>
      <c r="H93" s="657"/>
      <c r="I93" s="657"/>
      <c r="J93" s="657"/>
      <c r="K93" s="650"/>
      <c r="L93" s="440">
        <v>39948</v>
      </c>
      <c r="M93" s="657">
        <v>0</v>
      </c>
      <c r="N93" s="657"/>
      <c r="O93" s="657">
        <v>6300180</v>
      </c>
      <c r="P93" s="657"/>
      <c r="Q93" s="657">
        <v>0</v>
      </c>
      <c r="R93" s="657">
        <v>6300180</v>
      </c>
      <c r="S93" s="654" t="s">
        <v>493</v>
      </c>
      <c r="T93" s="504"/>
      <c r="U93" s="450"/>
      <c r="V93" s="499" t="s">
        <v>346</v>
      </c>
      <c r="W93" s="499"/>
      <c r="AD93" s="455"/>
    </row>
    <row r="94" spans="1:30" ht="14.25" customHeight="1">
      <c r="A94" s="474" t="s">
        <v>476</v>
      </c>
      <c r="B94" s="474"/>
      <c r="C94" s="474"/>
      <c r="D94" s="474"/>
      <c r="E94" s="654" t="s">
        <v>492</v>
      </c>
      <c r="F94" s="654" t="s">
        <v>293</v>
      </c>
      <c r="G94" s="627"/>
      <c r="H94" s="657"/>
      <c r="I94" s="657"/>
      <c r="J94" s="657"/>
      <c r="K94" s="650"/>
      <c r="L94" s="440">
        <v>40039</v>
      </c>
      <c r="M94" s="657">
        <v>0</v>
      </c>
      <c r="N94" s="657"/>
      <c r="O94" s="657">
        <v>6300180</v>
      </c>
      <c r="P94" s="657"/>
      <c r="Q94" s="657">
        <v>0</v>
      </c>
      <c r="R94" s="657">
        <v>6300180</v>
      </c>
      <c r="S94" s="654" t="s">
        <v>493</v>
      </c>
      <c r="T94" s="504"/>
      <c r="U94" s="450"/>
      <c r="V94" s="499" t="s">
        <v>346</v>
      </c>
      <c r="W94" s="499"/>
      <c r="AD94" s="455"/>
    </row>
    <row r="95" spans="1:30" ht="14.25" customHeight="1">
      <c r="A95" s="474" t="s">
        <v>476</v>
      </c>
      <c r="B95" s="474"/>
      <c r="C95" s="474"/>
      <c r="D95" s="474"/>
      <c r="E95" s="654" t="s">
        <v>492</v>
      </c>
      <c r="F95" s="654" t="s">
        <v>293</v>
      </c>
      <c r="G95" s="627"/>
      <c r="H95" s="657"/>
      <c r="I95" s="657"/>
      <c r="J95" s="657"/>
      <c r="K95" s="650"/>
      <c r="L95" s="440">
        <v>40130</v>
      </c>
      <c r="M95" s="657">
        <v>0</v>
      </c>
      <c r="N95" s="657"/>
      <c r="O95" s="657">
        <v>6300180</v>
      </c>
      <c r="P95" s="657"/>
      <c r="Q95" s="657">
        <v>0</v>
      </c>
      <c r="R95" s="657">
        <v>6300180</v>
      </c>
      <c r="S95" s="654" t="s">
        <v>493</v>
      </c>
      <c r="T95" s="504"/>
      <c r="U95" s="449"/>
      <c r="V95" s="500" t="s">
        <v>346</v>
      </c>
      <c r="W95" s="500"/>
      <c r="AD95" s="455"/>
    </row>
    <row r="96" spans="1:30" ht="14.25" customHeight="1">
      <c r="A96" s="474" t="s">
        <v>476</v>
      </c>
      <c r="B96" s="474"/>
      <c r="C96" s="474"/>
      <c r="D96" s="474"/>
      <c r="E96" s="476" t="s">
        <v>492</v>
      </c>
      <c r="F96" s="476" t="s">
        <v>293</v>
      </c>
      <c r="G96" s="658"/>
      <c r="H96" s="647"/>
      <c r="I96" s="647"/>
      <c r="J96" s="647"/>
      <c r="K96" s="746"/>
      <c r="L96" s="530">
        <v>40225</v>
      </c>
      <c r="M96" s="647">
        <v>0</v>
      </c>
      <c r="N96" s="647"/>
      <c r="O96" s="647">
        <v>6300180</v>
      </c>
      <c r="P96" s="647"/>
      <c r="Q96" s="647">
        <v>0</v>
      </c>
      <c r="R96" s="647">
        <v>6300180</v>
      </c>
      <c r="S96" s="476" t="s">
        <v>493</v>
      </c>
      <c r="T96" s="574"/>
      <c r="U96" s="474"/>
      <c r="V96" s="508"/>
      <c r="W96" s="508"/>
      <c r="AD96" s="455"/>
    </row>
    <row r="97" spans="1:30" ht="14.25" customHeight="1">
      <c r="A97" s="474" t="s">
        <v>476</v>
      </c>
      <c r="B97" s="474"/>
      <c r="C97" s="474"/>
      <c r="D97" s="474"/>
      <c r="E97" s="654" t="s">
        <v>492</v>
      </c>
      <c r="F97" s="654" t="s">
        <v>293</v>
      </c>
      <c r="G97" s="627"/>
      <c r="H97" s="657"/>
      <c r="I97" s="657"/>
      <c r="J97" s="657"/>
      <c r="K97" s="650"/>
      <c r="L97" s="440">
        <v>40310</v>
      </c>
      <c r="M97" s="657">
        <v>0</v>
      </c>
      <c r="N97" s="657"/>
      <c r="O97" s="657">
        <v>6300180</v>
      </c>
      <c r="P97" s="657"/>
      <c r="Q97" s="657"/>
      <c r="R97" s="657">
        <v>6300180</v>
      </c>
      <c r="S97" s="654" t="s">
        <v>493</v>
      </c>
      <c r="T97" s="504"/>
      <c r="U97" s="474"/>
      <c r="V97" s="508"/>
      <c r="W97" s="508"/>
      <c r="AD97" s="455"/>
    </row>
    <row r="98" spans="1:30" ht="14.25" customHeight="1">
      <c r="A98" s="474" t="s">
        <v>476</v>
      </c>
      <c r="B98" s="474"/>
      <c r="C98" s="474"/>
      <c r="D98" s="474"/>
      <c r="E98" s="654" t="s">
        <v>492</v>
      </c>
      <c r="F98" s="654" t="s">
        <v>293</v>
      </c>
      <c r="G98" s="627"/>
      <c r="H98" s="657"/>
      <c r="I98" s="657"/>
      <c r="J98" s="657"/>
      <c r="K98" s="650"/>
      <c r="L98" s="440">
        <v>40393</v>
      </c>
      <c r="M98" s="657">
        <v>0</v>
      </c>
      <c r="N98" s="657"/>
      <c r="O98" s="657">
        <v>1839445804</v>
      </c>
      <c r="P98" s="657"/>
      <c r="Q98" s="657">
        <v>1400040000</v>
      </c>
      <c r="R98" s="657">
        <v>439405804</v>
      </c>
      <c r="S98" s="654" t="s">
        <v>1218</v>
      </c>
      <c r="T98" s="504"/>
      <c r="U98" s="474"/>
      <c r="V98" s="508"/>
      <c r="W98" s="508"/>
      <c r="AD98" s="455"/>
    </row>
    <row r="99" spans="1:30" ht="14.25" customHeight="1">
      <c r="A99" s="474" t="s">
        <v>476</v>
      </c>
      <c r="B99" s="474"/>
      <c r="C99" s="474"/>
      <c r="D99" s="474"/>
      <c r="E99" s="655" t="s">
        <v>492</v>
      </c>
      <c r="F99" s="655" t="s">
        <v>293</v>
      </c>
      <c r="G99" s="606"/>
      <c r="H99" s="614"/>
      <c r="I99" s="614"/>
      <c r="J99" s="614"/>
      <c r="K99" s="613"/>
      <c r="L99" s="442">
        <v>40399</v>
      </c>
      <c r="M99" s="614">
        <v>0</v>
      </c>
      <c r="N99" s="614">
        <v>0</v>
      </c>
      <c r="O99" s="614">
        <v>7178371</v>
      </c>
      <c r="P99" s="614">
        <v>1947427055</v>
      </c>
      <c r="Q99" s="614">
        <v>0</v>
      </c>
      <c r="R99" s="614">
        <v>7178371</v>
      </c>
      <c r="S99" s="654" t="s">
        <v>1218</v>
      </c>
      <c r="T99" s="497">
        <v>0</v>
      </c>
      <c r="U99" s="474"/>
      <c r="V99" s="508"/>
      <c r="W99" s="508"/>
      <c r="AD99" s="455"/>
    </row>
    <row r="100" spans="1:30" ht="14.25" customHeight="1">
      <c r="A100" s="474" t="s">
        <v>476</v>
      </c>
      <c r="B100" s="474"/>
      <c r="C100" s="474"/>
      <c r="D100" s="474"/>
      <c r="E100" s="656" t="s">
        <v>499</v>
      </c>
      <c r="F100" s="656" t="s">
        <v>294</v>
      </c>
      <c r="G100" s="605">
        <v>38856</v>
      </c>
      <c r="H100" s="610">
        <v>16667</v>
      </c>
      <c r="I100" s="610"/>
      <c r="J100" s="610">
        <v>500010000</v>
      </c>
      <c r="K100" s="612" t="s">
        <v>499</v>
      </c>
      <c r="L100" s="605">
        <v>39049</v>
      </c>
      <c r="M100" s="610">
        <v>0</v>
      </c>
      <c r="N100" s="610"/>
      <c r="O100" s="610">
        <v>100000000</v>
      </c>
      <c r="P100" s="610"/>
      <c r="Q100" s="610">
        <v>100000000</v>
      </c>
      <c r="R100" s="610">
        <v>0</v>
      </c>
      <c r="S100" s="656"/>
      <c r="T100" s="656"/>
      <c r="U100" s="456"/>
      <c r="V100" s="501" t="s">
        <v>498</v>
      </c>
      <c r="W100" s="501" t="s">
        <v>1208</v>
      </c>
      <c r="AD100" s="455"/>
    </row>
    <row r="101" spans="1:30" ht="14.25" customHeight="1">
      <c r="A101" s="474" t="s">
        <v>476</v>
      </c>
      <c r="B101" s="474"/>
      <c r="C101" s="474"/>
      <c r="D101" s="474"/>
      <c r="E101" s="654" t="s">
        <v>499</v>
      </c>
      <c r="F101" s="654" t="s">
        <v>294</v>
      </c>
      <c r="G101" s="627"/>
      <c r="H101" s="657"/>
      <c r="I101" s="657"/>
      <c r="J101" s="657"/>
      <c r="K101" s="650"/>
      <c r="L101" s="440">
        <v>39085</v>
      </c>
      <c r="M101" s="657">
        <v>0</v>
      </c>
      <c r="N101" s="657"/>
      <c r="O101" s="657">
        <v>75000000</v>
      </c>
      <c r="P101" s="657"/>
      <c r="Q101" s="657">
        <v>75000000</v>
      </c>
      <c r="R101" s="657">
        <v>0</v>
      </c>
      <c r="S101" s="654"/>
      <c r="T101" s="654"/>
      <c r="U101" s="450"/>
      <c r="V101" s="499" t="s">
        <v>498</v>
      </c>
      <c r="W101" s="499" t="s">
        <v>1208</v>
      </c>
      <c r="AD101" s="455"/>
    </row>
    <row r="102" spans="1:30" ht="14.25" customHeight="1">
      <c r="A102" s="474" t="s">
        <v>476</v>
      </c>
      <c r="B102" s="474"/>
      <c r="C102" s="474"/>
      <c r="D102" s="474"/>
      <c r="E102" s="654" t="s">
        <v>499</v>
      </c>
      <c r="F102" s="654" t="s">
        <v>294</v>
      </c>
      <c r="G102" s="627"/>
      <c r="H102" s="657"/>
      <c r="I102" s="657"/>
      <c r="J102" s="657"/>
      <c r="K102" s="650"/>
      <c r="L102" s="440">
        <v>39114</v>
      </c>
      <c r="M102" s="657">
        <v>0</v>
      </c>
      <c r="N102" s="657"/>
      <c r="O102" s="657">
        <v>37500000</v>
      </c>
      <c r="P102" s="657"/>
      <c r="Q102" s="657">
        <v>37500000</v>
      </c>
      <c r="R102" s="657">
        <v>0</v>
      </c>
      <c r="S102" s="654"/>
      <c r="T102" s="654"/>
      <c r="U102" s="450"/>
      <c r="V102" s="499" t="s">
        <v>498</v>
      </c>
      <c r="W102" s="499" t="s">
        <v>1208</v>
      </c>
      <c r="AD102" s="455"/>
    </row>
    <row r="103" spans="1:30" ht="14.25" customHeight="1">
      <c r="A103" s="474" t="s">
        <v>476</v>
      </c>
      <c r="B103" s="474"/>
      <c r="C103" s="474"/>
      <c r="D103" s="474"/>
      <c r="E103" s="654" t="s">
        <v>499</v>
      </c>
      <c r="F103" s="654" t="s">
        <v>294</v>
      </c>
      <c r="G103" s="627"/>
      <c r="H103" s="657"/>
      <c r="I103" s="657"/>
      <c r="J103" s="657"/>
      <c r="K103" s="650"/>
      <c r="L103" s="440">
        <v>39160</v>
      </c>
      <c r="M103" s="657">
        <v>0</v>
      </c>
      <c r="N103" s="657"/>
      <c r="O103" s="657">
        <v>37500000</v>
      </c>
      <c r="P103" s="657"/>
      <c r="Q103" s="657">
        <v>37500000</v>
      </c>
      <c r="R103" s="657">
        <v>0</v>
      </c>
      <c r="S103" s="654"/>
      <c r="T103" s="654"/>
      <c r="U103" s="450"/>
      <c r="V103" s="499" t="s">
        <v>498</v>
      </c>
      <c r="W103" s="499" t="s">
        <v>1208</v>
      </c>
      <c r="AD103" s="455"/>
    </row>
    <row r="104" spans="1:30" ht="14.25" customHeight="1">
      <c r="A104" s="474" t="s">
        <v>476</v>
      </c>
      <c r="B104" s="474"/>
      <c r="C104" s="474"/>
      <c r="D104" s="474"/>
      <c r="E104" s="654" t="s">
        <v>499</v>
      </c>
      <c r="F104" s="654" t="s">
        <v>294</v>
      </c>
      <c r="G104" s="627"/>
      <c r="H104" s="657"/>
      <c r="I104" s="657"/>
      <c r="J104" s="657"/>
      <c r="K104" s="650"/>
      <c r="L104" s="440">
        <v>39302</v>
      </c>
      <c r="M104" s="657">
        <v>0</v>
      </c>
      <c r="N104" s="657"/>
      <c r="O104" s="657">
        <v>500010000</v>
      </c>
      <c r="P104" s="657"/>
      <c r="Q104" s="657">
        <v>500010000</v>
      </c>
      <c r="R104" s="657">
        <v>0</v>
      </c>
      <c r="S104" s="654"/>
      <c r="T104" s="654"/>
      <c r="U104" s="450"/>
      <c r="V104" s="499" t="s">
        <v>500</v>
      </c>
      <c r="W104" s="499" t="s">
        <v>1208</v>
      </c>
      <c r="AD104" s="455"/>
    </row>
    <row r="105" spans="1:30" ht="14.25" customHeight="1">
      <c r="A105" s="474" t="s">
        <v>476</v>
      </c>
      <c r="B105" s="474"/>
      <c r="C105" s="474"/>
      <c r="D105" s="474"/>
      <c r="E105" s="655" t="s">
        <v>499</v>
      </c>
      <c r="F105" s="655" t="s">
        <v>294</v>
      </c>
      <c r="G105" s="606"/>
      <c r="H105" s="614"/>
      <c r="I105" s="614"/>
      <c r="J105" s="614"/>
      <c r="K105" s="613"/>
      <c r="L105" s="442">
        <v>39302</v>
      </c>
      <c r="M105" s="614">
        <v>16667</v>
      </c>
      <c r="N105" s="614"/>
      <c r="O105" s="614">
        <v>-250000000</v>
      </c>
      <c r="P105" s="614">
        <v>500010000</v>
      </c>
      <c r="Q105" s="614">
        <v>-250000000</v>
      </c>
      <c r="R105" s="614">
        <v>0</v>
      </c>
      <c r="S105" s="655"/>
      <c r="T105" s="497">
        <v>0</v>
      </c>
      <c r="U105" s="449"/>
      <c r="V105" s="500" t="s">
        <v>500</v>
      </c>
      <c r="W105" s="500" t="s">
        <v>1208</v>
      </c>
      <c r="AD105" s="455"/>
    </row>
    <row r="106" spans="1:30" ht="14.25" customHeight="1">
      <c r="A106" s="474" t="s">
        <v>476</v>
      </c>
      <c r="B106" s="474"/>
      <c r="C106" s="474"/>
      <c r="D106" s="474"/>
      <c r="E106" s="609" t="s">
        <v>492</v>
      </c>
      <c r="F106" s="609" t="s">
        <v>294</v>
      </c>
      <c r="G106" s="444">
        <v>38856</v>
      </c>
      <c r="H106" s="641">
        <v>0</v>
      </c>
      <c r="I106" s="641"/>
      <c r="J106" s="641">
        <v>500000000</v>
      </c>
      <c r="K106" s="464" t="s">
        <v>1214</v>
      </c>
      <c r="L106" s="444">
        <v>39303</v>
      </c>
      <c r="M106" s="641">
        <v>0</v>
      </c>
      <c r="N106" s="641"/>
      <c r="O106" s="641">
        <v>561756000</v>
      </c>
      <c r="P106" s="641">
        <v>561756000</v>
      </c>
      <c r="Q106" s="641">
        <v>500000000</v>
      </c>
      <c r="R106" s="641">
        <v>61756000</v>
      </c>
      <c r="S106" s="609" t="s">
        <v>493</v>
      </c>
      <c r="T106" s="465">
        <v>0</v>
      </c>
      <c r="U106" s="453"/>
      <c r="V106" s="461" t="s">
        <v>500</v>
      </c>
      <c r="W106" s="461" t="s">
        <v>1208</v>
      </c>
      <c r="AD106" s="455"/>
    </row>
    <row r="107" spans="1:30" ht="14.25" customHeight="1">
      <c r="A107" s="474" t="s">
        <v>476</v>
      </c>
      <c r="B107" s="474"/>
      <c r="C107" s="474"/>
      <c r="D107" s="474"/>
      <c r="E107" s="656" t="s">
        <v>487</v>
      </c>
      <c r="F107" s="656" t="s">
        <v>296</v>
      </c>
      <c r="G107" s="605">
        <v>38975</v>
      </c>
      <c r="H107" s="610">
        <v>16667</v>
      </c>
      <c r="I107" s="610">
        <v>59998.800023999524</v>
      </c>
      <c r="J107" s="610">
        <v>1000000000</v>
      </c>
      <c r="K107" s="612" t="s">
        <v>499</v>
      </c>
      <c r="L107" s="605">
        <v>39909</v>
      </c>
      <c r="M107" s="610">
        <v>0</v>
      </c>
      <c r="N107" s="610"/>
      <c r="O107" s="610">
        <v>30000600</v>
      </c>
      <c r="P107" s="610"/>
      <c r="Q107" s="610">
        <v>0</v>
      </c>
      <c r="R107" s="610">
        <v>30000600</v>
      </c>
      <c r="S107" s="656" t="s">
        <v>1116</v>
      </c>
      <c r="T107" s="503">
        <v>0</v>
      </c>
      <c r="U107" s="456"/>
      <c r="V107" s="501" t="s">
        <v>501</v>
      </c>
      <c r="W107" s="501" t="s">
        <v>1208</v>
      </c>
      <c r="AD107" s="455"/>
    </row>
    <row r="108" spans="1:30" ht="14.25" customHeight="1">
      <c r="A108" s="474" t="s">
        <v>476</v>
      </c>
      <c r="B108" s="474"/>
      <c r="C108" s="474"/>
      <c r="D108" s="474"/>
      <c r="E108" s="654" t="s">
        <v>487</v>
      </c>
      <c r="F108" s="654" t="s">
        <v>296</v>
      </c>
      <c r="G108" s="627">
        <v>39294</v>
      </c>
      <c r="H108" s="657">
        <v>150003</v>
      </c>
      <c r="I108" s="657">
        <v>5999.880002399952</v>
      </c>
      <c r="J108" s="657"/>
      <c r="K108" s="650" t="s">
        <v>1139</v>
      </c>
      <c r="L108" s="627">
        <v>40273</v>
      </c>
      <c r="M108" s="657"/>
      <c r="N108" s="657"/>
      <c r="O108" s="657">
        <v>30000600</v>
      </c>
      <c r="P108" s="657">
        <v>60001200</v>
      </c>
      <c r="Q108" s="657"/>
      <c r="R108" s="657">
        <v>30000600</v>
      </c>
      <c r="S108" s="654" t="s">
        <v>1116</v>
      </c>
      <c r="T108" s="504"/>
      <c r="U108" s="450"/>
      <c r="V108" s="499"/>
      <c r="W108" s="499" t="s">
        <v>1208</v>
      </c>
      <c r="AD108" s="455"/>
    </row>
    <row r="109" spans="1:30" ht="14.25" customHeight="1">
      <c r="A109" s="474" t="s">
        <v>476</v>
      </c>
      <c r="B109" s="474"/>
      <c r="C109" s="474"/>
      <c r="D109" s="474"/>
      <c r="E109" s="655" t="s">
        <v>487</v>
      </c>
      <c r="F109" s="476" t="s">
        <v>296</v>
      </c>
      <c r="G109" s="658"/>
      <c r="H109" s="647"/>
      <c r="I109" s="647"/>
      <c r="J109" s="647"/>
      <c r="K109" s="746"/>
      <c r="L109" s="658">
        <v>40648</v>
      </c>
      <c r="M109" s="647"/>
      <c r="N109" s="647"/>
      <c r="O109" s="647">
        <v>30000600</v>
      </c>
      <c r="P109" s="647"/>
      <c r="Q109" s="647"/>
      <c r="R109" s="647">
        <v>30000600</v>
      </c>
      <c r="S109" s="476" t="s">
        <v>1116</v>
      </c>
      <c r="T109" s="756"/>
      <c r="U109" s="449"/>
      <c r="V109" s="500"/>
      <c r="W109" s="500" t="s">
        <v>1208</v>
      </c>
      <c r="AD109" s="455"/>
    </row>
    <row r="110" spans="1:30" ht="14.25" customHeight="1">
      <c r="A110" s="474" t="s">
        <v>476</v>
      </c>
      <c r="B110" s="474"/>
      <c r="C110" s="474"/>
      <c r="D110" s="474"/>
      <c r="E110" s="655" t="s">
        <v>487</v>
      </c>
      <c r="F110" s="655" t="s">
        <v>296</v>
      </c>
      <c r="G110" s="606"/>
      <c r="H110" s="614"/>
      <c r="I110" s="614"/>
      <c r="J110" s="614"/>
      <c r="K110" s="613"/>
      <c r="L110" s="606">
        <v>40816</v>
      </c>
      <c r="M110" s="614"/>
      <c r="N110" s="614"/>
      <c r="O110" s="614">
        <v>1384291624</v>
      </c>
      <c r="P110" s="614"/>
      <c r="Q110" s="614">
        <v>1000000000</v>
      </c>
      <c r="R110" s="614">
        <v>384291624</v>
      </c>
      <c r="S110" s="655" t="s">
        <v>1219</v>
      </c>
      <c r="T110" s="497"/>
      <c r="U110" s="474"/>
      <c r="V110" s="508"/>
      <c r="W110" s="508" t="s">
        <v>1208</v>
      </c>
      <c r="AD110" s="455"/>
    </row>
    <row r="111" spans="1:30" ht="14.25" customHeight="1">
      <c r="A111" s="474" t="s">
        <v>476</v>
      </c>
      <c r="B111" s="474"/>
      <c r="C111" s="474"/>
      <c r="D111" s="474"/>
      <c r="E111" s="656" t="s">
        <v>487</v>
      </c>
      <c r="F111" s="656" t="s">
        <v>297</v>
      </c>
      <c r="G111" s="445">
        <v>39157</v>
      </c>
      <c r="H111" s="610">
        <v>9525</v>
      </c>
      <c r="I111" s="610"/>
      <c r="J111" s="610">
        <v>1000125000</v>
      </c>
      <c r="K111" s="612" t="s">
        <v>1134</v>
      </c>
      <c r="L111" s="605">
        <v>40542</v>
      </c>
      <c r="M111" s="610">
        <v>190500</v>
      </c>
      <c r="N111" s="610">
        <v>10625</v>
      </c>
      <c r="O111" s="610">
        <v>2024062500</v>
      </c>
      <c r="P111" s="610"/>
      <c r="Q111" s="610">
        <v>1000125000</v>
      </c>
      <c r="R111" s="610">
        <v>1023937500</v>
      </c>
      <c r="S111" s="656" t="s">
        <v>1220</v>
      </c>
      <c r="T111" s="503">
        <v>0</v>
      </c>
      <c r="U111" s="456"/>
      <c r="V111" s="501"/>
      <c r="W111" s="501" t="s">
        <v>1208</v>
      </c>
      <c r="AD111" s="455"/>
    </row>
    <row r="112" spans="1:30" ht="14.25" customHeight="1">
      <c r="A112" s="474" t="s">
        <v>476</v>
      </c>
      <c r="B112" s="474"/>
      <c r="C112" s="474"/>
      <c r="D112" s="474"/>
      <c r="E112" s="655" t="s">
        <v>487</v>
      </c>
      <c r="F112" s="655" t="s">
        <v>297</v>
      </c>
      <c r="G112" s="442">
        <v>39813</v>
      </c>
      <c r="H112" s="614">
        <v>180975</v>
      </c>
      <c r="I112" s="614">
        <v>5250</v>
      </c>
      <c r="J112" s="614"/>
      <c r="K112" s="613" t="s">
        <v>1139</v>
      </c>
      <c r="L112" s="523"/>
      <c r="M112" s="614"/>
      <c r="N112" s="614"/>
      <c r="O112" s="614"/>
      <c r="P112" s="614">
        <v>2024062500</v>
      </c>
      <c r="Q112" s="614"/>
      <c r="R112" s="614"/>
      <c r="S112" s="655"/>
      <c r="T112" s="497"/>
      <c r="U112" s="449"/>
      <c r="V112" s="500"/>
      <c r="W112" s="500" t="s">
        <v>1208</v>
      </c>
      <c r="AD112" s="455"/>
    </row>
    <row r="113" spans="1:30" ht="14.25" customHeight="1">
      <c r="A113" s="474" t="s">
        <v>476</v>
      </c>
      <c r="B113" s="474"/>
      <c r="C113" s="474"/>
      <c r="D113" s="474"/>
      <c r="E113" s="656" t="s">
        <v>487</v>
      </c>
      <c r="F113" s="656" t="s">
        <v>283</v>
      </c>
      <c r="G113" s="445">
        <v>39205</v>
      </c>
      <c r="H113" s="610">
        <v>38585</v>
      </c>
      <c r="I113" s="610">
        <v>31100</v>
      </c>
      <c r="J113" s="610">
        <v>1199993500</v>
      </c>
      <c r="K113" s="612" t="s">
        <v>499</v>
      </c>
      <c r="L113" s="605">
        <v>40102</v>
      </c>
      <c r="M113" s="610">
        <v>19293</v>
      </c>
      <c r="N113" s="610">
        <v>39308.306173223449</v>
      </c>
      <c r="O113" s="610">
        <v>758375151</v>
      </c>
      <c r="P113" s="610"/>
      <c r="Q113" s="610">
        <v>600012300</v>
      </c>
      <c r="R113" s="610">
        <v>158362851</v>
      </c>
      <c r="S113" s="656"/>
      <c r="T113" s="503"/>
      <c r="U113" s="456"/>
      <c r="V113" s="501" t="s">
        <v>1221</v>
      </c>
      <c r="W113" s="501"/>
      <c r="AD113" s="455"/>
    </row>
    <row r="114" spans="1:30" ht="14.25" customHeight="1">
      <c r="A114" s="474" t="s">
        <v>476</v>
      </c>
      <c r="B114" s="474"/>
      <c r="C114" s="474"/>
      <c r="D114" s="474"/>
      <c r="E114" s="654" t="s">
        <v>487</v>
      </c>
      <c r="F114" s="654" t="s">
        <v>283</v>
      </c>
      <c r="G114" s="440"/>
      <c r="H114" s="657"/>
      <c r="I114" s="657"/>
      <c r="J114" s="657"/>
      <c r="K114" s="650"/>
      <c r="L114" s="627">
        <v>40269</v>
      </c>
      <c r="M114" s="657">
        <v>5691</v>
      </c>
      <c r="N114" s="657">
        <v>41060.374099455279</v>
      </c>
      <c r="O114" s="657">
        <v>233674589</v>
      </c>
      <c r="P114" s="657"/>
      <c r="Q114" s="657">
        <v>176990100</v>
      </c>
      <c r="R114" s="657">
        <v>56684489</v>
      </c>
      <c r="S114" s="654"/>
      <c r="T114" s="504"/>
      <c r="U114" s="450"/>
      <c r="V114" s="499"/>
      <c r="W114" s="499"/>
      <c r="AD114" s="455"/>
    </row>
    <row r="115" spans="1:30" ht="14.25" customHeight="1">
      <c r="A115" s="474" t="s">
        <v>476</v>
      </c>
      <c r="B115" s="474"/>
      <c r="C115" s="474"/>
      <c r="D115" s="474"/>
      <c r="E115" s="475" t="s">
        <v>487</v>
      </c>
      <c r="F115" s="653" t="s">
        <v>283</v>
      </c>
      <c r="G115" s="451"/>
      <c r="K115" s="470"/>
      <c r="L115" s="519">
        <v>40301</v>
      </c>
      <c r="M115" s="636">
        <v>13601</v>
      </c>
      <c r="N115" s="636">
        <v>31615.322402764501</v>
      </c>
      <c r="O115" s="636">
        <v>430000000</v>
      </c>
      <c r="P115" s="636">
        <v>1422049740</v>
      </c>
      <c r="Q115" s="636">
        <v>422991100</v>
      </c>
      <c r="R115" s="636">
        <v>7008900</v>
      </c>
      <c r="S115" s="449"/>
      <c r="T115" s="497">
        <v>0</v>
      </c>
      <c r="U115" s="449"/>
      <c r="V115" s="500"/>
      <c r="W115" s="500"/>
      <c r="AD115" s="455"/>
    </row>
    <row r="116" spans="1:30" ht="14.25" customHeight="1">
      <c r="A116" s="474" t="s">
        <v>476</v>
      </c>
      <c r="B116" s="474"/>
      <c r="C116" s="474"/>
      <c r="D116" s="474"/>
      <c r="E116" s="456" t="s">
        <v>487</v>
      </c>
      <c r="F116" s="456" t="s">
        <v>298</v>
      </c>
      <c r="G116" s="445">
        <v>39318</v>
      </c>
      <c r="H116" s="634">
        <v>11765</v>
      </c>
      <c r="I116" s="634"/>
      <c r="J116" s="634">
        <v>1000025000</v>
      </c>
      <c r="K116" s="469" t="s">
        <v>499</v>
      </c>
      <c r="L116" s="448">
        <v>40967</v>
      </c>
      <c r="M116" s="634">
        <v>192610</v>
      </c>
      <c r="N116" s="634">
        <v>520</v>
      </c>
      <c r="O116" s="634">
        <v>100157200</v>
      </c>
      <c r="P116" s="634"/>
      <c r="Q116" s="634">
        <v>1000025000</v>
      </c>
      <c r="R116" s="634">
        <v>-899867800</v>
      </c>
      <c r="S116" s="456"/>
      <c r="T116" s="656"/>
      <c r="U116" s="456"/>
      <c r="V116" s="501"/>
      <c r="W116" s="501" t="s">
        <v>1208</v>
      </c>
      <c r="AD116" s="455"/>
    </row>
    <row r="117" spans="1:30" ht="14.25" customHeight="1">
      <c r="A117" s="474" t="s">
        <v>476</v>
      </c>
      <c r="B117" s="474"/>
      <c r="C117" s="474"/>
      <c r="D117" s="474"/>
      <c r="E117" s="450" t="s">
        <v>487</v>
      </c>
      <c r="F117" s="450" t="s">
        <v>298</v>
      </c>
      <c r="G117" s="440">
        <v>39532</v>
      </c>
      <c r="H117" s="635">
        <v>7496</v>
      </c>
      <c r="I117" s="635"/>
      <c r="J117" s="635"/>
      <c r="K117" s="471" t="s">
        <v>1138</v>
      </c>
      <c r="L117" s="575"/>
      <c r="M117" s="635"/>
      <c r="N117" s="635"/>
      <c r="O117" s="635"/>
      <c r="P117" s="635"/>
      <c r="Q117" s="635"/>
      <c r="R117" s="635"/>
      <c r="S117" s="450"/>
      <c r="T117" s="504"/>
      <c r="U117" s="450"/>
      <c r="V117" s="499"/>
      <c r="W117" s="499" t="s">
        <v>1208</v>
      </c>
      <c r="AD117" s="455"/>
    </row>
    <row r="118" spans="1:30" ht="14.25" customHeight="1">
      <c r="A118" s="474" t="s">
        <v>476</v>
      </c>
      <c r="B118" s="474"/>
      <c r="C118" s="474"/>
      <c r="D118" s="474"/>
      <c r="E118" s="449" t="s">
        <v>487</v>
      </c>
      <c r="F118" s="449" t="s">
        <v>298</v>
      </c>
      <c r="G118" s="442">
        <v>39566</v>
      </c>
      <c r="H118" s="636">
        <v>173349</v>
      </c>
      <c r="I118" s="636">
        <v>5191.9682259488081</v>
      </c>
      <c r="J118" s="636"/>
      <c r="K118" s="470" t="s">
        <v>1139</v>
      </c>
      <c r="L118" s="576"/>
      <c r="M118" s="636"/>
      <c r="N118" s="636"/>
      <c r="O118" s="636"/>
      <c r="P118" s="636"/>
      <c r="Q118" s="636"/>
      <c r="R118" s="636"/>
      <c r="S118" s="449"/>
      <c r="T118" s="465">
        <v>0</v>
      </c>
      <c r="U118" s="449"/>
      <c r="V118" s="500"/>
      <c r="W118" s="500" t="s">
        <v>1208</v>
      </c>
      <c r="AD118" s="455"/>
    </row>
    <row r="119" spans="1:30" ht="14.25" customHeight="1">
      <c r="A119" s="474" t="s">
        <v>476</v>
      </c>
      <c r="B119" s="474"/>
      <c r="C119" s="474"/>
      <c r="D119" s="474"/>
      <c r="E119" s="456" t="s">
        <v>487</v>
      </c>
      <c r="F119" s="456" t="s">
        <v>496</v>
      </c>
      <c r="G119" s="445">
        <v>39421</v>
      </c>
      <c r="H119" s="634">
        <v>26666</v>
      </c>
      <c r="I119" s="634">
        <v>6000</v>
      </c>
      <c r="J119" s="634">
        <v>1999950000</v>
      </c>
      <c r="K119" s="469" t="s">
        <v>499</v>
      </c>
      <c r="L119" s="605">
        <v>40911</v>
      </c>
      <c r="M119" s="610">
        <v>6000</v>
      </c>
      <c r="N119" s="657">
        <v>18980.271666666667</v>
      </c>
      <c r="O119" s="531">
        <v>113881630</v>
      </c>
      <c r="P119" s="634"/>
      <c r="Q119" s="634">
        <v>36000000</v>
      </c>
      <c r="R119" s="634">
        <v>77881630</v>
      </c>
      <c r="S119" s="480" t="s">
        <v>488</v>
      </c>
      <c r="T119" s="757"/>
      <c r="U119" s="456"/>
      <c r="V119" s="501"/>
      <c r="W119" s="501" t="s">
        <v>1208</v>
      </c>
      <c r="AD119" s="455"/>
    </row>
    <row r="120" spans="1:30" ht="14.25" customHeight="1">
      <c r="A120" s="474" t="s">
        <v>476</v>
      </c>
      <c r="B120" s="474"/>
      <c r="C120" s="474"/>
      <c r="D120" s="474"/>
      <c r="E120" s="450" t="s">
        <v>487</v>
      </c>
      <c r="F120" s="450" t="s">
        <v>496</v>
      </c>
      <c r="G120" s="440">
        <v>39994</v>
      </c>
      <c r="H120" s="635">
        <v>239994</v>
      </c>
      <c r="I120" s="635"/>
      <c r="J120" s="635"/>
      <c r="K120" s="471" t="s">
        <v>1139</v>
      </c>
      <c r="L120" s="627">
        <v>40912</v>
      </c>
      <c r="M120" s="657">
        <v>242400</v>
      </c>
      <c r="N120" s="657">
        <v>19510.069108910891</v>
      </c>
      <c r="O120" s="525">
        <v>4729240752</v>
      </c>
      <c r="P120" s="635"/>
      <c r="Q120" s="635">
        <v>1454400000</v>
      </c>
      <c r="R120" s="635">
        <v>3274840752</v>
      </c>
      <c r="S120" s="481" t="s">
        <v>488</v>
      </c>
      <c r="T120" s="504"/>
      <c r="U120" s="450"/>
      <c r="V120" s="499"/>
      <c r="W120" s="499" t="s">
        <v>1208</v>
      </c>
      <c r="AD120" s="455"/>
    </row>
    <row r="121" spans="1:30" ht="14.25" customHeight="1">
      <c r="A121" s="474" t="s">
        <v>476</v>
      </c>
      <c r="B121" s="474"/>
      <c r="C121" s="474"/>
      <c r="D121" s="474"/>
      <c r="E121" s="450" t="s">
        <v>487</v>
      </c>
      <c r="F121" s="450" t="s">
        <v>496</v>
      </c>
      <c r="G121" s="440"/>
      <c r="H121" s="635"/>
      <c r="I121" s="635"/>
      <c r="J121" s="635"/>
      <c r="K121" s="471"/>
      <c r="L121" s="627">
        <v>40913</v>
      </c>
      <c r="M121" s="657">
        <v>7000</v>
      </c>
      <c r="N121" s="657">
        <v>21030.231428571427</v>
      </c>
      <c r="O121" s="525">
        <v>147211620</v>
      </c>
      <c r="P121" s="635"/>
      <c r="Q121" s="635">
        <v>42000000</v>
      </c>
      <c r="R121" s="635">
        <v>105211620</v>
      </c>
      <c r="S121" s="481" t="s">
        <v>488</v>
      </c>
      <c r="T121" s="504"/>
      <c r="U121" s="450"/>
      <c r="V121" s="499"/>
      <c r="W121" s="499" t="s">
        <v>1208</v>
      </c>
      <c r="AD121" s="455"/>
    </row>
    <row r="122" spans="1:30" ht="14.25" customHeight="1">
      <c r="A122" s="474" t="s">
        <v>476</v>
      </c>
      <c r="B122" s="474"/>
      <c r="C122" s="474"/>
      <c r="D122" s="474"/>
      <c r="E122" s="450" t="s">
        <v>487</v>
      </c>
      <c r="F122" s="450" t="s">
        <v>496</v>
      </c>
      <c r="G122" s="440"/>
      <c r="H122" s="635"/>
      <c r="I122" s="635"/>
      <c r="J122" s="635"/>
      <c r="K122" s="471"/>
      <c r="L122" s="627">
        <v>40914</v>
      </c>
      <c r="M122" s="657">
        <v>4000</v>
      </c>
      <c r="N122" s="657">
        <v>21112.325000000001</v>
      </c>
      <c r="O122" s="525">
        <v>84449300</v>
      </c>
      <c r="P122" s="635"/>
      <c r="Q122" s="635">
        <v>24000000</v>
      </c>
      <c r="R122" s="635">
        <v>60449300</v>
      </c>
      <c r="S122" s="481" t="s">
        <v>488</v>
      </c>
      <c r="T122" s="504"/>
      <c r="U122" s="450"/>
      <c r="V122" s="499"/>
      <c r="W122" s="499" t="s">
        <v>1208</v>
      </c>
      <c r="AD122" s="455"/>
    </row>
    <row r="123" spans="1:30" ht="14.25" customHeight="1">
      <c r="A123" s="474" t="s">
        <v>476</v>
      </c>
      <c r="B123" s="474"/>
      <c r="C123" s="474"/>
      <c r="D123" s="474"/>
      <c r="E123" s="450" t="s">
        <v>487</v>
      </c>
      <c r="F123" s="450" t="s">
        <v>496</v>
      </c>
      <c r="G123" s="440"/>
      <c r="H123" s="635"/>
      <c r="I123" s="635"/>
      <c r="J123" s="635"/>
      <c r="K123" s="471"/>
      <c r="L123" s="627">
        <v>40917</v>
      </c>
      <c r="M123" s="657">
        <v>10000</v>
      </c>
      <c r="N123" s="657">
        <v>20687.580000000002</v>
      </c>
      <c r="O123" s="525">
        <v>206875800</v>
      </c>
      <c r="P123" s="635"/>
      <c r="Q123" s="635">
        <v>60000000</v>
      </c>
      <c r="R123" s="635">
        <v>146875800</v>
      </c>
      <c r="S123" s="481" t="s">
        <v>488</v>
      </c>
      <c r="T123" s="504"/>
      <c r="U123" s="450"/>
      <c r="V123" s="499"/>
      <c r="W123" s="499" t="s">
        <v>1208</v>
      </c>
      <c r="AD123" s="455"/>
    </row>
    <row r="124" spans="1:30" ht="14.25" customHeight="1">
      <c r="A124" s="474" t="s">
        <v>476</v>
      </c>
      <c r="B124" s="474"/>
      <c r="C124" s="474"/>
      <c r="D124" s="474"/>
      <c r="E124" s="450" t="s">
        <v>487</v>
      </c>
      <c r="F124" s="450" t="s">
        <v>496</v>
      </c>
      <c r="G124" s="440"/>
      <c r="H124" s="635"/>
      <c r="I124" s="635"/>
      <c r="J124" s="635"/>
      <c r="K124" s="471"/>
      <c r="L124" s="627">
        <v>40918</v>
      </c>
      <c r="M124" s="657">
        <v>13500</v>
      </c>
      <c r="N124" s="657">
        <v>20462.781555555557</v>
      </c>
      <c r="O124" s="525">
        <v>276247551</v>
      </c>
      <c r="P124" s="635"/>
      <c r="Q124" s="635">
        <v>81000000</v>
      </c>
      <c r="R124" s="635">
        <v>195247551</v>
      </c>
      <c r="S124" s="481" t="s">
        <v>488</v>
      </c>
      <c r="T124" s="504"/>
      <c r="U124" s="450"/>
      <c r="V124" s="499"/>
      <c r="W124" s="499" t="s">
        <v>1208</v>
      </c>
      <c r="AD124" s="455"/>
    </row>
    <row r="125" spans="1:30" ht="14.25" customHeight="1">
      <c r="A125" s="474" t="s">
        <v>476</v>
      </c>
      <c r="B125" s="474"/>
      <c r="C125" s="474"/>
      <c r="D125" s="474"/>
      <c r="E125" s="450" t="s">
        <v>487</v>
      </c>
      <c r="F125" s="450" t="s">
        <v>496</v>
      </c>
      <c r="G125" s="440"/>
      <c r="H125" s="635"/>
      <c r="I125" s="635"/>
      <c r="J125" s="635"/>
      <c r="K125" s="471"/>
      <c r="L125" s="627">
        <v>40919</v>
      </c>
      <c r="M125" s="657">
        <v>11800</v>
      </c>
      <c r="N125" s="657">
        <v>20100.966016949151</v>
      </c>
      <c r="O125" s="525">
        <v>237191399</v>
      </c>
      <c r="P125" s="635"/>
      <c r="Q125" s="635">
        <v>70800000</v>
      </c>
      <c r="R125" s="635">
        <v>166391399</v>
      </c>
      <c r="S125" s="481" t="s">
        <v>488</v>
      </c>
      <c r="T125" s="504"/>
      <c r="U125" s="450"/>
      <c r="V125" s="499"/>
      <c r="W125" s="499" t="s">
        <v>1208</v>
      </c>
      <c r="AD125" s="455"/>
    </row>
    <row r="126" spans="1:30" ht="14.25" customHeight="1">
      <c r="A126" s="474" t="s">
        <v>476</v>
      </c>
      <c r="B126" s="474"/>
      <c r="C126" s="474"/>
      <c r="D126" s="474"/>
      <c r="E126" s="450" t="s">
        <v>487</v>
      </c>
      <c r="F126" s="450" t="s">
        <v>496</v>
      </c>
      <c r="G126" s="440"/>
      <c r="H126" s="635"/>
      <c r="I126" s="635"/>
      <c r="J126" s="635"/>
      <c r="K126" s="471"/>
      <c r="L126" s="627">
        <v>40920</v>
      </c>
      <c r="M126" s="657">
        <v>24500</v>
      </c>
      <c r="N126" s="657">
        <v>20778.590653061223</v>
      </c>
      <c r="O126" s="525">
        <v>509075471</v>
      </c>
      <c r="P126" s="635"/>
      <c r="Q126" s="635">
        <v>147000000</v>
      </c>
      <c r="R126" s="635">
        <v>362075471</v>
      </c>
      <c r="S126" s="481" t="s">
        <v>488</v>
      </c>
      <c r="T126" s="504"/>
      <c r="U126" s="450"/>
      <c r="V126" s="499"/>
      <c r="W126" s="499" t="s">
        <v>1208</v>
      </c>
      <c r="AD126" s="455"/>
    </row>
    <row r="127" spans="1:30" ht="14.25" customHeight="1">
      <c r="A127" s="474" t="s">
        <v>476</v>
      </c>
      <c r="B127" s="474"/>
      <c r="C127" s="474"/>
      <c r="D127" s="474"/>
      <c r="E127" s="450" t="s">
        <v>487</v>
      </c>
      <c r="F127" s="450" t="s">
        <v>496</v>
      </c>
      <c r="G127" s="440"/>
      <c r="H127" s="635"/>
      <c r="I127" s="635"/>
      <c r="J127" s="635"/>
      <c r="K127" s="471"/>
      <c r="L127" s="627">
        <v>40921</v>
      </c>
      <c r="M127" s="657">
        <v>6000</v>
      </c>
      <c r="N127" s="657">
        <v>22153.366666666665</v>
      </c>
      <c r="O127" s="525">
        <v>132920200</v>
      </c>
      <c r="P127" s="635"/>
      <c r="Q127" s="635">
        <v>36000000</v>
      </c>
      <c r="R127" s="635">
        <v>96920200</v>
      </c>
      <c r="S127" s="481" t="s">
        <v>488</v>
      </c>
      <c r="T127" s="504"/>
      <c r="U127" s="450"/>
      <c r="V127" s="499"/>
      <c r="W127" s="499" t="s">
        <v>1208</v>
      </c>
      <c r="AD127" s="455"/>
    </row>
    <row r="128" spans="1:30" ht="14.25" customHeight="1">
      <c r="A128" s="474" t="s">
        <v>476</v>
      </c>
      <c r="B128" s="474"/>
      <c r="C128" s="474"/>
      <c r="D128" s="474"/>
      <c r="E128" s="450" t="s">
        <v>487</v>
      </c>
      <c r="F128" s="450" t="s">
        <v>496</v>
      </c>
      <c r="G128" s="440"/>
      <c r="H128" s="635"/>
      <c r="I128" s="635"/>
      <c r="J128" s="635"/>
      <c r="K128" s="471"/>
      <c r="L128" s="627">
        <v>40924</v>
      </c>
      <c r="M128" s="657">
        <v>5500</v>
      </c>
      <c r="N128" s="657">
        <v>22077.654545454545</v>
      </c>
      <c r="O128" s="525">
        <v>121427100</v>
      </c>
      <c r="P128" s="635"/>
      <c r="Q128" s="635">
        <v>33000000</v>
      </c>
      <c r="R128" s="635">
        <v>88427100</v>
      </c>
      <c r="S128" s="481" t="s">
        <v>488</v>
      </c>
      <c r="T128" s="504"/>
      <c r="U128" s="450"/>
      <c r="V128" s="499"/>
      <c r="W128" s="499" t="s">
        <v>1208</v>
      </c>
      <c r="AD128" s="455"/>
    </row>
    <row r="129" spans="1:30" ht="14.25" customHeight="1">
      <c r="A129" s="475" t="s">
        <v>476</v>
      </c>
      <c r="B129" s="475"/>
      <c r="C129" s="475"/>
      <c r="D129" s="475"/>
      <c r="E129" s="449" t="s">
        <v>487</v>
      </c>
      <c r="F129" s="449" t="s">
        <v>496</v>
      </c>
      <c r="G129" s="442"/>
      <c r="H129" s="636"/>
      <c r="I129" s="636"/>
      <c r="J129" s="636"/>
      <c r="K129" s="470"/>
      <c r="L129" s="606">
        <v>40925</v>
      </c>
      <c r="M129" s="614">
        <v>2625</v>
      </c>
      <c r="N129" s="614">
        <v>22510.295238095237</v>
      </c>
      <c r="O129" s="526">
        <v>59089525</v>
      </c>
      <c r="P129" s="636"/>
      <c r="Q129" s="636">
        <v>15750000</v>
      </c>
      <c r="R129" s="636">
        <v>43339525</v>
      </c>
      <c r="S129" s="486" t="s">
        <v>488</v>
      </c>
      <c r="T129" s="497"/>
      <c r="U129" s="449"/>
      <c r="V129" s="500"/>
      <c r="W129" s="500" t="s">
        <v>1208</v>
      </c>
      <c r="AD129" s="455"/>
    </row>
    <row r="130" spans="1:30" ht="14.25" customHeight="1">
      <c r="A130" s="474" t="s">
        <v>476</v>
      </c>
      <c r="B130" s="474"/>
      <c r="C130" s="474"/>
      <c r="D130" s="474"/>
      <c r="E130" s="664" t="s">
        <v>492</v>
      </c>
      <c r="F130" s="664" t="s">
        <v>300</v>
      </c>
      <c r="G130" s="524">
        <v>39478</v>
      </c>
      <c r="H130" s="648">
        <v>0</v>
      </c>
      <c r="I130" s="648"/>
      <c r="J130" s="648">
        <v>450000000</v>
      </c>
      <c r="K130" s="750" t="s">
        <v>1214</v>
      </c>
      <c r="L130" s="663">
        <v>40217</v>
      </c>
      <c r="M130" s="648">
        <v>0</v>
      </c>
      <c r="N130" s="648">
        <v>0</v>
      </c>
      <c r="O130" s="648">
        <v>265831472</v>
      </c>
      <c r="P130" s="648"/>
      <c r="Q130" s="648">
        <v>180000000</v>
      </c>
      <c r="R130" s="648">
        <v>85831472</v>
      </c>
      <c r="S130" s="512" t="s">
        <v>1222</v>
      </c>
      <c r="T130" s="527"/>
      <c r="U130" s="475"/>
      <c r="V130" s="520"/>
      <c r="W130" s="520" t="s">
        <v>1208</v>
      </c>
      <c r="Y130" s="524"/>
      <c r="Z130" s="648"/>
      <c r="AA130" s="648"/>
      <c r="AB130" s="648"/>
      <c r="AD130" s="455"/>
    </row>
    <row r="131" spans="1:30" ht="14.25" customHeight="1">
      <c r="A131" s="474" t="s">
        <v>476</v>
      </c>
      <c r="B131" s="474"/>
      <c r="C131" s="474"/>
      <c r="D131" s="474"/>
      <c r="E131" s="655" t="s">
        <v>492</v>
      </c>
      <c r="F131" s="655" t="s">
        <v>300</v>
      </c>
      <c r="G131" s="442"/>
      <c r="H131" s="614"/>
      <c r="I131" s="614"/>
      <c r="J131" s="614"/>
      <c r="K131" s="613"/>
      <c r="L131" s="606">
        <v>40282</v>
      </c>
      <c r="M131" s="614"/>
      <c r="N131" s="614"/>
      <c r="O131" s="614">
        <v>274327397</v>
      </c>
      <c r="P131" s="614">
        <v>540158869</v>
      </c>
      <c r="Q131" s="614">
        <v>270000000</v>
      </c>
      <c r="R131" s="614">
        <v>4327397</v>
      </c>
      <c r="S131" s="449" t="s">
        <v>1222</v>
      </c>
      <c r="T131" s="497">
        <v>0</v>
      </c>
      <c r="U131" s="473"/>
      <c r="V131" s="479"/>
      <c r="W131" s="479" t="s">
        <v>1208</v>
      </c>
      <c r="Y131" s="445"/>
      <c r="Z131" s="610"/>
      <c r="AA131" s="610"/>
      <c r="AB131" s="610"/>
      <c r="AD131" s="455"/>
    </row>
    <row r="132" spans="1:30" ht="14.25" customHeight="1">
      <c r="A132" s="474" t="s">
        <v>476</v>
      </c>
      <c r="B132" s="474"/>
      <c r="C132" s="474"/>
      <c r="D132" s="474"/>
      <c r="E132" s="656" t="s">
        <v>492</v>
      </c>
      <c r="F132" s="656" t="s">
        <v>301</v>
      </c>
      <c r="G132" s="445">
        <v>39534</v>
      </c>
      <c r="H132" s="610">
        <v>0</v>
      </c>
      <c r="I132" s="610"/>
      <c r="J132" s="610">
        <v>3790000000</v>
      </c>
      <c r="K132" s="612" t="s">
        <v>1214</v>
      </c>
      <c r="L132" s="605">
        <v>39639</v>
      </c>
      <c r="M132" s="610">
        <v>0</v>
      </c>
      <c r="N132" s="610"/>
      <c r="O132" s="610">
        <v>9449041</v>
      </c>
      <c r="P132" s="610"/>
      <c r="Q132" s="610">
        <v>0</v>
      </c>
      <c r="R132" s="610">
        <v>9449041</v>
      </c>
      <c r="S132" s="456" t="s">
        <v>493</v>
      </c>
      <c r="T132" s="656"/>
      <c r="U132" s="456"/>
      <c r="V132" s="501" t="s">
        <v>346</v>
      </c>
      <c r="W132" s="501" t="s">
        <v>1208</v>
      </c>
      <c r="Y132" s="663"/>
      <c r="Z132" s="648"/>
      <c r="AA132" s="648"/>
      <c r="AB132" s="648"/>
      <c r="AD132" s="455"/>
    </row>
    <row r="133" spans="1:30" ht="14.25" customHeight="1">
      <c r="A133" s="474" t="s">
        <v>476</v>
      </c>
      <c r="B133" s="474"/>
      <c r="C133" s="474"/>
      <c r="D133" s="474"/>
      <c r="E133" s="654" t="s">
        <v>492</v>
      </c>
      <c r="F133" s="654" t="s">
        <v>301</v>
      </c>
      <c r="G133" s="440"/>
      <c r="H133" s="657"/>
      <c r="I133" s="657"/>
      <c r="J133" s="657"/>
      <c r="K133" s="650"/>
      <c r="L133" s="627">
        <v>39731</v>
      </c>
      <c r="M133" s="657">
        <v>0</v>
      </c>
      <c r="N133" s="657"/>
      <c r="O133" s="657">
        <v>9552877</v>
      </c>
      <c r="P133" s="657"/>
      <c r="Q133" s="657">
        <v>0</v>
      </c>
      <c r="R133" s="657">
        <v>9552877</v>
      </c>
      <c r="S133" s="450" t="s">
        <v>493</v>
      </c>
      <c r="T133" s="654"/>
      <c r="U133" s="450"/>
      <c r="V133" s="499" t="s">
        <v>346</v>
      </c>
      <c r="W133" s="499" t="s">
        <v>1208</v>
      </c>
      <c r="Y133" s="606"/>
      <c r="Z133" s="614"/>
      <c r="AA133" s="614"/>
      <c r="AB133" s="614"/>
      <c r="AD133" s="455"/>
    </row>
    <row r="134" spans="1:30" ht="14.25" customHeight="1">
      <c r="A134" s="474" t="s">
        <v>476</v>
      </c>
      <c r="B134" s="474"/>
      <c r="C134" s="474"/>
      <c r="D134" s="474"/>
      <c r="E134" s="654" t="s">
        <v>492</v>
      </c>
      <c r="F134" s="654" t="s">
        <v>301</v>
      </c>
      <c r="G134" s="440"/>
      <c r="H134" s="657"/>
      <c r="I134" s="657"/>
      <c r="J134" s="657"/>
      <c r="K134" s="650"/>
      <c r="L134" s="627">
        <v>39825</v>
      </c>
      <c r="M134" s="657">
        <v>0</v>
      </c>
      <c r="N134" s="657"/>
      <c r="O134" s="657">
        <v>9552877</v>
      </c>
      <c r="P134" s="657"/>
      <c r="Q134" s="657">
        <v>0</v>
      </c>
      <c r="R134" s="657">
        <v>9552877</v>
      </c>
      <c r="S134" s="450" t="s">
        <v>493</v>
      </c>
      <c r="T134" s="654"/>
      <c r="U134" s="450"/>
      <c r="V134" s="499" t="s">
        <v>346</v>
      </c>
      <c r="W134" s="499" t="s">
        <v>1208</v>
      </c>
      <c r="Y134" s="605"/>
      <c r="Z134" s="610"/>
      <c r="AA134" s="610"/>
      <c r="AB134" s="610"/>
      <c r="AD134" s="455"/>
    </row>
    <row r="135" spans="1:30" ht="14.25" customHeight="1">
      <c r="A135" s="474" t="s">
        <v>476</v>
      </c>
      <c r="B135" s="474"/>
      <c r="C135" s="474"/>
      <c r="D135" s="474"/>
      <c r="E135" s="654" t="s">
        <v>492</v>
      </c>
      <c r="F135" s="654" t="s">
        <v>301</v>
      </c>
      <c r="G135" s="440"/>
      <c r="H135" s="657"/>
      <c r="I135" s="657"/>
      <c r="J135" s="657"/>
      <c r="K135" s="650"/>
      <c r="L135" s="627">
        <v>39913</v>
      </c>
      <c r="M135" s="657">
        <v>0</v>
      </c>
      <c r="N135" s="657"/>
      <c r="O135" s="657">
        <v>9345205</v>
      </c>
      <c r="P135" s="657"/>
      <c r="Q135" s="657">
        <v>0</v>
      </c>
      <c r="R135" s="657">
        <v>9345205</v>
      </c>
      <c r="S135" s="450" t="s">
        <v>493</v>
      </c>
      <c r="T135" s="654"/>
      <c r="U135" s="450"/>
      <c r="V135" s="499" t="s">
        <v>346</v>
      </c>
      <c r="W135" s="499" t="s">
        <v>1208</v>
      </c>
      <c r="Y135" s="627"/>
      <c r="Z135" s="657"/>
      <c r="AA135" s="657"/>
      <c r="AB135" s="657"/>
      <c r="AD135" s="455"/>
    </row>
    <row r="136" spans="1:30" ht="14.25" customHeight="1">
      <c r="A136" s="474" t="s">
        <v>476</v>
      </c>
      <c r="B136" s="474"/>
      <c r="C136" s="474"/>
      <c r="D136" s="474"/>
      <c r="E136" s="654" t="s">
        <v>492</v>
      </c>
      <c r="F136" s="654" t="s">
        <v>301</v>
      </c>
      <c r="G136" s="440"/>
      <c r="H136" s="657"/>
      <c r="I136" s="657"/>
      <c r="J136" s="657"/>
      <c r="K136" s="650"/>
      <c r="L136" s="627">
        <v>39913</v>
      </c>
      <c r="M136" s="657">
        <v>0</v>
      </c>
      <c r="N136" s="657"/>
      <c r="O136" s="657">
        <v>426000000</v>
      </c>
      <c r="P136" s="657"/>
      <c r="Q136" s="657">
        <v>400000000</v>
      </c>
      <c r="R136" s="657">
        <v>26000000</v>
      </c>
      <c r="S136" s="450" t="s">
        <v>493</v>
      </c>
      <c r="T136" s="654"/>
      <c r="U136" s="450"/>
      <c r="V136" s="499" t="s">
        <v>1223</v>
      </c>
      <c r="W136" s="499" t="s">
        <v>1208</v>
      </c>
      <c r="Y136" s="606"/>
      <c r="Z136" s="614"/>
      <c r="AA136" s="614"/>
      <c r="AB136" s="614"/>
      <c r="AD136" s="455"/>
    </row>
    <row r="137" spans="1:30" ht="14.25" customHeight="1">
      <c r="A137" s="474" t="s">
        <v>476</v>
      </c>
      <c r="B137" s="474"/>
      <c r="C137" s="474"/>
      <c r="D137" s="474"/>
      <c r="E137" s="654" t="s">
        <v>492</v>
      </c>
      <c r="F137" s="654" t="s">
        <v>301</v>
      </c>
      <c r="G137" s="440"/>
      <c r="H137" s="657"/>
      <c r="I137" s="657"/>
      <c r="J137" s="657"/>
      <c r="K137" s="650"/>
      <c r="L137" s="627">
        <v>39974</v>
      </c>
      <c r="M137" s="657">
        <v>0</v>
      </c>
      <c r="N137" s="657"/>
      <c r="O137" s="657">
        <v>215614358</v>
      </c>
      <c r="P137" s="657"/>
      <c r="Q137" s="657">
        <v>200000000</v>
      </c>
      <c r="R137" s="657">
        <v>15614358</v>
      </c>
      <c r="S137" s="450" t="s">
        <v>493</v>
      </c>
      <c r="T137" s="504"/>
      <c r="U137" s="450"/>
      <c r="V137" s="499" t="s">
        <v>1223</v>
      </c>
      <c r="W137" s="499" t="s">
        <v>1208</v>
      </c>
      <c r="AB137" s="665"/>
      <c r="AD137" s="455"/>
    </row>
    <row r="138" spans="1:30" ht="14.25" customHeight="1">
      <c r="A138" s="474" t="s">
        <v>476</v>
      </c>
      <c r="B138" s="474"/>
      <c r="C138" s="474"/>
      <c r="D138" s="474"/>
      <c r="E138" s="654" t="s">
        <v>492</v>
      </c>
      <c r="F138" s="654" t="s">
        <v>301</v>
      </c>
      <c r="G138" s="440"/>
      <c r="H138" s="657"/>
      <c r="I138" s="657"/>
      <c r="J138" s="657"/>
      <c r="K138" s="650"/>
      <c r="L138" s="627">
        <v>40004</v>
      </c>
      <c r="M138" s="657">
        <v>0</v>
      </c>
      <c r="N138" s="657" t="s">
        <v>1224</v>
      </c>
      <c r="O138" s="657">
        <v>8287397</v>
      </c>
      <c r="P138" s="657"/>
      <c r="Q138" s="657">
        <v>0</v>
      </c>
      <c r="R138" s="657">
        <v>8287397</v>
      </c>
      <c r="S138" s="450" t="s">
        <v>493</v>
      </c>
      <c r="T138" s="504"/>
      <c r="U138" s="450"/>
      <c r="V138" s="499" t="s">
        <v>346</v>
      </c>
      <c r="W138" s="499" t="s">
        <v>1208</v>
      </c>
      <c r="AB138" s="625"/>
      <c r="AD138" s="455"/>
    </row>
    <row r="139" spans="1:30" ht="14.25" customHeight="1">
      <c r="A139" s="474" t="s">
        <v>476</v>
      </c>
      <c r="B139" s="474"/>
      <c r="C139" s="474"/>
      <c r="D139" s="474"/>
      <c r="E139" s="654" t="s">
        <v>492</v>
      </c>
      <c r="F139" s="654" t="s">
        <v>301</v>
      </c>
      <c r="G139" s="440"/>
      <c r="H139" s="657"/>
      <c r="I139" s="657"/>
      <c r="J139" s="657"/>
      <c r="K139" s="650"/>
      <c r="L139" s="627">
        <v>40035</v>
      </c>
      <c r="M139" s="657">
        <v>0</v>
      </c>
      <c r="N139" s="657" t="s">
        <v>1224</v>
      </c>
      <c r="O139" s="657">
        <v>217761875</v>
      </c>
      <c r="P139" s="657"/>
      <c r="Q139" s="657">
        <v>200000000</v>
      </c>
      <c r="R139" s="657">
        <v>17761875</v>
      </c>
      <c r="S139" s="450" t="s">
        <v>493</v>
      </c>
      <c r="T139" s="504"/>
      <c r="U139" s="450"/>
      <c r="V139" s="499" t="s">
        <v>1223</v>
      </c>
      <c r="W139" s="499" t="s">
        <v>1208</v>
      </c>
      <c r="AD139" s="455"/>
    </row>
    <row r="140" spans="1:30" ht="14.25" customHeight="1">
      <c r="A140" s="474" t="s">
        <v>476</v>
      </c>
      <c r="B140" s="474"/>
      <c r="C140" s="474"/>
      <c r="D140" s="474"/>
      <c r="E140" s="654" t="s">
        <v>492</v>
      </c>
      <c r="F140" s="654" t="s">
        <v>301</v>
      </c>
      <c r="G140" s="440"/>
      <c r="H140" s="657"/>
      <c r="I140" s="657"/>
      <c r="J140" s="657"/>
      <c r="K140" s="650"/>
      <c r="L140" s="627">
        <v>40098</v>
      </c>
      <c r="M140" s="657"/>
      <c r="N140" s="657"/>
      <c r="O140" s="657">
        <v>7706301</v>
      </c>
      <c r="P140" s="657"/>
      <c r="Q140" s="657">
        <v>0</v>
      </c>
      <c r="R140" s="657">
        <v>7706301</v>
      </c>
      <c r="S140" s="450" t="s">
        <v>493</v>
      </c>
      <c r="T140" s="504"/>
      <c r="U140" s="450"/>
      <c r="V140" s="499"/>
      <c r="W140" s="499" t="s">
        <v>1208</v>
      </c>
      <c r="AD140" s="455"/>
    </row>
    <row r="141" spans="1:30" ht="14.25" customHeight="1">
      <c r="A141" s="474" t="s">
        <v>476</v>
      </c>
      <c r="B141" s="474"/>
      <c r="C141" s="474"/>
      <c r="D141" s="474"/>
      <c r="E141" s="654" t="s">
        <v>492</v>
      </c>
      <c r="F141" s="654" t="s">
        <v>301</v>
      </c>
      <c r="G141" s="440"/>
      <c r="H141" s="657"/>
      <c r="I141" s="657"/>
      <c r="J141" s="657"/>
      <c r="K141" s="650"/>
      <c r="L141" s="627">
        <v>40190</v>
      </c>
      <c r="M141" s="657"/>
      <c r="N141" s="657"/>
      <c r="O141" s="657">
        <v>7540361</v>
      </c>
      <c r="P141" s="657"/>
      <c r="Q141" s="657">
        <v>0</v>
      </c>
      <c r="R141" s="657">
        <v>7540361</v>
      </c>
      <c r="S141" s="450" t="s">
        <v>493</v>
      </c>
      <c r="T141" s="504"/>
      <c r="U141" s="450"/>
      <c r="V141" s="499"/>
      <c r="W141" s="499" t="s">
        <v>1208</v>
      </c>
      <c r="AD141" s="455"/>
    </row>
    <row r="142" spans="1:30" ht="14.25" customHeight="1">
      <c r="A142" s="474" t="s">
        <v>476</v>
      </c>
      <c r="B142" s="474"/>
      <c r="C142" s="474"/>
      <c r="D142" s="474"/>
      <c r="E142" s="654" t="s">
        <v>492</v>
      </c>
      <c r="F142" s="654" t="s">
        <v>301</v>
      </c>
      <c r="G142" s="440"/>
      <c r="H142" s="657"/>
      <c r="I142" s="657"/>
      <c r="J142" s="657"/>
      <c r="K142" s="650"/>
      <c r="L142" s="627">
        <v>40280</v>
      </c>
      <c r="M142" s="657"/>
      <c r="N142" s="657"/>
      <c r="O142" s="657">
        <v>7372603</v>
      </c>
      <c r="P142" s="657"/>
      <c r="Q142" s="657"/>
      <c r="R142" s="657">
        <v>7372603</v>
      </c>
      <c r="S142" s="450" t="s">
        <v>493</v>
      </c>
      <c r="T142" s="504"/>
      <c r="U142" s="450"/>
      <c r="V142" s="499"/>
      <c r="W142" s="499" t="s">
        <v>1208</v>
      </c>
      <c r="AD142" s="455"/>
    </row>
    <row r="143" spans="1:30" ht="14.25" customHeight="1">
      <c r="A143" s="474" t="s">
        <v>476</v>
      </c>
      <c r="B143" s="474"/>
      <c r="C143" s="474"/>
      <c r="D143" s="474"/>
      <c r="E143" s="654" t="s">
        <v>492</v>
      </c>
      <c r="F143" s="654" t="s">
        <v>301</v>
      </c>
      <c r="G143" s="440"/>
      <c r="H143" s="657"/>
      <c r="I143" s="657"/>
      <c r="J143" s="657"/>
      <c r="K143" s="650"/>
      <c r="L143" s="627">
        <v>40371</v>
      </c>
      <c r="M143" s="657"/>
      <c r="N143" s="657"/>
      <c r="O143" s="657">
        <v>7454521</v>
      </c>
      <c r="P143" s="657"/>
      <c r="Q143" s="657"/>
      <c r="R143" s="657">
        <v>7454521</v>
      </c>
      <c r="S143" s="450" t="s">
        <v>493</v>
      </c>
      <c r="T143" s="504"/>
      <c r="U143" s="450"/>
      <c r="V143" s="499"/>
      <c r="W143" s="499" t="s">
        <v>1208</v>
      </c>
      <c r="AD143" s="455"/>
    </row>
    <row r="144" spans="1:30" ht="14.25" customHeight="1">
      <c r="A144" s="474" t="s">
        <v>476</v>
      </c>
      <c r="B144" s="474"/>
      <c r="C144" s="474"/>
      <c r="D144" s="474"/>
      <c r="E144" s="654" t="s">
        <v>492</v>
      </c>
      <c r="F144" s="654" t="s">
        <v>301</v>
      </c>
      <c r="G144" s="440"/>
      <c r="H144" s="657"/>
      <c r="I144" s="657"/>
      <c r="J144" s="657"/>
      <c r="K144" s="650"/>
      <c r="L144" s="627">
        <v>40462</v>
      </c>
      <c r="M144" s="657"/>
      <c r="N144" s="657"/>
      <c r="O144" s="657">
        <v>7536438</v>
      </c>
      <c r="P144" s="657"/>
      <c r="Q144" s="657"/>
      <c r="R144" s="657">
        <v>7536438</v>
      </c>
      <c r="S144" s="450" t="s">
        <v>493</v>
      </c>
      <c r="T144" s="504"/>
      <c r="U144" s="450"/>
      <c r="V144" s="499"/>
      <c r="W144" s="499" t="s">
        <v>1208</v>
      </c>
      <c r="AD144" s="455"/>
    </row>
    <row r="145" spans="1:30" ht="14.25" customHeight="1">
      <c r="A145" s="474" t="s">
        <v>476</v>
      </c>
      <c r="B145" s="474"/>
      <c r="C145" s="474"/>
      <c r="D145" s="474"/>
      <c r="E145" s="654" t="s">
        <v>492</v>
      </c>
      <c r="F145" s="654" t="s">
        <v>301</v>
      </c>
      <c r="G145" s="440"/>
      <c r="H145" s="657"/>
      <c r="I145" s="657"/>
      <c r="J145" s="657"/>
      <c r="K145" s="650"/>
      <c r="L145" s="627">
        <v>40553</v>
      </c>
      <c r="M145" s="657"/>
      <c r="N145" s="657"/>
      <c r="O145" s="657">
        <v>7536438</v>
      </c>
      <c r="P145" s="657"/>
      <c r="Q145" s="657"/>
      <c r="R145" s="657">
        <v>7536438</v>
      </c>
      <c r="S145" s="450" t="s">
        <v>493</v>
      </c>
      <c r="T145" s="504"/>
      <c r="U145" s="450"/>
      <c r="V145" s="499"/>
      <c r="W145" s="499" t="s">
        <v>1208</v>
      </c>
      <c r="AD145" s="455"/>
    </row>
    <row r="146" spans="1:30" ht="14.25" customHeight="1">
      <c r="A146" s="474" t="s">
        <v>476</v>
      </c>
      <c r="B146" s="474"/>
      <c r="C146" s="474"/>
      <c r="D146" s="474"/>
      <c r="E146" s="655" t="s">
        <v>492</v>
      </c>
      <c r="F146" s="655" t="s">
        <v>301</v>
      </c>
      <c r="G146" s="442"/>
      <c r="H146" s="614"/>
      <c r="I146" s="614"/>
      <c r="J146" s="614"/>
      <c r="K146" s="613"/>
      <c r="L146" s="606">
        <v>40644</v>
      </c>
      <c r="M146" s="614"/>
      <c r="N146" s="614"/>
      <c r="O146" s="614">
        <v>3632140259</v>
      </c>
      <c r="P146" s="614">
        <v>0</v>
      </c>
      <c r="Q146" s="614">
        <v>2990000000</v>
      </c>
      <c r="R146" s="614">
        <v>642140259</v>
      </c>
      <c r="S146" s="449" t="s">
        <v>1225</v>
      </c>
      <c r="T146" s="497">
        <v>0</v>
      </c>
      <c r="U146" s="449"/>
      <c r="V146" s="500"/>
      <c r="W146" s="500" t="s">
        <v>1208</v>
      </c>
      <c r="AD146" s="455"/>
    </row>
    <row r="147" spans="1:30" ht="14.25" customHeight="1">
      <c r="A147" s="474" t="s">
        <v>476</v>
      </c>
      <c r="B147" s="474"/>
      <c r="C147" s="474"/>
      <c r="D147" s="474"/>
      <c r="E147" s="656" t="s">
        <v>487</v>
      </c>
      <c r="F147" s="656" t="s">
        <v>300</v>
      </c>
      <c r="G147" s="445">
        <v>39657</v>
      </c>
      <c r="H147" s="610">
        <v>4500</v>
      </c>
      <c r="I147" s="610"/>
      <c r="J147" s="610">
        <v>450000000</v>
      </c>
      <c r="K147" s="612" t="s">
        <v>499</v>
      </c>
      <c r="L147" s="605">
        <v>41009</v>
      </c>
      <c r="M147" s="610"/>
      <c r="N147" s="610"/>
      <c r="O147" s="610">
        <v>100000000</v>
      </c>
      <c r="P147" s="610"/>
      <c r="Q147" s="610"/>
      <c r="R147" s="610"/>
      <c r="S147" s="656"/>
      <c r="T147" s="503"/>
      <c r="U147" s="456"/>
      <c r="V147" s="501"/>
      <c r="W147" s="501" t="s">
        <v>1208</v>
      </c>
      <c r="AD147" s="455"/>
    </row>
    <row r="148" spans="1:30" ht="14.25" customHeight="1">
      <c r="A148" s="474" t="s">
        <v>476</v>
      </c>
      <c r="B148" s="474"/>
      <c r="C148" s="474"/>
      <c r="D148" s="474"/>
      <c r="E148" s="654" t="s">
        <v>487</v>
      </c>
      <c r="F148" s="654" t="s">
        <v>300</v>
      </c>
      <c r="G148" s="440"/>
      <c r="H148" s="657"/>
      <c r="I148" s="657"/>
      <c r="J148" s="657"/>
      <c r="K148" s="650"/>
      <c r="L148" s="627">
        <v>41060</v>
      </c>
      <c r="M148" s="657"/>
      <c r="N148" s="657"/>
      <c r="O148" s="657">
        <v>100000000</v>
      </c>
      <c r="P148" s="657"/>
      <c r="Q148" s="657"/>
      <c r="R148" s="657"/>
      <c r="S148" s="654"/>
      <c r="T148" s="504"/>
      <c r="U148" s="473"/>
      <c r="V148" s="479"/>
      <c r="W148" s="479"/>
      <c r="AD148" s="455"/>
    </row>
    <row r="149" spans="1:30" ht="14.25" customHeight="1">
      <c r="A149" s="474" t="s">
        <v>476</v>
      </c>
      <c r="B149" s="474"/>
      <c r="C149" s="474"/>
      <c r="D149" s="474"/>
      <c r="E149" s="655" t="s">
        <v>487</v>
      </c>
      <c r="F149" s="655" t="s">
        <v>300</v>
      </c>
      <c r="G149" s="442"/>
      <c r="H149" s="614"/>
      <c r="I149" s="614"/>
      <c r="J149" s="614"/>
      <c r="K149" s="613"/>
      <c r="L149" s="606">
        <v>41075</v>
      </c>
      <c r="M149" s="614"/>
      <c r="N149" s="614"/>
      <c r="O149" s="614">
        <v>160000000</v>
      </c>
      <c r="P149" s="614"/>
      <c r="Q149" s="614">
        <v>450000000</v>
      </c>
      <c r="R149" s="614">
        <v>-90000000</v>
      </c>
      <c r="S149" s="655"/>
      <c r="T149" s="497">
        <v>0</v>
      </c>
      <c r="U149" s="473"/>
      <c r="V149" s="479"/>
      <c r="W149" s="479"/>
      <c r="AD149" s="455"/>
    </row>
    <row r="150" spans="1:30" ht="14.25" customHeight="1">
      <c r="A150" s="474" t="s">
        <v>476</v>
      </c>
      <c r="B150" s="474"/>
      <c r="C150" s="474"/>
      <c r="D150" s="474"/>
      <c r="E150" s="467" t="s">
        <v>1101</v>
      </c>
      <c r="F150" s="467"/>
      <c r="G150" s="446"/>
      <c r="H150" s="498"/>
      <c r="I150" s="498"/>
      <c r="J150" s="498">
        <v>21035696000</v>
      </c>
      <c r="K150" s="468"/>
      <c r="L150" s="447"/>
      <c r="M150" s="498"/>
      <c r="N150" s="498"/>
      <c r="O150" s="498">
        <v>35024644259</v>
      </c>
      <c r="P150" s="498">
        <v>18094013936</v>
      </c>
      <c r="Q150" s="498">
        <v>21035696000</v>
      </c>
      <c r="R150" s="498">
        <v>13988948259</v>
      </c>
      <c r="S150" s="467"/>
      <c r="T150" s="487">
        <v>0</v>
      </c>
      <c r="U150" s="467"/>
      <c r="V150" s="478"/>
      <c r="W150" s="478"/>
      <c r="AD150" s="455"/>
    </row>
    <row r="151" spans="1:30" ht="14.25" customHeight="1">
      <c r="A151" s="559" t="s">
        <v>1075</v>
      </c>
      <c r="B151" s="473" t="s">
        <v>1076</v>
      </c>
      <c r="C151" s="473"/>
      <c r="D151" s="473" t="s">
        <v>19</v>
      </c>
      <c r="E151" s="656" t="s">
        <v>487</v>
      </c>
      <c r="F151" s="656" t="s">
        <v>1077</v>
      </c>
      <c r="G151" s="642">
        <v>40325</v>
      </c>
      <c r="H151" s="610">
        <v>14445</v>
      </c>
      <c r="I151" s="610">
        <v>90000</v>
      </c>
      <c r="J151" s="610">
        <v>1300050000</v>
      </c>
      <c r="K151" s="612" t="s">
        <v>1078</v>
      </c>
      <c r="L151" s="642"/>
      <c r="M151" s="610"/>
      <c r="N151" s="610"/>
      <c r="O151" s="610"/>
      <c r="P151" s="610"/>
      <c r="Q151" s="610"/>
      <c r="R151" s="610">
        <v>0</v>
      </c>
      <c r="S151" s="612"/>
      <c r="T151" s="529">
        <f>+SUM(J151:J152)-SUM(Q151:Q152)</f>
        <v>1300050000</v>
      </c>
      <c r="U151" s="556"/>
      <c r="V151" s="556"/>
      <c r="W151" s="556"/>
      <c r="Y151" s="502" t="s">
        <v>1077</v>
      </c>
      <c r="Z151" s="507">
        <v>40325</v>
      </c>
      <c r="AA151" s="484">
        <v>14445</v>
      </c>
      <c r="AB151" s="484">
        <v>90000</v>
      </c>
      <c r="AC151" s="484">
        <v>1300050000</v>
      </c>
      <c r="AD151" s="455"/>
    </row>
    <row r="152" spans="1:30" ht="14.25" customHeight="1">
      <c r="A152" s="560" t="s">
        <v>1075</v>
      </c>
      <c r="B152" s="474" t="s">
        <v>1076</v>
      </c>
      <c r="C152" s="474"/>
      <c r="D152" s="474" t="s">
        <v>19</v>
      </c>
      <c r="E152" s="655" t="s">
        <v>487</v>
      </c>
      <c r="F152" s="655" t="s">
        <v>1492</v>
      </c>
      <c r="G152" s="651">
        <v>41418</v>
      </c>
      <c r="H152" s="614">
        <v>115560</v>
      </c>
      <c r="I152" s="614"/>
      <c r="J152" s="614"/>
      <c r="K152" s="613" t="s">
        <v>1079</v>
      </c>
      <c r="L152" s="651"/>
      <c r="M152" s="614"/>
      <c r="N152" s="614"/>
      <c r="O152" s="614"/>
      <c r="P152" s="614"/>
      <c r="Q152" s="614"/>
      <c r="R152" s="614">
        <v>0</v>
      </c>
      <c r="S152" s="613"/>
      <c r="T152" s="614"/>
      <c r="U152" s="556"/>
      <c r="V152" s="556"/>
      <c r="W152" s="556"/>
      <c r="Z152" s="624">
        <v>41603</v>
      </c>
      <c r="AD152" s="455"/>
    </row>
    <row r="153" spans="1:30" ht="14.25" customHeight="1">
      <c r="A153" s="560" t="s">
        <v>1075</v>
      </c>
      <c r="B153" s="474" t="s">
        <v>1080</v>
      </c>
      <c r="C153" s="474"/>
      <c r="D153" s="474" t="s">
        <v>1081</v>
      </c>
      <c r="E153" s="653" t="s">
        <v>487</v>
      </c>
      <c r="F153" s="653" t="s">
        <v>1077</v>
      </c>
      <c r="G153" s="645">
        <v>40325</v>
      </c>
      <c r="H153" s="644">
        <v>2500</v>
      </c>
      <c r="I153" s="644">
        <v>80000</v>
      </c>
      <c r="J153" s="644">
        <v>200000000</v>
      </c>
      <c r="K153" s="747" t="s">
        <v>1082</v>
      </c>
      <c r="L153" s="645"/>
      <c r="M153" s="644"/>
      <c r="N153" s="644"/>
      <c r="O153" s="644"/>
      <c r="P153" s="644"/>
      <c r="Q153" s="644"/>
      <c r="R153" s="644">
        <v>0</v>
      </c>
      <c r="S153" s="747"/>
      <c r="T153" s="644">
        <f>+J153-Q153</f>
        <v>200000000</v>
      </c>
      <c r="U153" s="556"/>
      <c r="V153" s="556"/>
      <c r="W153" s="556"/>
      <c r="Y153" s="656" t="s">
        <v>1077</v>
      </c>
      <c r="Z153" s="642">
        <v>40339</v>
      </c>
      <c r="AA153" s="610"/>
      <c r="AB153" s="610"/>
      <c r="AC153" s="610">
        <v>-1500030000</v>
      </c>
      <c r="AD153" s="455"/>
    </row>
    <row r="154" spans="1:30" ht="14.25" customHeight="1">
      <c r="A154" s="560" t="s">
        <v>1075</v>
      </c>
      <c r="B154" s="474" t="s">
        <v>1083</v>
      </c>
      <c r="C154" s="474"/>
      <c r="D154" s="474" t="s">
        <v>793</v>
      </c>
      <c r="E154" s="656" t="s">
        <v>487</v>
      </c>
      <c r="F154" s="656" t="s">
        <v>1077</v>
      </c>
      <c r="G154" s="642">
        <v>40339</v>
      </c>
      <c r="H154" s="610"/>
      <c r="I154" s="610"/>
      <c r="J154" s="610">
        <v>1500030000</v>
      </c>
      <c r="K154" s="612" t="s">
        <v>1084</v>
      </c>
      <c r="L154" s="642">
        <v>40430</v>
      </c>
      <c r="M154" s="610"/>
      <c r="N154" s="610"/>
      <c r="O154" s="610">
        <v>15123586</v>
      </c>
      <c r="P154" s="610"/>
      <c r="Q154" s="610">
        <v>0</v>
      </c>
      <c r="R154" s="610">
        <v>15123586</v>
      </c>
      <c r="S154" s="612" t="s">
        <v>493</v>
      </c>
      <c r="T154" s="528"/>
      <c r="U154" s="552"/>
      <c r="V154" s="552"/>
      <c r="W154" s="552"/>
      <c r="Z154" s="642">
        <v>40430</v>
      </c>
      <c r="AA154" s="610"/>
      <c r="AB154" s="610"/>
      <c r="AC154" s="610">
        <v>15123586</v>
      </c>
      <c r="AD154" s="455"/>
    </row>
    <row r="155" spans="1:30" ht="14.25" customHeight="1">
      <c r="A155" s="474" t="s">
        <v>1075</v>
      </c>
      <c r="B155" s="474" t="s">
        <v>1085</v>
      </c>
      <c r="C155" s="474"/>
      <c r="D155" s="474" t="s">
        <v>1086</v>
      </c>
      <c r="E155" s="654" t="s">
        <v>487</v>
      </c>
      <c r="F155" s="654" t="s">
        <v>1077</v>
      </c>
      <c r="G155" s="643">
        <v>41485</v>
      </c>
      <c r="H155" s="657">
        <v>150003</v>
      </c>
      <c r="I155" s="657"/>
      <c r="J155" s="657"/>
      <c r="K155" s="471" t="s">
        <v>1493</v>
      </c>
      <c r="L155" s="652">
        <v>40521</v>
      </c>
      <c r="M155" s="657"/>
      <c r="N155" s="657"/>
      <c r="O155" s="657">
        <v>14959200</v>
      </c>
      <c r="P155" s="657"/>
      <c r="Q155" s="657">
        <v>0</v>
      </c>
      <c r="R155" s="657">
        <v>14959200</v>
      </c>
      <c r="S155" s="650" t="s">
        <v>493</v>
      </c>
      <c r="T155" s="657"/>
      <c r="U155" s="553"/>
      <c r="V155" s="553"/>
      <c r="W155" s="553"/>
      <c r="Z155" s="652">
        <v>40521</v>
      </c>
      <c r="AA155" s="657"/>
      <c r="AB155" s="657"/>
      <c r="AC155" s="657">
        <v>14959200</v>
      </c>
      <c r="AD155" s="455"/>
    </row>
    <row r="156" spans="1:30" ht="14.25" customHeight="1">
      <c r="A156" s="474" t="s">
        <v>1075</v>
      </c>
      <c r="B156" s="474"/>
      <c r="C156" s="474"/>
      <c r="D156" s="474" t="s">
        <v>1087</v>
      </c>
      <c r="E156" s="654" t="s">
        <v>487</v>
      </c>
      <c r="F156" s="654" t="s">
        <v>1077</v>
      </c>
      <c r="G156" s="652"/>
      <c r="H156" s="657"/>
      <c r="I156" s="657"/>
      <c r="J156" s="657"/>
      <c r="K156" s="650"/>
      <c r="L156" s="652">
        <v>40611</v>
      </c>
      <c r="M156" s="657"/>
      <c r="N156" s="657"/>
      <c r="O156" s="657">
        <v>14794813</v>
      </c>
      <c r="P156" s="657"/>
      <c r="Q156" s="657"/>
      <c r="R156" s="657">
        <v>14794813</v>
      </c>
      <c r="S156" s="650" t="s">
        <v>493</v>
      </c>
      <c r="T156" s="657"/>
      <c r="U156" s="553"/>
      <c r="V156" s="553"/>
      <c r="W156" s="553"/>
      <c r="Z156" s="652">
        <v>40611</v>
      </c>
      <c r="AA156" s="657"/>
      <c r="AB156" s="657"/>
      <c r="AC156" s="657">
        <v>14794813</v>
      </c>
      <c r="AD156" s="455"/>
    </row>
    <row r="157" spans="1:30" ht="14.25" customHeight="1">
      <c r="A157" s="474" t="s">
        <v>1075</v>
      </c>
      <c r="B157" s="474"/>
      <c r="C157" s="474"/>
      <c r="D157" s="474" t="s">
        <v>1087</v>
      </c>
      <c r="E157" s="476" t="s">
        <v>487</v>
      </c>
      <c r="F157" s="476" t="s">
        <v>1077</v>
      </c>
      <c r="G157" s="646"/>
      <c r="H157" s="647"/>
      <c r="I157" s="647"/>
      <c r="J157" s="647"/>
      <c r="K157" s="746"/>
      <c r="L157" s="646">
        <v>40703</v>
      </c>
      <c r="M157" s="647"/>
      <c r="N157" s="647"/>
      <c r="O157" s="647">
        <v>15123586</v>
      </c>
      <c r="P157" s="647"/>
      <c r="Q157" s="647"/>
      <c r="R157" s="647">
        <v>15123586</v>
      </c>
      <c r="S157" s="746" t="s">
        <v>493</v>
      </c>
      <c r="T157" s="647"/>
      <c r="U157" s="555"/>
      <c r="V157" s="555"/>
      <c r="W157" s="555"/>
      <c r="Z157" s="646">
        <v>40703</v>
      </c>
      <c r="AA157" s="647"/>
      <c r="AB157" s="647"/>
      <c r="AC157" s="647">
        <v>15123586</v>
      </c>
      <c r="AD157" s="455"/>
    </row>
    <row r="158" spans="1:30" ht="14.25" customHeight="1">
      <c r="A158" s="474" t="s">
        <v>1075</v>
      </c>
      <c r="B158" s="510"/>
      <c r="C158" s="510"/>
      <c r="D158" s="510"/>
      <c r="E158" s="654" t="s">
        <v>487</v>
      </c>
      <c r="F158" s="654" t="s">
        <v>1077</v>
      </c>
      <c r="G158" s="652"/>
      <c r="H158" s="657"/>
      <c r="I158" s="657"/>
      <c r="J158" s="657"/>
      <c r="K158" s="650"/>
      <c r="L158" s="652">
        <v>40795</v>
      </c>
      <c r="M158" s="657"/>
      <c r="N158" s="657"/>
      <c r="O158" s="657">
        <v>15123586</v>
      </c>
      <c r="P158" s="657"/>
      <c r="Q158" s="657"/>
      <c r="R158" s="657">
        <v>15123586</v>
      </c>
      <c r="S158" s="650" t="s">
        <v>493</v>
      </c>
      <c r="T158" s="657"/>
      <c r="U158" s="553"/>
      <c r="V158" s="553"/>
      <c r="W158" s="553"/>
      <c r="Z158" s="652">
        <v>40795</v>
      </c>
      <c r="AA158" s="657"/>
      <c r="AB158" s="657"/>
      <c r="AC158" s="657">
        <v>15123586</v>
      </c>
      <c r="AD158" s="455"/>
    </row>
    <row r="159" spans="1:30" ht="14.25" customHeight="1">
      <c r="A159" s="474" t="s">
        <v>1075</v>
      </c>
      <c r="B159" s="510"/>
      <c r="C159" s="510"/>
      <c r="D159" s="510"/>
      <c r="E159" s="654" t="s">
        <v>487</v>
      </c>
      <c r="F159" s="654" t="s">
        <v>1077</v>
      </c>
      <c r="G159" s="652"/>
      <c r="H159" s="657"/>
      <c r="I159" s="657"/>
      <c r="J159" s="657"/>
      <c r="K159" s="650"/>
      <c r="L159" s="652">
        <v>40886</v>
      </c>
      <c r="M159" s="657"/>
      <c r="N159" s="657"/>
      <c r="O159" s="657">
        <v>14959200</v>
      </c>
      <c r="P159" s="657"/>
      <c r="Q159" s="657"/>
      <c r="R159" s="657">
        <v>14959200</v>
      </c>
      <c r="S159" s="650" t="s">
        <v>493</v>
      </c>
      <c r="T159" s="657"/>
      <c r="U159" s="553"/>
      <c r="V159" s="553"/>
      <c r="W159" s="553"/>
      <c r="Z159" s="652">
        <v>40886</v>
      </c>
      <c r="AA159" s="657"/>
      <c r="AB159" s="657"/>
      <c r="AC159" s="657">
        <v>14959200</v>
      </c>
      <c r="AD159" s="455"/>
    </row>
    <row r="160" spans="1:30" ht="14.25" customHeight="1">
      <c r="A160" s="474" t="s">
        <v>1075</v>
      </c>
      <c r="B160" s="510"/>
      <c r="C160" s="510"/>
      <c r="D160" s="510"/>
      <c r="E160" s="654" t="s">
        <v>487</v>
      </c>
      <c r="F160" s="654" t="s">
        <v>1077</v>
      </c>
      <c r="G160" s="652"/>
      <c r="H160" s="657"/>
      <c r="I160" s="657"/>
      <c r="J160" s="657"/>
      <c r="K160" s="650"/>
      <c r="L160" s="652">
        <v>40977</v>
      </c>
      <c r="M160" s="657"/>
      <c r="N160" s="657"/>
      <c r="O160" s="657">
        <v>14959200</v>
      </c>
      <c r="P160" s="657"/>
      <c r="Q160" s="657"/>
      <c r="R160" s="657">
        <v>14959200</v>
      </c>
      <c r="S160" s="650" t="s">
        <v>493</v>
      </c>
      <c r="T160" s="657"/>
      <c r="U160" s="553"/>
      <c r="V160" s="553"/>
      <c r="W160" s="553"/>
      <c r="Z160" s="652">
        <v>40977</v>
      </c>
      <c r="AA160" s="657"/>
      <c r="AB160" s="657"/>
      <c r="AC160" s="657">
        <v>14959200</v>
      </c>
      <c r="AD160" s="455"/>
    </row>
    <row r="161" spans="1:37" ht="14.25" customHeight="1">
      <c r="A161" s="474" t="s">
        <v>1075</v>
      </c>
      <c r="B161" s="510"/>
      <c r="C161" s="510"/>
      <c r="D161" s="510"/>
      <c r="E161" s="654" t="s">
        <v>487</v>
      </c>
      <c r="F161" s="654" t="s">
        <v>1077</v>
      </c>
      <c r="G161" s="652"/>
      <c r="H161" s="657"/>
      <c r="I161" s="657"/>
      <c r="J161" s="657"/>
      <c r="K161" s="650"/>
      <c r="L161" s="652">
        <v>41071</v>
      </c>
      <c r="M161" s="657"/>
      <c r="N161" s="657"/>
      <c r="O161" s="657">
        <v>15452362</v>
      </c>
      <c r="P161" s="657"/>
      <c r="Q161" s="657"/>
      <c r="R161" s="657">
        <v>15452362</v>
      </c>
      <c r="S161" s="650" t="s">
        <v>493</v>
      </c>
      <c r="T161" s="657"/>
      <c r="U161" s="553"/>
      <c r="V161" s="553"/>
      <c r="W161" s="553"/>
      <c r="Z161" s="652">
        <v>41071</v>
      </c>
      <c r="AA161" s="657"/>
      <c r="AB161" s="657"/>
      <c r="AC161" s="657">
        <v>15452362</v>
      </c>
    </row>
    <row r="162" spans="1:37" ht="14.25" customHeight="1">
      <c r="A162" s="474" t="s">
        <v>1075</v>
      </c>
      <c r="B162" s="510"/>
      <c r="C162" s="510"/>
      <c r="D162" s="510"/>
      <c r="E162" s="654" t="s">
        <v>487</v>
      </c>
      <c r="F162" s="654" t="s">
        <v>1077</v>
      </c>
      <c r="G162" s="652"/>
      <c r="H162" s="657"/>
      <c r="I162" s="657"/>
      <c r="J162" s="657"/>
      <c r="K162" s="650"/>
      <c r="L162" s="652">
        <v>41162</v>
      </c>
      <c r="M162" s="657"/>
      <c r="N162" s="657"/>
      <c r="O162" s="657">
        <v>14959200</v>
      </c>
      <c r="P162" s="657"/>
      <c r="Q162" s="657"/>
      <c r="R162" s="657">
        <v>14959200</v>
      </c>
      <c r="S162" s="650" t="s">
        <v>493</v>
      </c>
      <c r="T162" s="657"/>
      <c r="U162" s="553"/>
      <c r="V162" s="553"/>
      <c r="W162" s="553"/>
      <c r="X162" s="574"/>
      <c r="Z162" s="652">
        <v>41162</v>
      </c>
      <c r="AA162" s="657"/>
      <c r="AB162" s="657"/>
      <c r="AC162" s="657">
        <v>14959200</v>
      </c>
    </row>
    <row r="163" spans="1:37" ht="14.25" customHeight="1">
      <c r="A163" s="474" t="s">
        <v>1075</v>
      </c>
      <c r="B163" s="510"/>
      <c r="C163" s="510"/>
      <c r="D163" s="510"/>
      <c r="E163" s="654" t="s">
        <v>487</v>
      </c>
      <c r="F163" s="654" t="s">
        <v>1077</v>
      </c>
      <c r="G163" s="652"/>
      <c r="H163" s="657"/>
      <c r="I163" s="657"/>
      <c r="J163" s="657"/>
      <c r="K163" s="650"/>
      <c r="L163" s="652">
        <v>41253</v>
      </c>
      <c r="M163" s="657"/>
      <c r="N163" s="657"/>
      <c r="O163" s="657">
        <v>14959200</v>
      </c>
      <c r="P163" s="657"/>
      <c r="Q163" s="657"/>
      <c r="R163" s="657">
        <v>14959200</v>
      </c>
      <c r="S163" s="650" t="s">
        <v>493</v>
      </c>
      <c r="T163" s="657"/>
      <c r="U163" s="553"/>
      <c r="V163" s="553"/>
      <c r="W163" s="553"/>
      <c r="X163" s="574"/>
      <c r="Z163" s="652">
        <v>41253</v>
      </c>
      <c r="AA163" s="657"/>
      <c r="AB163" s="657"/>
      <c r="AC163" s="657">
        <v>14959200</v>
      </c>
    </row>
    <row r="164" spans="1:37" s="608" customFormat="1" ht="14.25" customHeight="1">
      <c r="A164" s="474" t="s">
        <v>1075</v>
      </c>
      <c r="B164" s="510"/>
      <c r="C164" s="510"/>
      <c r="D164" s="510"/>
      <c r="E164" s="654" t="s">
        <v>487</v>
      </c>
      <c r="F164" s="654" t="s">
        <v>1077</v>
      </c>
      <c r="G164" s="652"/>
      <c r="H164" s="657"/>
      <c r="I164" s="657"/>
      <c r="J164" s="657"/>
      <c r="K164" s="650"/>
      <c r="L164" s="652">
        <v>41344</v>
      </c>
      <c r="M164" s="657"/>
      <c r="N164" s="657"/>
      <c r="O164" s="657">
        <v>14959200</v>
      </c>
      <c r="P164" s="657"/>
      <c r="Q164" s="657"/>
      <c r="R164" s="657">
        <v>14959200</v>
      </c>
      <c r="S164" s="650" t="s">
        <v>493</v>
      </c>
      <c r="T164" s="657"/>
      <c r="U164" s="553"/>
      <c r="V164" s="553"/>
      <c r="W164" s="553"/>
      <c r="Z164" s="652">
        <v>41344</v>
      </c>
      <c r="AA164" s="657"/>
      <c r="AB164" s="657"/>
      <c r="AC164" s="657">
        <v>14959200</v>
      </c>
      <c r="AD164" s="677"/>
    </row>
    <row r="165" spans="1:37" s="608" customFormat="1" ht="14.25" customHeight="1">
      <c r="A165" s="474" t="s">
        <v>1075</v>
      </c>
      <c r="B165" s="510"/>
      <c r="C165" s="510"/>
      <c r="D165" s="510"/>
      <c r="E165" s="655" t="s">
        <v>487</v>
      </c>
      <c r="F165" s="655" t="s">
        <v>1077</v>
      </c>
      <c r="G165" s="651"/>
      <c r="H165" s="614"/>
      <c r="I165" s="614"/>
      <c r="J165" s="614"/>
      <c r="K165" s="613"/>
      <c r="L165" s="651">
        <v>41435</v>
      </c>
      <c r="M165" s="614"/>
      <c r="N165" s="614"/>
      <c r="O165" s="614">
        <v>14959200</v>
      </c>
      <c r="P165" s="614"/>
      <c r="Q165" s="614"/>
      <c r="R165" s="614">
        <v>14959200</v>
      </c>
      <c r="S165" s="613" t="s">
        <v>493</v>
      </c>
      <c r="T165" s="758">
        <f>+SUM(J154:J165)-SUM(Q154:Q165)</f>
        <v>1500030000</v>
      </c>
      <c r="U165" s="554"/>
      <c r="V165" s="554"/>
      <c r="W165" s="554"/>
      <c r="Z165" s="651">
        <v>41435</v>
      </c>
      <c r="AA165" s="614"/>
      <c r="AB165" s="614"/>
      <c r="AC165" s="614">
        <v>14959200</v>
      </c>
      <c r="AD165" s="677"/>
    </row>
    <row r="166" spans="1:37" s="608" customFormat="1" ht="14.25" customHeight="1">
      <c r="A166" s="474" t="s">
        <v>1075</v>
      </c>
      <c r="B166" s="510"/>
      <c r="C166" s="510"/>
      <c r="D166" s="510"/>
      <c r="E166" s="655" t="s">
        <v>487</v>
      </c>
      <c r="F166" s="655" t="s">
        <v>1077</v>
      </c>
      <c r="G166" s="651"/>
      <c r="H166" s="614"/>
      <c r="I166" s="614"/>
      <c r="J166" s="614"/>
      <c r="K166" s="613"/>
      <c r="L166" s="651">
        <v>41936</v>
      </c>
      <c r="M166" s="614"/>
      <c r="N166" s="614"/>
      <c r="O166" s="614">
        <v>10250530</v>
      </c>
      <c r="P166" s="614"/>
      <c r="Q166" s="614"/>
      <c r="R166" s="614">
        <f>O166</f>
        <v>10250530</v>
      </c>
      <c r="S166" s="613" t="s">
        <v>493</v>
      </c>
      <c r="T166" s="758">
        <f>+SUM(J155:J166)-SUM(Q155:Q166)</f>
        <v>0</v>
      </c>
      <c r="U166" s="554"/>
      <c r="V166" s="554"/>
      <c r="W166" s="554"/>
      <c r="Z166" s="651">
        <v>41435</v>
      </c>
      <c r="AA166" s="614"/>
      <c r="AB166" s="614"/>
      <c r="AC166" s="614">
        <v>14959200</v>
      </c>
      <c r="AD166" s="677"/>
    </row>
    <row r="167" spans="1:37" s="608" customFormat="1" ht="14.25" customHeight="1">
      <c r="A167" s="491" t="s">
        <v>1075</v>
      </c>
      <c r="B167" s="551"/>
      <c r="C167" s="551"/>
      <c r="D167" s="551" t="s">
        <v>1088</v>
      </c>
      <c r="E167" s="561" t="s">
        <v>487</v>
      </c>
      <c r="F167" s="653" t="s">
        <v>1089</v>
      </c>
      <c r="G167" s="645">
        <v>40641</v>
      </c>
      <c r="H167" s="644">
        <v>692308</v>
      </c>
      <c r="I167" s="644">
        <v>6500</v>
      </c>
      <c r="J167" s="644">
        <v>4500002000</v>
      </c>
      <c r="K167" s="747" t="s">
        <v>1090</v>
      </c>
      <c r="L167" s="645"/>
      <c r="M167" s="644"/>
      <c r="N167" s="644"/>
      <c r="O167" s="644"/>
      <c r="P167" s="644"/>
      <c r="Q167" s="644"/>
      <c r="R167" s="644">
        <v>0</v>
      </c>
      <c r="S167" s="747"/>
      <c r="T167" s="644">
        <f>+J167-Q167</f>
        <v>4500002000</v>
      </c>
      <c r="U167" s="653"/>
      <c r="V167" s="653"/>
      <c r="W167" s="653"/>
      <c r="Z167" s="681">
        <v>41634</v>
      </c>
      <c r="AC167" s="528">
        <f>+-AC153</f>
        <v>1500030000</v>
      </c>
      <c r="AD167" s="665">
        <f>+XIRR(AC153:AC167,Z153:Z167)</f>
        <v>3.7431284785270691E-2</v>
      </c>
      <c r="AF167" s="655" t="s">
        <v>1097</v>
      </c>
      <c r="AG167" s="651">
        <v>41389</v>
      </c>
      <c r="AH167" s="614"/>
      <c r="AI167" s="614"/>
      <c r="AJ167" s="614">
        <v>-999950000</v>
      </c>
    </row>
    <row r="168" spans="1:37" s="608" customFormat="1" ht="14.25" customHeight="1">
      <c r="A168" s="491" t="s">
        <v>1075</v>
      </c>
      <c r="B168" s="551"/>
      <c r="C168" s="551"/>
      <c r="D168" s="551" t="s">
        <v>1088</v>
      </c>
      <c r="E168" s="656" t="s">
        <v>487</v>
      </c>
      <c r="F168" s="656" t="s">
        <v>1091</v>
      </c>
      <c r="G168" s="642">
        <v>40752</v>
      </c>
      <c r="H168" s="610">
        <v>400000</v>
      </c>
      <c r="I168" s="610">
        <v>7500</v>
      </c>
      <c r="J168" s="610">
        <v>3000000000</v>
      </c>
      <c r="K168" s="612" t="s">
        <v>1092</v>
      </c>
      <c r="L168" s="642">
        <v>41386</v>
      </c>
      <c r="M168" s="610"/>
      <c r="N168" s="610"/>
      <c r="O168" s="610">
        <v>30000000</v>
      </c>
      <c r="P168" s="644"/>
      <c r="Q168" s="610"/>
      <c r="R168" s="610">
        <v>30000000</v>
      </c>
      <c r="S168" s="612" t="s">
        <v>501</v>
      </c>
      <c r="T168" s="610">
        <f>+J168-Q168</f>
        <v>3000000000</v>
      </c>
      <c r="U168" s="656"/>
      <c r="V168" s="656"/>
      <c r="W168" s="656"/>
      <c r="Y168" s="653" t="s">
        <v>1091</v>
      </c>
      <c r="Z168" s="645">
        <v>40752</v>
      </c>
      <c r="AA168" s="644">
        <v>400000</v>
      </c>
      <c r="AB168" s="644">
        <v>7500</v>
      </c>
      <c r="AC168" s="644">
        <v>-3000000000</v>
      </c>
      <c r="AD168" s="677"/>
      <c r="AG168" s="651">
        <v>41572</v>
      </c>
      <c r="AH168" s="614"/>
      <c r="AI168" s="614"/>
      <c r="AJ168" s="614">
        <v>4999750</v>
      </c>
    </row>
    <row r="169" spans="1:37" s="608" customFormat="1" ht="14.25" customHeight="1">
      <c r="A169" s="491" t="s">
        <v>1075</v>
      </c>
      <c r="B169" s="551"/>
      <c r="C169" s="551"/>
      <c r="D169" s="551"/>
      <c r="E169" s="654" t="s">
        <v>1494</v>
      </c>
      <c r="F169" s="654" t="s">
        <v>1495</v>
      </c>
      <c r="G169" s="652"/>
      <c r="H169" s="657"/>
      <c r="I169" s="657"/>
      <c r="J169" s="657"/>
      <c r="K169" s="650"/>
      <c r="L169" s="652">
        <v>41759</v>
      </c>
      <c r="M169" s="657"/>
      <c r="N169" s="657"/>
      <c r="O169" s="657">
        <v>30000000</v>
      </c>
      <c r="P169" s="644"/>
      <c r="Q169" s="657"/>
      <c r="R169" s="657">
        <v>30000000</v>
      </c>
      <c r="S169" s="650" t="s">
        <v>1496</v>
      </c>
      <c r="T169" s="657"/>
      <c r="U169" s="654"/>
      <c r="V169" s="654"/>
      <c r="W169" s="654"/>
      <c r="Z169" s="645"/>
      <c r="AA169" s="644"/>
      <c r="AB169" s="644"/>
      <c r="AC169" s="644"/>
      <c r="AD169" s="677"/>
      <c r="AG169" s="681"/>
      <c r="AH169" s="611"/>
      <c r="AI169" s="611"/>
      <c r="AJ169" s="611"/>
    </row>
    <row r="170" spans="1:37" s="608" customFormat="1" ht="14.25" customHeight="1">
      <c r="A170" s="491" t="s">
        <v>1075</v>
      </c>
      <c r="B170" s="551"/>
      <c r="C170" s="551"/>
      <c r="D170" s="551"/>
      <c r="E170" s="655" t="s">
        <v>1494</v>
      </c>
      <c r="F170" s="655" t="s">
        <v>1495</v>
      </c>
      <c r="G170" s="651"/>
      <c r="H170" s="614"/>
      <c r="I170" s="614"/>
      <c r="J170" s="614"/>
      <c r="K170" s="613"/>
      <c r="L170" s="651">
        <v>41759</v>
      </c>
      <c r="M170" s="614"/>
      <c r="N170" s="614"/>
      <c r="O170" s="614">
        <v>30000000</v>
      </c>
      <c r="P170" s="644"/>
      <c r="Q170" s="614"/>
      <c r="R170" s="614">
        <v>30000000</v>
      </c>
      <c r="S170" s="613" t="s">
        <v>1496</v>
      </c>
      <c r="T170" s="614"/>
      <c r="U170" s="655"/>
      <c r="V170" s="655"/>
      <c r="W170" s="655"/>
      <c r="Z170" s="645"/>
      <c r="AA170" s="644"/>
      <c r="AB170" s="644"/>
      <c r="AC170" s="644"/>
      <c r="AD170" s="677"/>
      <c r="AG170" s="681"/>
      <c r="AH170" s="611"/>
      <c r="AI170" s="611"/>
      <c r="AJ170" s="611"/>
    </row>
    <row r="171" spans="1:37" s="608" customFormat="1" ht="14.25" customHeight="1">
      <c r="A171" s="491" t="s">
        <v>1075</v>
      </c>
      <c r="B171" s="551"/>
      <c r="C171" s="551"/>
      <c r="D171" s="551"/>
      <c r="E171" s="609" t="s">
        <v>487</v>
      </c>
      <c r="F171" s="609" t="s">
        <v>1093</v>
      </c>
      <c r="G171" s="640">
        <v>41117</v>
      </c>
      <c r="H171" s="641">
        <v>1667</v>
      </c>
      <c r="I171" s="641">
        <v>150000</v>
      </c>
      <c r="J171" s="641">
        <v>250050000</v>
      </c>
      <c r="K171" s="464" t="s">
        <v>1092</v>
      </c>
      <c r="L171" s="640"/>
      <c r="M171" s="641"/>
      <c r="N171" s="641"/>
      <c r="O171" s="641"/>
      <c r="P171" s="641"/>
      <c r="Q171" s="641"/>
      <c r="R171" s="641">
        <v>0</v>
      </c>
      <c r="S171" s="464"/>
      <c r="T171" s="644">
        <f>+J171-Q171</f>
        <v>250050000</v>
      </c>
      <c r="U171" s="609"/>
      <c r="V171" s="609"/>
      <c r="W171" s="609"/>
      <c r="Z171" s="645">
        <v>41386</v>
      </c>
      <c r="AA171" s="644"/>
      <c r="AB171" s="644"/>
      <c r="AC171" s="644">
        <v>30000000</v>
      </c>
      <c r="AD171" s="677"/>
      <c r="AG171" s="681">
        <v>41634</v>
      </c>
      <c r="AJ171" s="528">
        <f>+-AJ167</f>
        <v>999950000</v>
      </c>
      <c r="AK171" s="665">
        <f>+XIRR(AJ167:AJ171,AG167:AG171)</f>
        <v>7.4675351381301878E-3</v>
      </c>
    </row>
    <row r="172" spans="1:37" s="608" customFormat="1" ht="14.25" customHeight="1">
      <c r="A172" s="491" t="s">
        <v>1075</v>
      </c>
      <c r="B172" s="551"/>
      <c r="C172" s="551"/>
      <c r="D172" s="551"/>
      <c r="E172" s="664" t="s">
        <v>1094</v>
      </c>
      <c r="F172" s="664" t="s">
        <v>1093</v>
      </c>
      <c r="G172" s="668">
        <v>41117</v>
      </c>
      <c r="H172" s="648">
        <v>0</v>
      </c>
      <c r="I172" s="648">
        <v>0</v>
      </c>
      <c r="J172" s="648">
        <v>250050000</v>
      </c>
      <c r="K172" s="750" t="s">
        <v>1095</v>
      </c>
      <c r="L172" s="668">
        <v>41290</v>
      </c>
      <c r="M172" s="648"/>
      <c r="N172" s="648"/>
      <c r="O172" s="648">
        <v>1154068</v>
      </c>
      <c r="P172" s="648"/>
      <c r="Q172" s="648"/>
      <c r="R172" s="648">
        <v>1154068</v>
      </c>
      <c r="S172" s="750" t="s">
        <v>493</v>
      </c>
      <c r="T172" s="528">
        <f>+SUM(J172:J176)-SUM(Q172:Q176)</f>
        <v>250050000</v>
      </c>
      <c r="U172" s="664"/>
      <c r="V172" s="664" t="s">
        <v>1096</v>
      </c>
      <c r="W172" s="664"/>
      <c r="Z172" s="681">
        <v>41634</v>
      </c>
      <c r="AC172" s="528">
        <f>+-AC168</f>
        <v>3000000000</v>
      </c>
      <c r="AD172" s="665">
        <f>+XIRR(AC168:AC172,Z168:Z172)</f>
        <v>4.1378170251846307E-3</v>
      </c>
    </row>
    <row r="173" spans="1:37" ht="14.25" customHeight="1">
      <c r="A173" s="491" t="s">
        <v>1075</v>
      </c>
      <c r="B173" s="551"/>
      <c r="C173" s="551"/>
      <c r="D173" s="551"/>
      <c r="E173" s="654" t="s">
        <v>1094</v>
      </c>
      <c r="F173" s="654" t="s">
        <v>1093</v>
      </c>
      <c r="G173" s="652"/>
      <c r="H173" s="657"/>
      <c r="I173" s="657"/>
      <c r="J173" s="657"/>
      <c r="K173" s="650"/>
      <c r="L173" s="652">
        <v>41466</v>
      </c>
      <c r="M173" s="657"/>
      <c r="N173" s="657"/>
      <c r="O173" s="657">
        <v>1239974</v>
      </c>
      <c r="P173" s="657"/>
      <c r="Q173" s="657"/>
      <c r="R173" s="657">
        <v>1239974</v>
      </c>
      <c r="S173" s="650" t="s">
        <v>493</v>
      </c>
      <c r="T173" s="657"/>
      <c r="U173" s="655"/>
      <c r="V173" s="655"/>
      <c r="W173" s="655"/>
      <c r="X173" s="435"/>
      <c r="Y173" s="664" t="s">
        <v>1093</v>
      </c>
      <c r="Z173" s="668">
        <v>41117</v>
      </c>
      <c r="AA173" s="648">
        <v>0</v>
      </c>
      <c r="AB173" s="648">
        <v>0</v>
      </c>
      <c r="AC173" s="648">
        <v>-250050000</v>
      </c>
    </row>
    <row r="174" spans="1:37" s="762" customFormat="1" ht="14.25" customHeight="1">
      <c r="A174" s="759" t="s">
        <v>1075</v>
      </c>
      <c r="B174" s="760"/>
      <c r="C174" s="760"/>
      <c r="D174" s="760"/>
      <c r="E174" s="654" t="s">
        <v>1094</v>
      </c>
      <c r="F174" s="654" t="s">
        <v>1093</v>
      </c>
      <c r="G174" s="652"/>
      <c r="H174" s="657"/>
      <c r="I174" s="657"/>
      <c r="J174" s="657"/>
      <c r="K174" s="650"/>
      <c r="L174" s="652">
        <v>41654</v>
      </c>
      <c r="M174" s="657"/>
      <c r="N174" s="657"/>
      <c r="O174" s="657">
        <v>1260526</v>
      </c>
      <c r="P174" s="657"/>
      <c r="Q174" s="657"/>
      <c r="R174" s="657">
        <f>+O174-Q174</f>
        <v>1260526</v>
      </c>
      <c r="S174" s="650" t="s">
        <v>1497</v>
      </c>
      <c r="T174" s="657"/>
      <c r="U174" s="759"/>
      <c r="V174" s="759"/>
      <c r="W174" s="759"/>
      <c r="X174" s="761"/>
      <c r="Z174" s="763"/>
      <c r="AA174" s="764"/>
      <c r="AB174" s="764"/>
      <c r="AC174" s="764"/>
      <c r="AD174" s="765"/>
    </row>
    <row r="175" spans="1:37" s="762" customFormat="1" ht="14.25" customHeight="1">
      <c r="A175" s="759" t="s">
        <v>1075</v>
      </c>
      <c r="B175" s="760"/>
      <c r="C175" s="760"/>
      <c r="D175" s="760"/>
      <c r="E175" s="654" t="s">
        <v>1094</v>
      </c>
      <c r="F175" s="654" t="s">
        <v>1093</v>
      </c>
      <c r="G175" s="652"/>
      <c r="H175" s="657"/>
      <c r="I175" s="657"/>
      <c r="J175" s="657"/>
      <c r="K175" s="650"/>
      <c r="L175" s="652">
        <v>41831</v>
      </c>
      <c r="M175" s="657"/>
      <c r="N175" s="657"/>
      <c r="O175" s="657">
        <v>1239974</v>
      </c>
      <c r="P175" s="657"/>
      <c r="Q175" s="657"/>
      <c r="R175" s="657">
        <f>+O175-Q175</f>
        <v>1239974</v>
      </c>
      <c r="S175" s="650" t="s">
        <v>1497</v>
      </c>
      <c r="T175" s="657"/>
      <c r="U175" s="759"/>
      <c r="V175" s="759"/>
      <c r="W175" s="759"/>
      <c r="X175" s="761"/>
      <c r="Z175" s="763"/>
      <c r="AA175" s="764"/>
      <c r="AB175" s="764"/>
      <c r="AC175" s="764"/>
      <c r="AD175" s="765"/>
    </row>
    <row r="176" spans="1:37" s="762" customFormat="1" ht="14.25" customHeight="1">
      <c r="A176" s="759" t="s">
        <v>1075</v>
      </c>
      <c r="B176" s="760"/>
      <c r="C176" s="760"/>
      <c r="D176" s="760"/>
      <c r="E176" s="654" t="s">
        <v>1094</v>
      </c>
      <c r="F176" s="654" t="s">
        <v>1093</v>
      </c>
      <c r="G176" s="652"/>
      <c r="H176" s="657"/>
      <c r="I176" s="657"/>
      <c r="J176" s="657"/>
      <c r="K176" s="650"/>
      <c r="L176" s="652">
        <v>42013</v>
      </c>
      <c r="M176" s="657"/>
      <c r="N176" s="657"/>
      <c r="O176" s="657">
        <v>1260526</v>
      </c>
      <c r="P176" s="657"/>
      <c r="Q176" s="657"/>
      <c r="R176" s="657">
        <f>+O176-Q176</f>
        <v>1260526</v>
      </c>
      <c r="S176" s="650" t="s">
        <v>1497</v>
      </c>
      <c r="T176" s="657"/>
      <c r="U176" s="759"/>
      <c r="V176" s="759"/>
      <c r="W176" s="759"/>
      <c r="X176" s="761"/>
      <c r="Z176" s="763"/>
      <c r="AA176" s="764"/>
      <c r="AB176" s="764"/>
      <c r="AC176" s="764"/>
      <c r="AD176" s="765"/>
    </row>
    <row r="177" spans="1:30" ht="14.25" customHeight="1">
      <c r="A177" s="664" t="s">
        <v>1075</v>
      </c>
      <c r="B177" s="664"/>
      <c r="C177" s="664"/>
      <c r="D177" s="664"/>
      <c r="E177" s="656" t="s">
        <v>487</v>
      </c>
      <c r="F177" s="656" t="s">
        <v>1097</v>
      </c>
      <c r="G177" s="642">
        <v>41270</v>
      </c>
      <c r="H177" s="610">
        <v>9918</v>
      </c>
      <c r="I177" s="610">
        <v>35000</v>
      </c>
      <c r="J177" s="610">
        <v>347130000</v>
      </c>
      <c r="K177" s="612" t="s">
        <v>1098</v>
      </c>
      <c r="L177" s="642"/>
      <c r="M177" s="610"/>
      <c r="N177" s="610"/>
      <c r="O177" s="610"/>
      <c r="P177" s="610"/>
      <c r="Q177" s="610"/>
      <c r="R177" s="610">
        <v>0</v>
      </c>
      <c r="S177" s="612"/>
      <c r="T177" s="648">
        <f>+J177-Q177</f>
        <v>347130000</v>
      </c>
      <c r="U177" s="656"/>
      <c r="V177" s="656"/>
      <c r="W177" s="656"/>
      <c r="X177" s="435"/>
      <c r="Z177" s="668">
        <v>41290</v>
      </c>
      <c r="AA177" s="648"/>
      <c r="AB177" s="648"/>
      <c r="AC177" s="648">
        <v>1154068</v>
      </c>
    </row>
    <row r="178" spans="1:30" s="608" customFormat="1" ht="14.25" customHeight="1">
      <c r="A178" s="654" t="s">
        <v>1075</v>
      </c>
      <c r="B178" s="654"/>
      <c r="C178" s="654"/>
      <c r="D178" s="654"/>
      <c r="E178" s="654" t="s">
        <v>1498</v>
      </c>
      <c r="F178" s="654" t="s">
        <v>1097</v>
      </c>
      <c r="G178" s="652">
        <v>41389</v>
      </c>
      <c r="H178" s="657"/>
      <c r="I178" s="657"/>
      <c r="J178" s="657">
        <v>999950000</v>
      </c>
      <c r="K178" s="650" t="s">
        <v>1084</v>
      </c>
      <c r="L178" s="652">
        <v>41572</v>
      </c>
      <c r="M178" s="657"/>
      <c r="N178" s="657"/>
      <c r="O178" s="657">
        <v>4999750</v>
      </c>
      <c r="P178" s="657"/>
      <c r="Q178" s="657">
        <v>0</v>
      </c>
      <c r="R178" s="657">
        <f>+O178-Q178</f>
        <v>4999750</v>
      </c>
      <c r="S178" s="650" t="s">
        <v>1499</v>
      </c>
      <c r="T178" s="657">
        <f>+J178:J180-Q178:Q180</f>
        <v>999950000</v>
      </c>
      <c r="U178" s="655"/>
      <c r="V178" s="655"/>
      <c r="W178" s="655"/>
      <c r="X178" s="581"/>
      <c r="Z178" s="651">
        <v>41466</v>
      </c>
      <c r="AA178" s="614"/>
      <c r="AB178" s="614"/>
      <c r="AC178" s="614">
        <v>1239974</v>
      </c>
      <c r="AD178" s="677"/>
    </row>
    <row r="179" spans="1:30" s="608" customFormat="1" ht="14.25" customHeight="1">
      <c r="A179" s="654" t="s">
        <v>1075</v>
      </c>
      <c r="B179" s="654"/>
      <c r="C179" s="654"/>
      <c r="D179" s="654"/>
      <c r="E179" s="654" t="s">
        <v>1498</v>
      </c>
      <c r="F179" s="654" t="s">
        <v>1097</v>
      </c>
      <c r="G179" s="652"/>
      <c r="H179" s="657"/>
      <c r="I179" s="657"/>
      <c r="J179" s="657"/>
      <c r="K179" s="650"/>
      <c r="L179" s="652">
        <v>41754</v>
      </c>
      <c r="M179" s="657"/>
      <c r="N179" s="657"/>
      <c r="O179" s="657">
        <v>4999750</v>
      </c>
      <c r="P179" s="657"/>
      <c r="Q179" s="657">
        <v>0</v>
      </c>
      <c r="R179" s="657">
        <f>O179-Q179</f>
        <v>4999750</v>
      </c>
      <c r="S179" s="650" t="s">
        <v>1499</v>
      </c>
      <c r="T179" s="657"/>
      <c r="U179" s="653"/>
      <c r="V179" s="653"/>
      <c r="W179" s="653"/>
      <c r="X179" s="581"/>
      <c r="Z179" s="681"/>
      <c r="AA179" s="611"/>
      <c r="AB179" s="611"/>
      <c r="AC179" s="611"/>
      <c r="AD179" s="677"/>
    </row>
    <row r="180" spans="1:30" s="608" customFormat="1" ht="14.25" customHeight="1">
      <c r="A180" s="476" t="s">
        <v>1075</v>
      </c>
      <c r="B180" s="476"/>
      <c r="C180" s="476"/>
      <c r="D180" s="476"/>
      <c r="E180" s="655" t="s">
        <v>1498</v>
      </c>
      <c r="F180" s="655" t="s">
        <v>1097</v>
      </c>
      <c r="G180" s="651"/>
      <c r="H180" s="614"/>
      <c r="I180" s="614"/>
      <c r="J180" s="614"/>
      <c r="K180" s="613"/>
      <c r="L180" s="651">
        <v>41759</v>
      </c>
      <c r="M180" s="614"/>
      <c r="N180" s="614"/>
      <c r="O180" s="614">
        <v>8998500</v>
      </c>
      <c r="P180" s="614"/>
      <c r="Q180" s="614">
        <v>0</v>
      </c>
      <c r="R180" s="614">
        <f>O180-Q180</f>
        <v>8998500</v>
      </c>
      <c r="S180" s="766" t="s">
        <v>1500</v>
      </c>
      <c r="T180" s="614"/>
      <c r="U180" s="653"/>
      <c r="V180" s="653"/>
      <c r="W180" s="653"/>
      <c r="X180" s="581"/>
      <c r="Z180" s="681"/>
      <c r="AA180" s="611"/>
      <c r="AB180" s="611"/>
      <c r="AC180" s="611"/>
      <c r="AD180" s="677"/>
    </row>
    <row r="181" spans="1:30" s="608" customFormat="1" ht="14.25" customHeight="1">
      <c r="A181" s="476" t="s">
        <v>1075</v>
      </c>
      <c r="B181" s="476"/>
      <c r="C181" s="476"/>
      <c r="D181" s="476"/>
      <c r="E181" s="655" t="s">
        <v>1498</v>
      </c>
      <c r="F181" s="655" t="s">
        <v>1097</v>
      </c>
      <c r="G181" s="651"/>
      <c r="H181" s="614"/>
      <c r="I181" s="614"/>
      <c r="J181" s="614"/>
      <c r="K181" s="613"/>
      <c r="L181" s="651">
        <v>41939</v>
      </c>
      <c r="M181" s="614"/>
      <c r="N181" s="614"/>
      <c r="O181" s="614">
        <v>4999750</v>
      </c>
      <c r="P181" s="614"/>
      <c r="Q181" s="614">
        <v>0</v>
      </c>
      <c r="R181" s="614">
        <f>O181-Q181</f>
        <v>4999750</v>
      </c>
      <c r="S181" s="650" t="s">
        <v>1499</v>
      </c>
      <c r="T181" s="614"/>
      <c r="U181" s="653"/>
      <c r="V181" s="653"/>
      <c r="W181" s="653"/>
      <c r="X181" s="581"/>
      <c r="Z181" s="681"/>
      <c r="AA181" s="611"/>
      <c r="AB181" s="611"/>
      <c r="AC181" s="611"/>
      <c r="AD181" s="677"/>
    </row>
    <row r="182" spans="1:30" ht="14.25" customHeight="1">
      <c r="A182" s="491" t="s">
        <v>1075</v>
      </c>
      <c r="B182" s="551"/>
      <c r="C182" s="551"/>
      <c r="D182" s="551"/>
      <c r="E182" s="561" t="s">
        <v>487</v>
      </c>
      <c r="F182" s="561" t="s">
        <v>1099</v>
      </c>
      <c r="G182" s="645">
        <v>41271</v>
      </c>
      <c r="H182" s="644">
        <v>4349</v>
      </c>
      <c r="I182" s="644">
        <v>115000</v>
      </c>
      <c r="J182" s="644">
        <v>500135000</v>
      </c>
      <c r="K182" s="747" t="s">
        <v>1100</v>
      </c>
      <c r="L182" s="747"/>
      <c r="M182" s="644"/>
      <c r="N182" s="644"/>
      <c r="O182" s="644"/>
      <c r="P182" s="644"/>
      <c r="Q182" s="644"/>
      <c r="R182" s="644">
        <v>0</v>
      </c>
      <c r="S182" s="747"/>
      <c r="T182" s="644">
        <f>+J182-Q182</f>
        <v>500135000</v>
      </c>
      <c r="U182" s="653"/>
      <c r="V182" s="653"/>
      <c r="W182" s="653"/>
      <c r="X182" s="435"/>
      <c r="Z182" s="624">
        <v>41634</v>
      </c>
      <c r="AC182" s="625">
        <f>+-AC173</f>
        <v>250050000</v>
      </c>
      <c r="AD182" s="665">
        <f>+XIRR(AC173:AC182,Z173:Z182)</f>
        <v>6.781551241874695E-3</v>
      </c>
    </row>
    <row r="183" spans="1:30" ht="14.25" customHeight="1">
      <c r="A183" s="475" t="s">
        <v>1075</v>
      </c>
      <c r="B183" s="511"/>
      <c r="C183" s="511"/>
      <c r="D183" s="511"/>
      <c r="E183" s="466" t="s">
        <v>1101</v>
      </c>
      <c r="F183" s="467"/>
      <c r="G183" s="446"/>
      <c r="H183" s="498"/>
      <c r="I183" s="498"/>
      <c r="J183" s="498">
        <f>SUM(J151:J182)</f>
        <v>12847397000</v>
      </c>
      <c r="K183" s="468"/>
      <c r="L183" s="447"/>
      <c r="M183" s="498"/>
      <c r="N183" s="498"/>
      <c r="O183" s="498">
        <f t="shared" ref="O183:T183" si="0">SUM(O151:O182)</f>
        <v>310735681</v>
      </c>
      <c r="P183" s="498">
        <f t="shared" si="0"/>
        <v>0</v>
      </c>
      <c r="Q183" s="498">
        <f t="shared" si="0"/>
        <v>0</v>
      </c>
      <c r="R183" s="498">
        <f>SUM(R151:R182)</f>
        <v>310735681</v>
      </c>
      <c r="S183" s="498">
        <f t="shared" si="0"/>
        <v>0</v>
      </c>
      <c r="T183" s="498">
        <f t="shared" si="0"/>
        <v>12847397000</v>
      </c>
      <c r="U183" s="467"/>
      <c r="V183" s="467"/>
      <c r="W183" s="467"/>
      <c r="X183" s="435"/>
    </row>
    <row r="184" spans="1:30" s="608" customFormat="1" ht="14.25" customHeight="1">
      <c r="A184" s="502" t="s">
        <v>1102</v>
      </c>
      <c r="B184" s="502" t="s">
        <v>1103</v>
      </c>
      <c r="C184" s="502"/>
      <c r="D184" s="502"/>
      <c r="E184" s="502" t="s">
        <v>487</v>
      </c>
      <c r="F184" s="502" t="s">
        <v>1077</v>
      </c>
      <c r="G184" s="507">
        <v>40325</v>
      </c>
      <c r="H184" s="484">
        <v>49593</v>
      </c>
      <c r="I184" s="484">
        <v>90000</v>
      </c>
      <c r="J184" s="484">
        <v>4463370000</v>
      </c>
      <c r="K184" s="485" t="s">
        <v>1078</v>
      </c>
      <c r="L184" s="507">
        <v>41274</v>
      </c>
      <c r="M184" s="484"/>
      <c r="N184" s="484"/>
      <c r="O184" s="484">
        <v>0</v>
      </c>
      <c r="P184" s="484"/>
      <c r="Q184" s="484">
        <v>-4463370000</v>
      </c>
      <c r="R184" s="484">
        <v>0</v>
      </c>
      <c r="S184" s="485" t="s">
        <v>1501</v>
      </c>
      <c r="T184" s="528">
        <f>+SUM(J184:J185)+SUM(Q184:Q185)</f>
        <v>0</v>
      </c>
      <c r="U184" s="653"/>
      <c r="V184" s="653"/>
      <c r="W184" s="653"/>
      <c r="X184" s="581"/>
      <c r="Y184" s="502" t="s">
        <v>1077</v>
      </c>
      <c r="Z184" s="507">
        <v>40325</v>
      </c>
      <c r="AA184" s="484">
        <v>49593</v>
      </c>
      <c r="AB184" s="484">
        <v>90000</v>
      </c>
      <c r="AC184" s="484">
        <v>-4463370000</v>
      </c>
      <c r="AD184" s="677"/>
    </row>
    <row r="185" spans="1:30" s="608" customFormat="1" ht="14.25" customHeight="1">
      <c r="A185" s="491" t="s">
        <v>1102</v>
      </c>
      <c r="B185" s="491" t="s">
        <v>1103</v>
      </c>
      <c r="C185" s="491"/>
      <c r="D185" s="491"/>
      <c r="E185" s="653" t="s">
        <v>487</v>
      </c>
      <c r="F185" s="653" t="s">
        <v>1077</v>
      </c>
      <c r="G185" s="645">
        <v>41418</v>
      </c>
      <c r="H185" s="644">
        <v>396744</v>
      </c>
      <c r="I185" s="644"/>
      <c r="J185" s="644"/>
      <c r="K185" s="747" t="s">
        <v>1502</v>
      </c>
      <c r="L185" s="645"/>
      <c r="M185" s="644"/>
      <c r="N185" s="644"/>
      <c r="O185" s="644"/>
      <c r="P185" s="644"/>
      <c r="Q185" s="644"/>
      <c r="R185" s="644">
        <v>0</v>
      </c>
      <c r="S185" s="747"/>
      <c r="T185" s="644"/>
      <c r="U185" s="653"/>
      <c r="V185" s="653"/>
      <c r="W185" s="653"/>
      <c r="X185" s="581"/>
      <c r="Z185" s="681">
        <v>41603</v>
      </c>
      <c r="AC185" s="608">
        <v>0</v>
      </c>
      <c r="AD185" s="665" t="e">
        <f>+XIRR(AC184:AC185,Z184:Z185)</f>
        <v>#NUM!</v>
      </c>
    </row>
    <row r="186" spans="1:30" s="608" customFormat="1" ht="14.25" customHeight="1">
      <c r="A186" s="491" t="s">
        <v>1102</v>
      </c>
      <c r="B186" s="491" t="s">
        <v>1104</v>
      </c>
      <c r="C186" s="491"/>
      <c r="D186" s="491"/>
      <c r="E186" s="653" t="s">
        <v>487</v>
      </c>
      <c r="F186" s="653" t="s">
        <v>1077</v>
      </c>
      <c r="G186" s="645">
        <v>40325</v>
      </c>
      <c r="H186" s="644">
        <v>8583</v>
      </c>
      <c r="I186" s="644">
        <v>80000</v>
      </c>
      <c r="J186" s="644">
        <v>686640000</v>
      </c>
      <c r="K186" s="747" t="s">
        <v>1082</v>
      </c>
      <c r="L186" s="645">
        <v>41274</v>
      </c>
      <c r="M186" s="644"/>
      <c r="N186" s="644"/>
      <c r="O186" s="644">
        <v>0</v>
      </c>
      <c r="P186" s="644"/>
      <c r="Q186" s="644">
        <v>-686640000</v>
      </c>
      <c r="R186" s="644">
        <v>0</v>
      </c>
      <c r="S186" s="747" t="s">
        <v>1501</v>
      </c>
      <c r="T186" s="644">
        <f>+J186+Q186</f>
        <v>0</v>
      </c>
      <c r="U186" s="653"/>
      <c r="V186" s="653"/>
      <c r="W186" s="653"/>
      <c r="X186" s="581"/>
      <c r="Y186" s="656" t="s">
        <v>1077</v>
      </c>
      <c r="Z186" s="642">
        <v>40339</v>
      </c>
      <c r="AA186" s="610"/>
      <c r="AB186" s="610"/>
      <c r="AC186" s="610">
        <v>-5150070000</v>
      </c>
      <c r="AD186" s="677"/>
    </row>
    <row r="187" spans="1:30" s="608" customFormat="1" ht="14.25" customHeight="1">
      <c r="A187" s="491" t="s">
        <v>1102</v>
      </c>
      <c r="B187" s="491" t="s">
        <v>1083</v>
      </c>
      <c r="C187" s="491"/>
      <c r="D187" s="491"/>
      <c r="E187" s="656" t="s">
        <v>487</v>
      </c>
      <c r="F187" s="656" t="s">
        <v>1077</v>
      </c>
      <c r="G187" s="642">
        <v>40339</v>
      </c>
      <c r="H187" s="610"/>
      <c r="I187" s="610"/>
      <c r="J187" s="610">
        <v>5150070000</v>
      </c>
      <c r="K187" s="612" t="s">
        <v>1084</v>
      </c>
      <c r="L187" s="642">
        <v>40430</v>
      </c>
      <c r="M187" s="610"/>
      <c r="N187" s="610"/>
      <c r="O187" s="610">
        <v>51923990</v>
      </c>
      <c r="P187" s="610"/>
      <c r="Q187" s="610">
        <v>0</v>
      </c>
      <c r="R187" s="610">
        <v>51923990</v>
      </c>
      <c r="S187" s="612" t="s">
        <v>493</v>
      </c>
      <c r="T187" s="767">
        <f>SUM(J187)</f>
        <v>5150070000</v>
      </c>
      <c r="U187" s="656"/>
      <c r="V187" s="656"/>
      <c r="W187" s="656"/>
      <c r="Z187" s="642">
        <v>40430</v>
      </c>
      <c r="AA187" s="610"/>
      <c r="AB187" s="610"/>
      <c r="AC187" s="610">
        <v>51923990</v>
      </c>
      <c r="AD187" s="677"/>
    </row>
    <row r="188" spans="1:30" s="608" customFormat="1" ht="14.25" customHeight="1">
      <c r="A188" s="491" t="s">
        <v>1102</v>
      </c>
      <c r="B188" s="491"/>
      <c r="C188" s="491"/>
      <c r="D188" s="491"/>
      <c r="E188" s="654" t="s">
        <v>487</v>
      </c>
      <c r="F188" s="654" t="s">
        <v>1077</v>
      </c>
      <c r="G188" s="643">
        <v>41485</v>
      </c>
      <c r="H188" s="657">
        <v>515007</v>
      </c>
      <c r="I188" s="657"/>
      <c r="J188" s="657"/>
      <c r="K188" s="471" t="s">
        <v>1493</v>
      </c>
      <c r="L188" s="652">
        <v>40521</v>
      </c>
      <c r="M188" s="657"/>
      <c r="N188" s="657"/>
      <c r="O188" s="657">
        <v>51359599</v>
      </c>
      <c r="P188" s="657"/>
      <c r="Q188" s="657">
        <v>0</v>
      </c>
      <c r="R188" s="657">
        <v>51359599</v>
      </c>
      <c r="S188" s="650" t="s">
        <v>493</v>
      </c>
      <c r="T188" s="657"/>
      <c r="U188" s="654"/>
      <c r="V188" s="654"/>
      <c r="W188" s="654"/>
      <c r="Z188" s="652">
        <v>40521</v>
      </c>
      <c r="AA188" s="657"/>
      <c r="AB188" s="657"/>
      <c r="AC188" s="657">
        <v>51359599</v>
      </c>
      <c r="AD188" s="677"/>
    </row>
    <row r="189" spans="1:30" s="608" customFormat="1" ht="14.25" customHeight="1">
      <c r="A189" s="491" t="s">
        <v>1102</v>
      </c>
      <c r="B189" s="491"/>
      <c r="C189" s="491"/>
      <c r="D189" s="491"/>
      <c r="E189" s="654" t="s">
        <v>487</v>
      </c>
      <c r="F189" s="654" t="s">
        <v>1077</v>
      </c>
      <c r="G189" s="652"/>
      <c r="H189" s="657"/>
      <c r="I189" s="657"/>
      <c r="J189" s="657"/>
      <c r="K189" s="650"/>
      <c r="L189" s="652">
        <v>40611</v>
      </c>
      <c r="M189" s="657"/>
      <c r="N189" s="657"/>
      <c r="O189" s="657">
        <v>50795208</v>
      </c>
      <c r="P189" s="657"/>
      <c r="Q189" s="657"/>
      <c r="R189" s="657">
        <v>50795208</v>
      </c>
      <c r="S189" s="650" t="s">
        <v>493</v>
      </c>
      <c r="T189" s="657"/>
      <c r="U189" s="654"/>
      <c r="V189" s="654"/>
      <c r="W189" s="654"/>
      <c r="Z189" s="652">
        <v>40611</v>
      </c>
      <c r="AA189" s="657"/>
      <c r="AB189" s="657"/>
      <c r="AC189" s="657">
        <v>50795208</v>
      </c>
      <c r="AD189" s="677"/>
    </row>
    <row r="190" spans="1:30" s="608" customFormat="1" ht="14.25" customHeight="1">
      <c r="A190" s="491" t="s">
        <v>1102</v>
      </c>
      <c r="B190" s="491"/>
      <c r="C190" s="491"/>
      <c r="D190" s="491"/>
      <c r="E190" s="476" t="s">
        <v>487</v>
      </c>
      <c r="F190" s="476" t="s">
        <v>1077</v>
      </c>
      <c r="G190" s="646"/>
      <c r="H190" s="647"/>
      <c r="I190" s="647"/>
      <c r="J190" s="647"/>
      <c r="K190" s="746"/>
      <c r="L190" s="646">
        <v>40703</v>
      </c>
      <c r="M190" s="647"/>
      <c r="N190" s="647"/>
      <c r="O190" s="647">
        <v>51923990</v>
      </c>
      <c r="P190" s="647"/>
      <c r="Q190" s="647"/>
      <c r="R190" s="647">
        <v>51923990</v>
      </c>
      <c r="S190" s="746" t="s">
        <v>493</v>
      </c>
      <c r="T190" s="647"/>
      <c r="U190" s="476"/>
      <c r="V190" s="476"/>
      <c r="W190" s="476"/>
      <c r="Z190" s="646">
        <v>40703</v>
      </c>
      <c r="AA190" s="647"/>
      <c r="AB190" s="647"/>
      <c r="AC190" s="647">
        <v>51923990</v>
      </c>
      <c r="AD190" s="677"/>
    </row>
    <row r="191" spans="1:30" s="608" customFormat="1" ht="14.25" customHeight="1">
      <c r="A191" s="491" t="s">
        <v>1102</v>
      </c>
      <c r="B191" s="491"/>
      <c r="C191" s="491"/>
      <c r="D191" s="491"/>
      <c r="E191" s="476" t="s">
        <v>487</v>
      </c>
      <c r="F191" s="476" t="s">
        <v>1077</v>
      </c>
      <c r="G191" s="646"/>
      <c r="H191" s="647"/>
      <c r="I191" s="647"/>
      <c r="J191" s="647"/>
      <c r="K191" s="746"/>
      <c r="L191" s="646">
        <v>40795</v>
      </c>
      <c r="M191" s="647"/>
      <c r="N191" s="647"/>
      <c r="O191" s="647">
        <v>51923990</v>
      </c>
      <c r="P191" s="647"/>
      <c r="Q191" s="647"/>
      <c r="R191" s="647">
        <v>51923990</v>
      </c>
      <c r="S191" s="746" t="s">
        <v>493</v>
      </c>
      <c r="T191" s="657"/>
      <c r="U191" s="476"/>
      <c r="V191" s="476"/>
      <c r="W191" s="476"/>
      <c r="Z191" s="646">
        <v>40795</v>
      </c>
      <c r="AA191" s="647"/>
      <c r="AB191" s="647"/>
      <c r="AC191" s="647">
        <v>51923990</v>
      </c>
      <c r="AD191" s="677"/>
    </row>
    <row r="192" spans="1:30" s="608" customFormat="1" ht="14.25" customHeight="1">
      <c r="A192" s="491" t="s">
        <v>1102</v>
      </c>
      <c r="B192" s="491"/>
      <c r="C192" s="491"/>
      <c r="D192" s="491"/>
      <c r="E192" s="654" t="s">
        <v>487</v>
      </c>
      <c r="F192" s="654" t="s">
        <v>1077</v>
      </c>
      <c r="G192" s="652"/>
      <c r="H192" s="657"/>
      <c r="I192" s="657"/>
      <c r="J192" s="657"/>
      <c r="K192" s="650"/>
      <c r="L192" s="652">
        <v>40886</v>
      </c>
      <c r="M192" s="657"/>
      <c r="N192" s="657"/>
      <c r="O192" s="657">
        <v>51359599</v>
      </c>
      <c r="P192" s="657"/>
      <c r="Q192" s="657"/>
      <c r="R192" s="657">
        <v>51359599</v>
      </c>
      <c r="S192" s="650" t="s">
        <v>493</v>
      </c>
      <c r="T192" s="657"/>
      <c r="U192" s="655"/>
      <c r="V192" s="655"/>
      <c r="W192" s="655"/>
      <c r="Z192" s="652">
        <v>40886</v>
      </c>
      <c r="AA192" s="657"/>
      <c r="AB192" s="657"/>
      <c r="AC192" s="657">
        <v>51359599</v>
      </c>
      <c r="AD192" s="677"/>
    </row>
    <row r="193" spans="1:37" s="608" customFormat="1" ht="14.25" customHeight="1">
      <c r="A193" s="491" t="s">
        <v>1102</v>
      </c>
      <c r="B193" s="491"/>
      <c r="C193" s="491"/>
      <c r="D193" s="491"/>
      <c r="E193" s="654" t="s">
        <v>487</v>
      </c>
      <c r="F193" s="654" t="s">
        <v>1077</v>
      </c>
      <c r="G193" s="652"/>
      <c r="H193" s="657"/>
      <c r="I193" s="657"/>
      <c r="J193" s="657"/>
      <c r="K193" s="650"/>
      <c r="L193" s="652">
        <v>40977</v>
      </c>
      <c r="M193" s="657"/>
      <c r="N193" s="657"/>
      <c r="O193" s="657">
        <v>51359599</v>
      </c>
      <c r="P193" s="657"/>
      <c r="Q193" s="657"/>
      <c r="R193" s="657">
        <v>51359599</v>
      </c>
      <c r="S193" s="650" t="s">
        <v>493</v>
      </c>
      <c r="T193" s="657"/>
      <c r="U193" s="653"/>
      <c r="V193" s="653"/>
      <c r="W193" s="653"/>
      <c r="Z193" s="652">
        <v>40977</v>
      </c>
      <c r="AA193" s="657"/>
      <c r="AB193" s="657"/>
      <c r="AC193" s="657">
        <v>51359599</v>
      </c>
      <c r="AD193" s="677"/>
    </row>
    <row r="194" spans="1:37" s="608" customFormat="1" ht="14.25" customHeight="1">
      <c r="A194" s="491" t="s">
        <v>1102</v>
      </c>
      <c r="B194" s="491"/>
      <c r="C194" s="491"/>
      <c r="D194" s="491"/>
      <c r="E194" s="654" t="s">
        <v>487</v>
      </c>
      <c r="F194" s="654" t="s">
        <v>1077</v>
      </c>
      <c r="G194" s="652"/>
      <c r="H194" s="657"/>
      <c r="I194" s="657"/>
      <c r="J194" s="657"/>
      <c r="K194" s="650"/>
      <c r="L194" s="652">
        <v>41071</v>
      </c>
      <c r="M194" s="657"/>
      <c r="N194" s="657"/>
      <c r="O194" s="657">
        <v>53052774</v>
      </c>
      <c r="P194" s="657"/>
      <c r="Q194" s="657"/>
      <c r="R194" s="657">
        <v>53052774</v>
      </c>
      <c r="S194" s="650" t="s">
        <v>493</v>
      </c>
      <c r="T194" s="657"/>
      <c r="U194" s="653"/>
      <c r="V194" s="653"/>
      <c r="W194" s="653"/>
      <c r="Z194" s="652">
        <v>41071</v>
      </c>
      <c r="AA194" s="657"/>
      <c r="AB194" s="657"/>
      <c r="AC194" s="657">
        <v>53052774</v>
      </c>
      <c r="AD194" s="677"/>
    </row>
    <row r="195" spans="1:37" s="608" customFormat="1" ht="14.25" customHeight="1">
      <c r="A195" s="491" t="s">
        <v>1102</v>
      </c>
      <c r="B195" s="491"/>
      <c r="C195" s="491"/>
      <c r="D195" s="491"/>
      <c r="E195" s="654" t="s">
        <v>487</v>
      </c>
      <c r="F195" s="654" t="s">
        <v>1077</v>
      </c>
      <c r="G195" s="652"/>
      <c r="H195" s="657"/>
      <c r="I195" s="657"/>
      <c r="J195" s="657"/>
      <c r="K195" s="650"/>
      <c r="L195" s="652">
        <v>41162</v>
      </c>
      <c r="M195" s="657"/>
      <c r="N195" s="657"/>
      <c r="O195" s="657">
        <v>51359599</v>
      </c>
      <c r="P195" s="657"/>
      <c r="Q195" s="657"/>
      <c r="R195" s="657">
        <v>53052774</v>
      </c>
      <c r="S195" s="650" t="s">
        <v>493</v>
      </c>
      <c r="T195" s="657"/>
      <c r="U195" s="653"/>
      <c r="V195" s="653"/>
      <c r="W195" s="653"/>
      <c r="Z195" s="652">
        <v>41162</v>
      </c>
      <c r="AA195" s="657"/>
      <c r="AB195" s="657"/>
      <c r="AC195" s="657">
        <v>51359599</v>
      </c>
      <c r="AD195" s="677"/>
    </row>
    <row r="196" spans="1:37" s="608" customFormat="1" ht="14.25" customHeight="1">
      <c r="A196" s="491" t="s">
        <v>1102</v>
      </c>
      <c r="B196" s="491"/>
      <c r="C196" s="491"/>
      <c r="D196" s="491"/>
      <c r="E196" s="654" t="s">
        <v>487</v>
      </c>
      <c r="F196" s="654" t="s">
        <v>1077</v>
      </c>
      <c r="G196" s="652"/>
      <c r="H196" s="657"/>
      <c r="I196" s="657"/>
      <c r="J196" s="657"/>
      <c r="K196" s="650"/>
      <c r="L196" s="652">
        <v>41253</v>
      </c>
      <c r="M196" s="657"/>
      <c r="N196" s="657"/>
      <c r="O196" s="657">
        <v>51359599</v>
      </c>
      <c r="P196" s="657"/>
      <c r="Q196" s="657"/>
      <c r="R196" s="657">
        <v>53052774</v>
      </c>
      <c r="S196" s="650" t="s">
        <v>493</v>
      </c>
      <c r="T196" s="657"/>
      <c r="U196" s="653"/>
      <c r="V196" s="653"/>
      <c r="W196" s="653"/>
      <c r="Z196" s="652">
        <v>41253</v>
      </c>
      <c r="AA196" s="657"/>
      <c r="AB196" s="657"/>
      <c r="AC196" s="657">
        <v>51359599</v>
      </c>
      <c r="AD196" s="677"/>
    </row>
    <row r="197" spans="1:37" s="608" customFormat="1" ht="14.25" customHeight="1">
      <c r="A197" s="491" t="s">
        <v>1102</v>
      </c>
      <c r="B197" s="491"/>
      <c r="C197" s="491"/>
      <c r="D197" s="491"/>
      <c r="E197" s="654" t="s">
        <v>487</v>
      </c>
      <c r="F197" s="654" t="s">
        <v>1077</v>
      </c>
      <c r="G197" s="652"/>
      <c r="H197" s="657"/>
      <c r="I197" s="657"/>
      <c r="J197" s="657"/>
      <c r="K197" s="650"/>
      <c r="L197" s="652">
        <v>41274</v>
      </c>
      <c r="M197" s="657"/>
      <c r="N197" s="657"/>
      <c r="O197" s="657">
        <v>0</v>
      </c>
      <c r="P197" s="657"/>
      <c r="Q197" s="657">
        <v>-1363387225</v>
      </c>
      <c r="R197" s="657">
        <f>+O197+Q197</f>
        <v>-1363387225</v>
      </c>
      <c r="S197" s="650" t="s">
        <v>1501</v>
      </c>
      <c r="T197" s="657"/>
      <c r="U197" s="653"/>
      <c r="V197" s="653"/>
      <c r="W197" s="653"/>
      <c r="Z197" s="643">
        <v>41344</v>
      </c>
      <c r="AA197" s="635"/>
      <c r="AB197" s="635"/>
      <c r="AC197" s="635">
        <v>51359599</v>
      </c>
      <c r="AD197" s="677"/>
    </row>
    <row r="198" spans="1:37" ht="14.25" customHeight="1">
      <c r="A198" s="474" t="s">
        <v>1102</v>
      </c>
      <c r="B198" s="474"/>
      <c r="C198" s="474"/>
      <c r="D198" s="474"/>
      <c r="E198" s="450" t="s">
        <v>487</v>
      </c>
      <c r="F198" s="654" t="s">
        <v>1077</v>
      </c>
      <c r="G198" s="643"/>
      <c r="H198" s="635"/>
      <c r="I198" s="635"/>
      <c r="J198" s="635"/>
      <c r="K198" s="471"/>
      <c r="L198" s="643">
        <v>41344</v>
      </c>
      <c r="M198" s="635"/>
      <c r="N198" s="635"/>
      <c r="O198" s="635">
        <v>51359599</v>
      </c>
      <c r="P198" s="635"/>
      <c r="Q198" s="635"/>
      <c r="R198" s="657">
        <v>53052774</v>
      </c>
      <c r="S198" s="650" t="s">
        <v>493</v>
      </c>
      <c r="T198" s="657"/>
      <c r="U198" s="653"/>
      <c r="V198" s="653"/>
      <c r="W198" s="653"/>
      <c r="Z198" s="518">
        <v>41435</v>
      </c>
      <c r="AA198" s="452"/>
      <c r="AB198" s="452"/>
      <c r="AC198" s="635">
        <v>51359599</v>
      </c>
    </row>
    <row r="199" spans="1:37" ht="14.25" customHeight="1">
      <c r="A199" s="474" t="s">
        <v>1102</v>
      </c>
      <c r="B199" s="474"/>
      <c r="C199" s="474"/>
      <c r="D199" s="474"/>
      <c r="E199" s="450" t="s">
        <v>487</v>
      </c>
      <c r="F199" s="654" t="s">
        <v>1077</v>
      </c>
      <c r="G199" s="518"/>
      <c r="H199" s="452"/>
      <c r="I199" s="452"/>
      <c r="J199" s="452"/>
      <c r="K199" s="557"/>
      <c r="L199" s="518">
        <v>41435</v>
      </c>
      <c r="M199" s="452"/>
      <c r="N199" s="452"/>
      <c r="O199" s="635">
        <v>51359599</v>
      </c>
      <c r="P199" s="452"/>
      <c r="Q199" s="452"/>
      <c r="R199" s="657">
        <v>53052774</v>
      </c>
      <c r="S199" s="650" t="s">
        <v>493</v>
      </c>
      <c r="T199" s="647"/>
      <c r="U199" s="653"/>
      <c r="V199" s="653"/>
      <c r="W199" s="653"/>
      <c r="Z199" s="457">
        <v>41527</v>
      </c>
      <c r="AA199" s="636"/>
      <c r="AB199" s="636"/>
      <c r="AC199" s="636">
        <v>51359599</v>
      </c>
    </row>
    <row r="200" spans="1:37" ht="14.25" customHeight="1">
      <c r="A200" s="474" t="s">
        <v>1102</v>
      </c>
      <c r="B200" s="474"/>
      <c r="C200" s="474"/>
      <c r="D200" s="474"/>
      <c r="E200" s="449" t="s">
        <v>487</v>
      </c>
      <c r="F200" s="655" t="s">
        <v>1077</v>
      </c>
      <c r="G200" s="457"/>
      <c r="H200" s="636"/>
      <c r="I200" s="636"/>
      <c r="J200" s="636"/>
      <c r="K200" s="470"/>
      <c r="L200" s="457">
        <v>41527</v>
      </c>
      <c r="M200" s="636"/>
      <c r="N200" s="636"/>
      <c r="O200" s="636">
        <v>51359599</v>
      </c>
      <c r="P200" s="636"/>
      <c r="Q200" s="636"/>
      <c r="R200" s="614">
        <v>51359599</v>
      </c>
      <c r="S200" s="613" t="s">
        <v>493</v>
      </c>
      <c r="T200" s="758"/>
      <c r="U200" s="653"/>
      <c r="V200" s="653"/>
      <c r="W200" s="653"/>
      <c r="Z200" s="624">
        <v>41634</v>
      </c>
      <c r="AC200" s="625">
        <f>+T200</f>
        <v>0</v>
      </c>
      <c r="AD200" s="665">
        <f>+XIRR(AC186:AC200,Z186:Z200)</f>
        <v>-0.61444614008069043</v>
      </c>
    </row>
    <row r="201" spans="1:37" ht="14.25" customHeight="1">
      <c r="A201" s="474" t="s">
        <v>1102</v>
      </c>
      <c r="B201" s="474"/>
      <c r="C201" s="474"/>
      <c r="D201" s="474"/>
      <c r="E201" s="449" t="s">
        <v>487</v>
      </c>
      <c r="F201" s="655" t="s">
        <v>1077</v>
      </c>
      <c r="G201" s="457"/>
      <c r="H201" s="636"/>
      <c r="I201" s="636"/>
      <c r="J201" s="636"/>
      <c r="K201" s="470"/>
      <c r="L201" s="546">
        <v>41639</v>
      </c>
      <c r="M201" s="590"/>
      <c r="N201" s="590"/>
      <c r="O201" s="590">
        <v>0</v>
      </c>
      <c r="P201" s="590"/>
      <c r="Q201" s="590">
        <v>501479216</v>
      </c>
      <c r="R201" s="644">
        <f>O201+Q201</f>
        <v>501479216</v>
      </c>
      <c r="S201" s="747" t="s">
        <v>1503</v>
      </c>
      <c r="T201" s="758">
        <f>+SUM(J186:J201)+SUM(Q186:Q201)</f>
        <v>4288161991</v>
      </c>
      <c r="U201" s="653"/>
      <c r="V201" s="653"/>
      <c r="W201" s="653"/>
      <c r="Z201" s="624"/>
      <c r="AC201" s="625"/>
    </row>
    <row r="202" spans="1:37" ht="14.25" customHeight="1">
      <c r="A202" s="475" t="s">
        <v>1102</v>
      </c>
      <c r="B202" s="511"/>
      <c r="C202" s="511"/>
      <c r="D202" s="511"/>
      <c r="E202" s="547" t="s">
        <v>1101</v>
      </c>
      <c r="F202" s="472"/>
      <c r="G202" s="543"/>
      <c r="H202" s="548">
        <v>969927</v>
      </c>
      <c r="I202" s="548"/>
      <c r="J202" s="550">
        <f>SUM(J184:J200)</f>
        <v>10300080000</v>
      </c>
      <c r="K202" s="549"/>
      <c r="L202" s="544"/>
      <c r="M202" s="548"/>
      <c r="N202" s="548"/>
      <c r="O202" s="550">
        <f>SUM(O184:O201)</f>
        <v>670496744</v>
      </c>
      <c r="P202" s="550">
        <f>SUM(P184:P200)</f>
        <v>0</v>
      </c>
      <c r="Q202" s="550">
        <f>SUM(Q184:Q201)</f>
        <v>-6011918009</v>
      </c>
      <c r="R202" s="550">
        <f>SUM(R184:R201)</f>
        <v>-184638565</v>
      </c>
      <c r="S202" s="550">
        <f>SUM(S184:S201)</f>
        <v>0</v>
      </c>
      <c r="T202" s="550">
        <f>SUM(T184:T200)</f>
        <v>5150070000</v>
      </c>
      <c r="U202" s="550"/>
      <c r="V202" s="472"/>
      <c r="W202" s="472"/>
    </row>
    <row r="203" spans="1:37" ht="14.25" customHeight="1">
      <c r="A203" s="473" t="s">
        <v>1105</v>
      </c>
      <c r="B203" s="473" t="s">
        <v>1103</v>
      </c>
      <c r="C203" s="473"/>
      <c r="D203" s="473"/>
      <c r="E203" s="456" t="s">
        <v>487</v>
      </c>
      <c r="F203" s="456" t="s">
        <v>1077</v>
      </c>
      <c r="G203" s="638">
        <v>40325</v>
      </c>
      <c r="H203" s="634">
        <v>24075</v>
      </c>
      <c r="I203" s="634">
        <v>90000</v>
      </c>
      <c r="J203" s="634">
        <v>2166750000</v>
      </c>
      <c r="K203" s="469" t="s">
        <v>1078</v>
      </c>
      <c r="L203" s="638"/>
      <c r="M203" s="634"/>
      <c r="N203" s="634"/>
      <c r="O203" s="634"/>
      <c r="P203" s="634"/>
      <c r="Q203" s="634"/>
      <c r="R203" s="610">
        <v>0</v>
      </c>
      <c r="S203" s="612"/>
      <c r="T203" s="529">
        <f>+SUM(J203:J204)-SUM(Q203:Q204)</f>
        <v>2166750000</v>
      </c>
      <c r="U203" s="475"/>
      <c r="V203" s="475"/>
      <c r="W203" s="475"/>
      <c r="Y203" s="473" t="s">
        <v>1077</v>
      </c>
      <c r="Z203" s="564">
        <v>40325</v>
      </c>
      <c r="AA203" s="591">
        <v>24075</v>
      </c>
      <c r="AB203" s="591">
        <v>90000</v>
      </c>
      <c r="AC203" s="591">
        <v>-2166750000</v>
      </c>
    </row>
    <row r="204" spans="1:37" ht="14.25" customHeight="1">
      <c r="A204" s="474" t="s">
        <v>1105</v>
      </c>
      <c r="B204" s="474" t="s">
        <v>1103</v>
      </c>
      <c r="C204" s="474"/>
      <c r="D204" s="474"/>
      <c r="E204" s="450" t="s">
        <v>487</v>
      </c>
      <c r="F204" s="450" t="s">
        <v>1077</v>
      </c>
      <c r="G204" s="652">
        <v>41418</v>
      </c>
      <c r="H204" s="657">
        <v>192600</v>
      </c>
      <c r="I204" s="657"/>
      <c r="J204" s="657"/>
      <c r="K204" s="650" t="s">
        <v>1504</v>
      </c>
      <c r="L204" s="643"/>
      <c r="M204" s="635"/>
      <c r="N204" s="635"/>
      <c r="O204" s="635"/>
      <c r="P204" s="635"/>
      <c r="Q204" s="635"/>
      <c r="R204" s="657">
        <v>0</v>
      </c>
      <c r="S204" s="650"/>
      <c r="T204" s="657"/>
      <c r="U204" s="475"/>
      <c r="V204" s="475"/>
      <c r="W204" s="475"/>
      <c r="Z204" s="624">
        <v>41603</v>
      </c>
      <c r="AC204" s="625">
        <f>+-AC203</f>
        <v>2166750000</v>
      </c>
      <c r="AD204" s="665">
        <f>+XIRR(AC203:AC204,Z203:Z204)</f>
        <v>2.9802322387695314E-9</v>
      </c>
    </row>
    <row r="205" spans="1:37" ht="14.25" customHeight="1">
      <c r="A205" s="474" t="s">
        <v>1105</v>
      </c>
      <c r="B205" s="474" t="s">
        <v>1083</v>
      </c>
      <c r="C205" s="474"/>
      <c r="D205" s="474"/>
      <c r="E205" s="450" t="s">
        <v>487</v>
      </c>
      <c r="F205" s="450" t="s">
        <v>1077</v>
      </c>
      <c r="G205" s="643">
        <v>40325</v>
      </c>
      <c r="H205" s="635">
        <v>4167</v>
      </c>
      <c r="I205" s="635">
        <v>80000</v>
      </c>
      <c r="J205" s="635">
        <v>333360000</v>
      </c>
      <c r="K205" s="471" t="s">
        <v>1082</v>
      </c>
      <c r="L205" s="643"/>
      <c r="M205" s="635"/>
      <c r="N205" s="635"/>
      <c r="O205" s="635"/>
      <c r="P205" s="635"/>
      <c r="Q205" s="635"/>
      <c r="R205" s="657">
        <v>0</v>
      </c>
      <c r="S205" s="650"/>
      <c r="T205" s="657">
        <f>+J205-Q205</f>
        <v>333360000</v>
      </c>
      <c r="U205" s="475"/>
      <c r="V205" s="475"/>
      <c r="W205" s="475"/>
      <c r="Y205" s="475" t="s">
        <v>1077</v>
      </c>
      <c r="Z205" s="546">
        <v>40325</v>
      </c>
      <c r="AA205" s="590">
        <v>4167</v>
      </c>
      <c r="AB205" s="590">
        <v>80000</v>
      </c>
      <c r="AC205" s="590">
        <v>-333360000</v>
      </c>
    </row>
    <row r="206" spans="1:37" ht="14.25" customHeight="1">
      <c r="A206" s="512" t="s">
        <v>1105</v>
      </c>
      <c r="B206" s="512"/>
      <c r="C206" s="512"/>
      <c r="D206" s="512"/>
      <c r="E206" s="450" t="s">
        <v>487</v>
      </c>
      <c r="F206" s="654" t="s">
        <v>1077</v>
      </c>
      <c r="G206" s="643">
        <v>40339</v>
      </c>
      <c r="H206" s="635"/>
      <c r="I206" s="635"/>
      <c r="J206" s="635">
        <v>2500020000</v>
      </c>
      <c r="K206" s="471" t="s">
        <v>1084</v>
      </c>
      <c r="L206" s="643">
        <v>40430</v>
      </c>
      <c r="M206" s="635"/>
      <c r="N206" s="635"/>
      <c r="O206" s="635">
        <v>25205677</v>
      </c>
      <c r="P206" s="635"/>
      <c r="Q206" s="635">
        <v>0</v>
      </c>
      <c r="R206" s="657">
        <v>25205677</v>
      </c>
      <c r="S206" s="650" t="s">
        <v>493</v>
      </c>
      <c r="T206" s="745">
        <f>+SUM(J206:J217)-SUM(Q206:Q217)</f>
        <v>2500020000</v>
      </c>
      <c r="U206" s="656"/>
      <c r="V206" s="656"/>
      <c r="W206" s="656"/>
      <c r="Z206" s="624">
        <v>41603</v>
      </c>
      <c r="AC206" s="625">
        <f>+-AC205</f>
        <v>333360000</v>
      </c>
      <c r="AD206" s="665">
        <f>+XIRR(AC205:AC206,Z205:Z206)</f>
        <v>2.9802322387695314E-9</v>
      </c>
      <c r="AG206" s="656" t="s">
        <v>1077</v>
      </c>
      <c r="AH206" s="638">
        <v>40339</v>
      </c>
      <c r="AI206" s="634"/>
      <c r="AJ206" s="634"/>
      <c r="AK206" s="634">
        <v>-2500020000</v>
      </c>
    </row>
    <row r="207" spans="1:37" ht="14.25" customHeight="1">
      <c r="A207" s="450" t="s">
        <v>1105</v>
      </c>
      <c r="B207" s="450"/>
      <c r="C207" s="450"/>
      <c r="D207" s="450"/>
      <c r="E207" s="450" t="s">
        <v>487</v>
      </c>
      <c r="F207" s="654" t="s">
        <v>1077</v>
      </c>
      <c r="G207" s="643">
        <v>41485</v>
      </c>
      <c r="H207" s="635">
        <v>250002</v>
      </c>
      <c r="I207" s="635"/>
      <c r="J207" s="635"/>
      <c r="K207" s="471" t="s">
        <v>1493</v>
      </c>
      <c r="L207" s="643">
        <v>40521</v>
      </c>
      <c r="M207" s="635"/>
      <c r="N207" s="635"/>
      <c r="O207" s="635">
        <v>24931703</v>
      </c>
      <c r="P207" s="635"/>
      <c r="Q207" s="635">
        <v>0</v>
      </c>
      <c r="R207" s="657">
        <v>24931703</v>
      </c>
      <c r="S207" s="650" t="s">
        <v>493</v>
      </c>
      <c r="T207" s="657"/>
      <c r="U207" s="654"/>
      <c r="V207" s="654"/>
      <c r="W207" s="654"/>
      <c r="AH207" s="638">
        <v>40430</v>
      </c>
      <c r="AI207" s="634"/>
      <c r="AJ207" s="634"/>
      <c r="AK207" s="634">
        <v>25205677</v>
      </c>
    </row>
    <row r="208" spans="1:37" ht="14.25" customHeight="1">
      <c r="A208" s="450" t="s">
        <v>1105</v>
      </c>
      <c r="B208" s="450"/>
      <c r="C208" s="450"/>
      <c r="D208" s="450"/>
      <c r="E208" s="450" t="s">
        <v>487</v>
      </c>
      <c r="F208" s="654" t="s">
        <v>1077</v>
      </c>
      <c r="G208" s="643"/>
      <c r="H208" s="635"/>
      <c r="I208" s="635"/>
      <c r="J208" s="635"/>
      <c r="K208" s="471"/>
      <c r="L208" s="643">
        <v>40611</v>
      </c>
      <c r="M208" s="635"/>
      <c r="N208" s="635"/>
      <c r="O208" s="635">
        <v>24657728</v>
      </c>
      <c r="P208" s="635"/>
      <c r="Q208" s="635">
        <v>0</v>
      </c>
      <c r="R208" s="657">
        <v>24657728</v>
      </c>
      <c r="S208" s="650" t="s">
        <v>493</v>
      </c>
      <c r="T208" s="657"/>
      <c r="U208" s="654"/>
      <c r="V208" s="654"/>
      <c r="W208" s="654"/>
      <c r="AH208" s="643">
        <v>40521</v>
      </c>
      <c r="AI208" s="635"/>
      <c r="AJ208" s="635"/>
      <c r="AK208" s="635">
        <v>24931703</v>
      </c>
    </row>
    <row r="209" spans="1:38" ht="14.25" customHeight="1">
      <c r="A209" s="545" t="s">
        <v>1105</v>
      </c>
      <c r="B209" s="450"/>
      <c r="C209" s="450"/>
      <c r="D209" s="450"/>
      <c r="E209" s="450" t="s">
        <v>487</v>
      </c>
      <c r="F209" s="654" t="s">
        <v>1077</v>
      </c>
      <c r="G209" s="643"/>
      <c r="H209" s="635"/>
      <c r="I209" s="635"/>
      <c r="J209" s="635"/>
      <c r="K209" s="471"/>
      <c r="L209" s="643">
        <v>40703</v>
      </c>
      <c r="M209" s="635"/>
      <c r="N209" s="635"/>
      <c r="O209" s="635">
        <v>25205677</v>
      </c>
      <c r="P209" s="635"/>
      <c r="Q209" s="635">
        <v>0</v>
      </c>
      <c r="R209" s="657">
        <v>25205677</v>
      </c>
      <c r="S209" s="650" t="s">
        <v>493</v>
      </c>
      <c r="T209" s="657"/>
      <c r="U209" s="654"/>
      <c r="V209" s="654"/>
      <c r="W209" s="654"/>
      <c r="AH209" s="643">
        <v>40611</v>
      </c>
      <c r="AI209" s="635"/>
      <c r="AJ209" s="635"/>
      <c r="AK209" s="635">
        <v>24657728</v>
      </c>
    </row>
    <row r="210" spans="1:38" ht="14.25" customHeight="1">
      <c r="A210" s="545" t="s">
        <v>1105</v>
      </c>
      <c r="B210" s="450"/>
      <c r="C210" s="450"/>
      <c r="D210" s="450"/>
      <c r="E210" s="450" t="s">
        <v>487</v>
      </c>
      <c r="F210" s="654" t="s">
        <v>1077</v>
      </c>
      <c r="G210" s="643"/>
      <c r="H210" s="635"/>
      <c r="I210" s="635"/>
      <c r="J210" s="635"/>
      <c r="K210" s="471"/>
      <c r="L210" s="643">
        <v>40795</v>
      </c>
      <c r="M210" s="635"/>
      <c r="N210" s="635"/>
      <c r="O210" s="635">
        <v>25205668</v>
      </c>
      <c r="P210" s="635"/>
      <c r="Q210" s="635">
        <v>0</v>
      </c>
      <c r="R210" s="657">
        <v>25205668</v>
      </c>
      <c r="S210" s="650" t="s">
        <v>493</v>
      </c>
      <c r="T210" s="657"/>
      <c r="U210" s="654"/>
      <c r="V210" s="654"/>
      <c r="W210" s="654"/>
      <c r="AH210" s="643">
        <v>40703</v>
      </c>
      <c r="AI210" s="635"/>
      <c r="AJ210" s="635"/>
      <c r="AK210" s="635">
        <v>25205677</v>
      </c>
    </row>
    <row r="211" spans="1:38" ht="14.25" customHeight="1">
      <c r="A211" s="545" t="s">
        <v>1105</v>
      </c>
      <c r="B211" s="450"/>
      <c r="C211" s="450"/>
      <c r="D211" s="450"/>
      <c r="E211" s="450" t="s">
        <v>487</v>
      </c>
      <c r="F211" s="654" t="s">
        <v>1077</v>
      </c>
      <c r="G211" s="643"/>
      <c r="H211" s="635"/>
      <c r="I211" s="635"/>
      <c r="J211" s="635"/>
      <c r="K211" s="471"/>
      <c r="L211" s="643">
        <v>40886</v>
      </c>
      <c r="M211" s="635"/>
      <c r="N211" s="635"/>
      <c r="O211" s="635">
        <v>24931703</v>
      </c>
      <c r="P211" s="635"/>
      <c r="Q211" s="635">
        <v>0</v>
      </c>
      <c r="R211" s="657">
        <v>24931703</v>
      </c>
      <c r="S211" s="650" t="s">
        <v>493</v>
      </c>
      <c r="T211" s="657"/>
      <c r="U211" s="654"/>
      <c r="V211" s="654"/>
      <c r="W211" s="654"/>
      <c r="AH211" s="643">
        <v>40795</v>
      </c>
      <c r="AI211" s="635"/>
      <c r="AJ211" s="635"/>
      <c r="AK211" s="635">
        <v>25205668</v>
      </c>
    </row>
    <row r="212" spans="1:38" ht="14.25" customHeight="1">
      <c r="A212" s="545" t="s">
        <v>1105</v>
      </c>
      <c r="B212" s="450"/>
      <c r="C212" s="450"/>
      <c r="D212" s="450"/>
      <c r="E212" s="450" t="s">
        <v>487</v>
      </c>
      <c r="F212" s="654" t="s">
        <v>1077</v>
      </c>
      <c r="G212" s="643"/>
      <c r="H212" s="635"/>
      <c r="I212" s="635"/>
      <c r="J212" s="635"/>
      <c r="K212" s="471"/>
      <c r="L212" s="643">
        <v>40977</v>
      </c>
      <c r="M212" s="635"/>
      <c r="N212" s="635"/>
      <c r="O212" s="635">
        <v>24931703</v>
      </c>
      <c r="P212" s="635"/>
      <c r="Q212" s="635">
        <v>0</v>
      </c>
      <c r="R212" s="657">
        <v>24931703</v>
      </c>
      <c r="S212" s="650" t="s">
        <v>493</v>
      </c>
      <c r="T212" s="657"/>
      <c r="U212" s="491"/>
      <c r="V212" s="491"/>
      <c r="W212" s="491"/>
      <c r="AH212" s="643">
        <v>40886</v>
      </c>
      <c r="AI212" s="635"/>
      <c r="AJ212" s="635"/>
      <c r="AK212" s="635">
        <v>24931703</v>
      </c>
    </row>
    <row r="213" spans="1:38" ht="14.25" customHeight="1">
      <c r="A213" s="545" t="s">
        <v>1105</v>
      </c>
      <c r="B213" s="450"/>
      <c r="C213" s="450"/>
      <c r="D213" s="450"/>
      <c r="E213" s="450" t="s">
        <v>487</v>
      </c>
      <c r="F213" s="654" t="s">
        <v>1077</v>
      </c>
      <c r="G213" s="643"/>
      <c r="H213" s="635"/>
      <c r="I213" s="635"/>
      <c r="J213" s="635"/>
      <c r="K213" s="471"/>
      <c r="L213" s="643">
        <v>41071</v>
      </c>
      <c r="M213" s="635"/>
      <c r="N213" s="635"/>
      <c r="O213" s="635">
        <v>25753628</v>
      </c>
      <c r="P213" s="635"/>
      <c r="Q213" s="635">
        <v>0</v>
      </c>
      <c r="R213" s="657">
        <v>25753628</v>
      </c>
      <c r="S213" s="650" t="s">
        <v>493</v>
      </c>
      <c r="T213" s="657"/>
      <c r="U213" s="491"/>
      <c r="V213" s="491"/>
      <c r="W213" s="491"/>
      <c r="AH213" s="643">
        <v>40977</v>
      </c>
      <c r="AI213" s="635"/>
      <c r="AJ213" s="635"/>
      <c r="AK213" s="635">
        <v>24931703</v>
      </c>
    </row>
    <row r="214" spans="1:38" ht="14.25" customHeight="1">
      <c r="A214" s="545" t="s">
        <v>1105</v>
      </c>
      <c r="B214" s="450"/>
      <c r="C214" s="450"/>
      <c r="D214" s="450"/>
      <c r="E214" s="450" t="s">
        <v>487</v>
      </c>
      <c r="F214" s="654" t="s">
        <v>1077</v>
      </c>
      <c r="G214" s="643"/>
      <c r="H214" s="635"/>
      <c r="I214" s="635"/>
      <c r="J214" s="635"/>
      <c r="K214" s="471"/>
      <c r="L214" s="643">
        <v>41162</v>
      </c>
      <c r="M214" s="635"/>
      <c r="N214" s="635"/>
      <c r="O214" s="635">
        <v>24931703</v>
      </c>
      <c r="P214" s="635"/>
      <c r="Q214" s="635">
        <v>0</v>
      </c>
      <c r="R214" s="657">
        <v>24931703</v>
      </c>
      <c r="S214" s="650" t="s">
        <v>493</v>
      </c>
      <c r="T214" s="657"/>
      <c r="U214" s="491"/>
      <c r="V214" s="491"/>
      <c r="W214" s="491"/>
      <c r="AH214" s="643">
        <v>41071</v>
      </c>
      <c r="AI214" s="635"/>
      <c r="AJ214" s="635"/>
      <c r="AK214" s="635">
        <v>25753628</v>
      </c>
    </row>
    <row r="215" spans="1:38" ht="14.25" customHeight="1">
      <c r="A215" s="545" t="s">
        <v>1105</v>
      </c>
      <c r="B215" s="450"/>
      <c r="C215" s="450"/>
      <c r="D215" s="450"/>
      <c r="E215" s="450" t="s">
        <v>487</v>
      </c>
      <c r="F215" s="654" t="s">
        <v>1077</v>
      </c>
      <c r="G215" s="643"/>
      <c r="H215" s="635"/>
      <c r="I215" s="635"/>
      <c r="J215" s="635"/>
      <c r="K215" s="471"/>
      <c r="L215" s="643">
        <v>41253</v>
      </c>
      <c r="M215" s="635"/>
      <c r="N215" s="635"/>
      <c r="O215" s="635">
        <v>24931703</v>
      </c>
      <c r="P215" s="635"/>
      <c r="Q215" s="635">
        <v>0</v>
      </c>
      <c r="R215" s="657">
        <v>24931703</v>
      </c>
      <c r="S215" s="650" t="s">
        <v>493</v>
      </c>
      <c r="T215" s="614"/>
      <c r="U215" s="491"/>
      <c r="V215" s="491"/>
      <c r="W215" s="491"/>
      <c r="AH215" s="643">
        <v>41162</v>
      </c>
      <c r="AI215" s="635"/>
      <c r="AJ215" s="635"/>
      <c r="AK215" s="635">
        <v>24931703</v>
      </c>
    </row>
    <row r="216" spans="1:38" ht="14.25" customHeight="1">
      <c r="A216" s="545" t="s">
        <v>1105</v>
      </c>
      <c r="B216" s="450"/>
      <c r="C216" s="450"/>
      <c r="D216" s="450"/>
      <c r="E216" s="450" t="s">
        <v>487</v>
      </c>
      <c r="F216" s="654" t="s">
        <v>1077</v>
      </c>
      <c r="G216" s="643"/>
      <c r="H216" s="635"/>
      <c r="I216" s="635"/>
      <c r="J216" s="635"/>
      <c r="K216" s="471"/>
      <c r="L216" s="643">
        <v>41344</v>
      </c>
      <c r="M216" s="635"/>
      <c r="N216" s="635"/>
      <c r="O216" s="635">
        <v>24931703</v>
      </c>
      <c r="P216" s="635"/>
      <c r="Q216" s="635">
        <v>0</v>
      </c>
      <c r="R216" s="657">
        <v>24931703</v>
      </c>
      <c r="S216" s="650" t="s">
        <v>493</v>
      </c>
      <c r="T216" s="614"/>
      <c r="U216" s="491"/>
      <c r="V216" s="491"/>
      <c r="W216" s="491"/>
      <c r="AH216" s="643">
        <v>41253</v>
      </c>
      <c r="AI216" s="635"/>
      <c r="AJ216" s="635"/>
      <c r="AK216" s="635">
        <v>24931703</v>
      </c>
    </row>
    <row r="217" spans="1:38" ht="14.25" customHeight="1">
      <c r="A217" s="545" t="s">
        <v>1105</v>
      </c>
      <c r="B217" s="450"/>
      <c r="C217" s="450"/>
      <c r="D217" s="450"/>
      <c r="E217" s="449" t="s">
        <v>487</v>
      </c>
      <c r="F217" s="655" t="s">
        <v>1077</v>
      </c>
      <c r="G217" s="457"/>
      <c r="H217" s="636"/>
      <c r="I217" s="636"/>
      <c r="J217" s="636"/>
      <c r="K217" s="470"/>
      <c r="L217" s="457">
        <v>41435</v>
      </c>
      <c r="M217" s="636"/>
      <c r="N217" s="636"/>
      <c r="O217" s="636">
        <v>24931703</v>
      </c>
      <c r="P217" s="636"/>
      <c r="Q217" s="636">
        <v>0</v>
      </c>
      <c r="R217" s="614">
        <v>24931703</v>
      </c>
      <c r="S217" s="650" t="s">
        <v>493</v>
      </c>
      <c r="T217" s="614"/>
      <c r="U217" s="491"/>
      <c r="V217" s="491"/>
      <c r="W217" s="491"/>
      <c r="AH217" s="643">
        <v>41344</v>
      </c>
      <c r="AI217" s="635"/>
      <c r="AJ217" s="635"/>
      <c r="AK217" s="635">
        <v>24931703</v>
      </c>
    </row>
    <row r="218" spans="1:38" ht="14.25" customHeight="1">
      <c r="A218" s="545" t="s">
        <v>1105</v>
      </c>
      <c r="B218" s="450"/>
      <c r="C218" s="450"/>
      <c r="D218" s="450"/>
      <c r="E218" s="449" t="s">
        <v>487</v>
      </c>
      <c r="F218" s="655" t="s">
        <v>1077</v>
      </c>
      <c r="G218" s="457"/>
      <c r="H218" s="636"/>
      <c r="I218" s="636"/>
      <c r="J218" s="636"/>
      <c r="K218" s="470"/>
      <c r="L218" s="457">
        <v>41936</v>
      </c>
      <c r="M218" s="636"/>
      <c r="N218" s="636"/>
      <c r="O218" s="636">
        <v>17084000</v>
      </c>
      <c r="P218" s="636"/>
      <c r="Q218" s="636">
        <v>0</v>
      </c>
      <c r="R218" s="614">
        <f>O218</f>
        <v>17084000</v>
      </c>
      <c r="S218" s="650" t="s">
        <v>493</v>
      </c>
      <c r="T218" s="614"/>
      <c r="U218" s="491"/>
      <c r="V218" s="491"/>
      <c r="W218" s="491"/>
      <c r="AH218" s="643">
        <v>41344</v>
      </c>
      <c r="AI218" s="635"/>
      <c r="AJ218" s="635"/>
      <c r="AK218" s="635">
        <v>24931703</v>
      </c>
    </row>
    <row r="219" spans="1:38" ht="14.25" customHeight="1">
      <c r="A219" s="475" t="s">
        <v>1105</v>
      </c>
      <c r="B219" s="511"/>
      <c r="C219" s="511"/>
      <c r="D219" s="511"/>
      <c r="E219" s="466" t="s">
        <v>1101</v>
      </c>
      <c r="F219" s="467"/>
      <c r="G219" s="446"/>
      <c r="H219" s="498">
        <v>470844</v>
      </c>
      <c r="I219" s="498"/>
      <c r="J219" s="550">
        <v>5000130000</v>
      </c>
      <c r="K219" s="468"/>
      <c r="L219" s="447"/>
      <c r="M219" s="498"/>
      <c r="N219" s="498"/>
      <c r="O219" s="550">
        <f>SUM(O203:O218)</f>
        <v>317634299</v>
      </c>
      <c r="P219" s="550">
        <v>0</v>
      </c>
      <c r="Q219" s="550">
        <v>0</v>
      </c>
      <c r="R219" s="550">
        <f>SUM(R203:R218)</f>
        <v>317634299</v>
      </c>
      <c r="S219" s="550">
        <v>0</v>
      </c>
      <c r="T219" s="550">
        <v>5000130000</v>
      </c>
      <c r="U219" s="467"/>
      <c r="V219" s="467"/>
      <c r="W219" s="467"/>
      <c r="Y219" s="475" t="s">
        <v>1107</v>
      </c>
      <c r="Z219" s="546">
        <v>40486</v>
      </c>
      <c r="AA219" s="590">
        <v>12500</v>
      </c>
      <c r="AB219" s="590">
        <v>16000</v>
      </c>
      <c r="AC219" s="590">
        <v>-200000000</v>
      </c>
      <c r="AH219" s="457">
        <v>41435</v>
      </c>
      <c r="AI219" s="636"/>
      <c r="AJ219" s="636"/>
      <c r="AK219" s="636">
        <v>24931703</v>
      </c>
    </row>
    <row r="220" spans="1:38" s="773" customFormat="1" ht="14.25" customHeight="1">
      <c r="A220" s="768" t="s">
        <v>1106</v>
      </c>
      <c r="B220" s="474" t="s">
        <v>1103</v>
      </c>
      <c r="C220" s="474"/>
      <c r="D220" s="474" t="s">
        <v>19</v>
      </c>
      <c r="E220" s="769" t="s">
        <v>487</v>
      </c>
      <c r="F220" s="769" t="s">
        <v>1107</v>
      </c>
      <c r="G220" s="770">
        <v>40486</v>
      </c>
      <c r="H220" s="771">
        <v>12500</v>
      </c>
      <c r="I220" s="771">
        <v>16000</v>
      </c>
      <c r="J220" s="771">
        <v>200000000</v>
      </c>
      <c r="K220" s="766" t="s">
        <v>1092</v>
      </c>
      <c r="L220" s="770">
        <v>41589</v>
      </c>
      <c r="M220" s="771">
        <v>12500</v>
      </c>
      <c r="N220" s="771">
        <f>+O220/M220</f>
        <v>19633.41504</v>
      </c>
      <c r="O220" s="771">
        <v>245417688</v>
      </c>
      <c r="P220" s="590"/>
      <c r="Q220" s="771">
        <v>200000000</v>
      </c>
      <c r="R220" s="771">
        <f>+O220-Q220</f>
        <v>45417688</v>
      </c>
      <c r="S220" s="766" t="s">
        <v>1505</v>
      </c>
      <c r="T220" s="771">
        <f>+J220-Q220</f>
        <v>0</v>
      </c>
      <c r="U220" s="772">
        <f>+AD220</f>
        <v>7.0000001788139296E-2</v>
      </c>
      <c r="V220" s="769"/>
      <c r="W220" s="769"/>
      <c r="Z220" s="770">
        <v>41590</v>
      </c>
      <c r="AA220" s="771">
        <v>12500</v>
      </c>
      <c r="AB220" s="771">
        <f>+AC220/AA220</f>
        <v>19633.41504</v>
      </c>
      <c r="AC220" s="771">
        <v>245417688</v>
      </c>
      <c r="AD220" s="774">
        <f>+XIRR(AC219:AC220,Z219:Z220)</f>
        <v>7.0000001788139296E-2</v>
      </c>
      <c r="AH220" s="775">
        <v>41634</v>
      </c>
      <c r="AK220" s="776">
        <f>+-AK206</f>
        <v>2500020000</v>
      </c>
      <c r="AL220" s="774">
        <f>+XIRR(AK206:AK220,AH206:AH220)</f>
        <v>3.7456974387168884E-2</v>
      </c>
    </row>
    <row r="221" spans="1:38" s="608" customFormat="1" ht="14.25" customHeight="1">
      <c r="A221" s="474" t="s">
        <v>1106</v>
      </c>
      <c r="B221" s="474" t="s">
        <v>1108</v>
      </c>
      <c r="C221" s="474"/>
      <c r="D221" s="474" t="s">
        <v>1081</v>
      </c>
      <c r="E221" s="456" t="s">
        <v>1094</v>
      </c>
      <c r="F221" s="456" t="s">
        <v>1109</v>
      </c>
      <c r="G221" s="638">
        <v>40493</v>
      </c>
      <c r="H221" s="634"/>
      <c r="I221" s="634"/>
      <c r="J221" s="634">
        <v>1800000000</v>
      </c>
      <c r="K221" s="469" t="s">
        <v>1110</v>
      </c>
      <c r="L221" s="638">
        <v>40598</v>
      </c>
      <c r="M221" s="634"/>
      <c r="N221" s="634"/>
      <c r="O221" s="634">
        <v>13610959</v>
      </c>
      <c r="P221" s="634"/>
      <c r="Q221" s="634">
        <v>0</v>
      </c>
      <c r="R221" s="610">
        <v>13610959</v>
      </c>
      <c r="S221" s="612" t="s">
        <v>493</v>
      </c>
      <c r="T221" s="528">
        <f>+SUM(J221:J232)-SUM(Q221:Q233)</f>
        <v>0</v>
      </c>
      <c r="U221" s="600">
        <f>+AD234</f>
        <v>7.271780669689179E-2</v>
      </c>
      <c r="V221" s="456"/>
      <c r="W221" s="456"/>
      <c r="Y221" s="456" t="s">
        <v>1109</v>
      </c>
      <c r="Z221" s="638">
        <v>40493</v>
      </c>
      <c r="AA221" s="634"/>
      <c r="AB221" s="634"/>
      <c r="AC221" s="634">
        <v>-1800000000</v>
      </c>
      <c r="AD221" s="677"/>
    </row>
    <row r="222" spans="1:38" s="608" customFormat="1" ht="14.25" customHeight="1">
      <c r="A222" s="474" t="s">
        <v>1106</v>
      </c>
      <c r="B222" s="474"/>
      <c r="C222" s="474"/>
      <c r="D222" s="474" t="s">
        <v>793</v>
      </c>
      <c r="E222" s="450" t="s">
        <v>1094</v>
      </c>
      <c r="F222" s="450" t="s">
        <v>1109</v>
      </c>
      <c r="G222" s="643"/>
      <c r="H222" s="635"/>
      <c r="I222" s="635"/>
      <c r="J222" s="635"/>
      <c r="K222" s="471"/>
      <c r="L222" s="643">
        <v>40605</v>
      </c>
      <c r="M222" s="635"/>
      <c r="N222" s="635"/>
      <c r="O222" s="635">
        <v>93971</v>
      </c>
      <c r="P222" s="635"/>
      <c r="Q222" s="635">
        <v>0</v>
      </c>
      <c r="R222" s="657">
        <v>93971</v>
      </c>
      <c r="S222" s="650" t="s">
        <v>1111</v>
      </c>
      <c r="T222" s="657" t="s">
        <v>1506</v>
      </c>
      <c r="U222" s="450"/>
      <c r="V222" s="450"/>
      <c r="W222" s="450"/>
      <c r="Z222" s="638">
        <v>40598</v>
      </c>
      <c r="AA222" s="634"/>
      <c r="AB222" s="634"/>
      <c r="AC222" s="634">
        <v>13610959</v>
      </c>
      <c r="AD222" s="677"/>
    </row>
    <row r="223" spans="1:38" s="608" customFormat="1" ht="14.25" customHeight="1">
      <c r="A223" s="474" t="s">
        <v>1106</v>
      </c>
      <c r="B223" s="474"/>
      <c r="C223" s="474"/>
      <c r="D223" s="474" t="s">
        <v>1112</v>
      </c>
      <c r="E223" s="545" t="s">
        <v>1094</v>
      </c>
      <c r="F223" s="450" t="s">
        <v>1109</v>
      </c>
      <c r="G223" s="643"/>
      <c r="H223" s="635"/>
      <c r="I223" s="635"/>
      <c r="J223" s="635"/>
      <c r="K223" s="471"/>
      <c r="L223" s="643">
        <v>40674</v>
      </c>
      <c r="M223" s="635"/>
      <c r="N223" s="635"/>
      <c r="O223" s="635">
        <v>13167123</v>
      </c>
      <c r="P223" s="635"/>
      <c r="Q223" s="635">
        <v>0</v>
      </c>
      <c r="R223" s="657">
        <v>13167123</v>
      </c>
      <c r="S223" s="650" t="s">
        <v>493</v>
      </c>
      <c r="T223" s="657" t="s">
        <v>1506</v>
      </c>
      <c r="U223" s="545"/>
      <c r="V223" s="545"/>
      <c r="W223" s="545"/>
      <c r="Z223" s="643">
        <v>40605</v>
      </c>
      <c r="AA223" s="635"/>
      <c r="AB223" s="635"/>
      <c r="AC223" s="635">
        <v>93971</v>
      </c>
      <c r="AD223" s="677"/>
    </row>
    <row r="224" spans="1:38" s="608" customFormat="1" ht="14.25" customHeight="1">
      <c r="A224" s="474" t="s">
        <v>1106</v>
      </c>
      <c r="B224" s="474"/>
      <c r="C224" s="474"/>
      <c r="D224" s="474" t="s">
        <v>1112</v>
      </c>
      <c r="E224" s="545" t="s">
        <v>1094</v>
      </c>
      <c r="F224" s="450" t="s">
        <v>1109</v>
      </c>
      <c r="G224" s="643"/>
      <c r="H224" s="635"/>
      <c r="I224" s="635"/>
      <c r="J224" s="635"/>
      <c r="K224" s="471"/>
      <c r="L224" s="643">
        <v>40765</v>
      </c>
      <c r="M224" s="635"/>
      <c r="N224" s="635"/>
      <c r="O224" s="635">
        <v>13610959</v>
      </c>
      <c r="P224" s="635"/>
      <c r="Q224" s="635">
        <v>0</v>
      </c>
      <c r="R224" s="657">
        <v>13610959</v>
      </c>
      <c r="S224" s="650" t="s">
        <v>493</v>
      </c>
      <c r="T224" s="657" t="s">
        <v>1506</v>
      </c>
      <c r="U224" s="545"/>
      <c r="V224" s="545"/>
      <c r="W224" s="545"/>
      <c r="Z224" s="643">
        <v>40674</v>
      </c>
      <c r="AA224" s="635"/>
      <c r="AB224" s="635"/>
      <c r="AC224" s="635">
        <v>13167123</v>
      </c>
      <c r="AD224" s="677"/>
    </row>
    <row r="225" spans="1:30" s="608" customFormat="1" ht="14.25" customHeight="1">
      <c r="A225" s="474" t="s">
        <v>1106</v>
      </c>
      <c r="B225" s="474"/>
      <c r="C225" s="474"/>
      <c r="D225" s="474" t="s">
        <v>1112</v>
      </c>
      <c r="E225" s="545" t="s">
        <v>1094</v>
      </c>
      <c r="F225" s="450" t="s">
        <v>1109</v>
      </c>
      <c r="G225" s="643"/>
      <c r="H225" s="635"/>
      <c r="I225" s="635"/>
      <c r="J225" s="635"/>
      <c r="K225" s="471"/>
      <c r="L225" s="643">
        <v>40857</v>
      </c>
      <c r="M225" s="635"/>
      <c r="N225" s="635"/>
      <c r="O225" s="635">
        <v>13610959</v>
      </c>
      <c r="P225" s="635"/>
      <c r="Q225" s="635">
        <v>0</v>
      </c>
      <c r="R225" s="657">
        <v>13610959</v>
      </c>
      <c r="S225" s="650" t="s">
        <v>493</v>
      </c>
      <c r="T225" s="657" t="s">
        <v>1506</v>
      </c>
      <c r="U225" s="545"/>
      <c r="V225" s="545"/>
      <c r="W225" s="545"/>
      <c r="Z225" s="643">
        <v>40765</v>
      </c>
      <c r="AA225" s="635"/>
      <c r="AB225" s="635"/>
      <c r="AC225" s="635">
        <v>13610959</v>
      </c>
      <c r="AD225" s="677"/>
    </row>
    <row r="226" spans="1:30" s="608" customFormat="1" ht="14.25" customHeight="1">
      <c r="A226" s="474" t="s">
        <v>1106</v>
      </c>
      <c r="B226" s="474"/>
      <c r="C226" s="474"/>
      <c r="D226" s="474" t="s">
        <v>805</v>
      </c>
      <c r="E226" s="545" t="s">
        <v>1094</v>
      </c>
      <c r="F226" s="450" t="s">
        <v>1109</v>
      </c>
      <c r="G226" s="643"/>
      <c r="H226" s="635"/>
      <c r="I226" s="635"/>
      <c r="J226" s="635"/>
      <c r="K226" s="471"/>
      <c r="L226" s="643">
        <v>40949</v>
      </c>
      <c r="M226" s="635"/>
      <c r="N226" s="635"/>
      <c r="O226" s="635">
        <v>13610959</v>
      </c>
      <c r="P226" s="635"/>
      <c r="Q226" s="635">
        <v>0</v>
      </c>
      <c r="R226" s="657">
        <v>13610959</v>
      </c>
      <c r="S226" s="650" t="s">
        <v>493</v>
      </c>
      <c r="T226" s="657" t="s">
        <v>1506</v>
      </c>
      <c r="U226" s="545"/>
      <c r="V226" s="545"/>
      <c r="W226" s="545"/>
      <c r="Z226" s="643">
        <v>40857</v>
      </c>
      <c r="AA226" s="635"/>
      <c r="AB226" s="635"/>
      <c r="AC226" s="635">
        <v>13610959</v>
      </c>
      <c r="AD226" s="677"/>
    </row>
    <row r="227" spans="1:30" s="608" customFormat="1" ht="14.25" customHeight="1">
      <c r="A227" s="474" t="s">
        <v>1106</v>
      </c>
      <c r="B227" s="474"/>
      <c r="C227" s="474"/>
      <c r="D227" s="474" t="s">
        <v>806</v>
      </c>
      <c r="E227" s="545" t="s">
        <v>1094</v>
      </c>
      <c r="F227" s="450" t="s">
        <v>1109</v>
      </c>
      <c r="G227" s="643"/>
      <c r="H227" s="635"/>
      <c r="I227" s="635"/>
      <c r="J227" s="635"/>
      <c r="K227" s="471"/>
      <c r="L227" s="643">
        <v>41039</v>
      </c>
      <c r="M227" s="635"/>
      <c r="N227" s="635"/>
      <c r="O227" s="635">
        <v>13315068</v>
      </c>
      <c r="P227" s="635"/>
      <c r="Q227" s="635">
        <v>0</v>
      </c>
      <c r="R227" s="657">
        <v>13315068</v>
      </c>
      <c r="S227" s="650" t="s">
        <v>493</v>
      </c>
      <c r="T227" s="657" t="s">
        <v>1506</v>
      </c>
      <c r="U227" s="545"/>
      <c r="V227" s="545"/>
      <c r="W227" s="545"/>
      <c r="Z227" s="643">
        <v>40949</v>
      </c>
      <c r="AA227" s="635"/>
      <c r="AB227" s="635"/>
      <c r="AC227" s="635">
        <v>13610959</v>
      </c>
      <c r="AD227" s="677"/>
    </row>
    <row r="228" spans="1:30" s="608" customFormat="1" ht="14.25" customHeight="1">
      <c r="A228" s="474" t="s">
        <v>1106</v>
      </c>
      <c r="B228" s="474"/>
      <c r="C228" s="474"/>
      <c r="D228" s="474" t="s">
        <v>805</v>
      </c>
      <c r="E228" s="545" t="s">
        <v>1094</v>
      </c>
      <c r="F228" s="450" t="s">
        <v>1109</v>
      </c>
      <c r="G228" s="643"/>
      <c r="H228" s="635"/>
      <c r="I228" s="635"/>
      <c r="J228" s="635"/>
      <c r="K228" s="471"/>
      <c r="L228" s="643">
        <v>41131</v>
      </c>
      <c r="M228" s="635"/>
      <c r="N228" s="635"/>
      <c r="O228" s="635">
        <v>13610959</v>
      </c>
      <c r="P228" s="635"/>
      <c r="Q228" s="635">
        <v>0</v>
      </c>
      <c r="R228" s="657">
        <v>13610959</v>
      </c>
      <c r="S228" s="650" t="s">
        <v>493</v>
      </c>
      <c r="T228" s="657" t="s">
        <v>1506</v>
      </c>
      <c r="U228" s="545"/>
      <c r="V228" s="545"/>
      <c r="W228" s="545"/>
      <c r="Z228" s="643">
        <v>41039</v>
      </c>
      <c r="AA228" s="635"/>
      <c r="AB228" s="635"/>
      <c r="AC228" s="635">
        <v>13315068</v>
      </c>
      <c r="AD228" s="677"/>
    </row>
    <row r="229" spans="1:30" ht="14.25" customHeight="1">
      <c r="A229" s="474" t="s">
        <v>1106</v>
      </c>
      <c r="B229" s="474"/>
      <c r="C229" s="474"/>
      <c r="D229" s="474" t="s">
        <v>805</v>
      </c>
      <c r="E229" s="545" t="s">
        <v>1094</v>
      </c>
      <c r="F229" s="450" t="s">
        <v>1109</v>
      </c>
      <c r="G229" s="643"/>
      <c r="H229" s="635"/>
      <c r="I229" s="635"/>
      <c r="J229" s="635"/>
      <c r="K229" s="471"/>
      <c r="L229" s="643">
        <v>41225</v>
      </c>
      <c r="M229" s="635"/>
      <c r="N229" s="635"/>
      <c r="O229" s="635">
        <v>13610959</v>
      </c>
      <c r="P229" s="635"/>
      <c r="Q229" s="635">
        <v>0</v>
      </c>
      <c r="R229" s="657">
        <v>13610959</v>
      </c>
      <c r="S229" s="650" t="s">
        <v>493</v>
      </c>
      <c r="T229" s="657" t="s">
        <v>1506</v>
      </c>
      <c r="U229" s="545"/>
      <c r="V229" s="545"/>
      <c r="W229" s="545"/>
      <c r="X229" s="608"/>
      <c r="Z229" s="643">
        <v>41131</v>
      </c>
      <c r="AA229" s="635"/>
      <c r="AB229" s="635"/>
      <c r="AC229" s="635">
        <v>13610959</v>
      </c>
    </row>
    <row r="230" spans="1:30" ht="14.25" customHeight="1">
      <c r="A230" s="474" t="s">
        <v>1106</v>
      </c>
      <c r="B230" s="474"/>
      <c r="C230" s="474"/>
      <c r="D230" s="474" t="s">
        <v>805</v>
      </c>
      <c r="E230" s="545" t="s">
        <v>1094</v>
      </c>
      <c r="F230" s="450" t="s">
        <v>1109</v>
      </c>
      <c r="G230" s="643"/>
      <c r="H230" s="635"/>
      <c r="I230" s="635"/>
      <c r="J230" s="635"/>
      <c r="K230" s="471"/>
      <c r="L230" s="643">
        <v>41317</v>
      </c>
      <c r="M230" s="635"/>
      <c r="N230" s="635"/>
      <c r="O230" s="635">
        <v>13610959</v>
      </c>
      <c r="P230" s="635"/>
      <c r="Q230" s="635">
        <v>0</v>
      </c>
      <c r="R230" s="657">
        <v>13610959</v>
      </c>
      <c r="S230" s="650" t="s">
        <v>493</v>
      </c>
      <c r="T230" s="657" t="s">
        <v>1506</v>
      </c>
      <c r="U230" s="545"/>
      <c r="V230" s="545"/>
      <c r="W230" s="545"/>
      <c r="X230" s="574"/>
      <c r="Z230" s="643">
        <v>41225</v>
      </c>
      <c r="AA230" s="635"/>
      <c r="AB230" s="635"/>
      <c r="AC230" s="635">
        <v>13610959</v>
      </c>
    </row>
    <row r="231" spans="1:30" ht="14.25" customHeight="1">
      <c r="A231" s="474" t="s">
        <v>1106</v>
      </c>
      <c r="B231" s="474"/>
      <c r="C231" s="474"/>
      <c r="D231" s="474"/>
      <c r="E231" s="545" t="s">
        <v>1094</v>
      </c>
      <c r="F231" s="450" t="s">
        <v>1109</v>
      </c>
      <c r="G231" s="518"/>
      <c r="H231" s="452"/>
      <c r="I231" s="452"/>
      <c r="J231" s="452"/>
      <c r="K231" s="557"/>
      <c r="L231" s="643">
        <v>41404</v>
      </c>
      <c r="M231" s="635"/>
      <c r="N231" s="635"/>
      <c r="O231" s="635">
        <v>13167123</v>
      </c>
      <c r="P231" s="635"/>
      <c r="Q231" s="635">
        <v>0</v>
      </c>
      <c r="R231" s="657">
        <v>13167123</v>
      </c>
      <c r="S231" s="650" t="s">
        <v>493</v>
      </c>
      <c r="T231" s="657" t="s">
        <v>1506</v>
      </c>
      <c r="U231" s="545"/>
      <c r="V231" s="545"/>
      <c r="W231" s="545"/>
      <c r="X231" s="574"/>
      <c r="Z231" s="643">
        <v>41317</v>
      </c>
      <c r="AA231" s="635"/>
      <c r="AB231" s="635"/>
      <c r="AC231" s="635">
        <v>13610959</v>
      </c>
    </row>
    <row r="232" spans="1:30" ht="14.25" customHeight="1">
      <c r="A232" s="474" t="s">
        <v>1106</v>
      </c>
      <c r="B232" s="474"/>
      <c r="C232" s="474"/>
      <c r="D232" s="474" t="s">
        <v>805</v>
      </c>
      <c r="E232" s="450" t="s">
        <v>1094</v>
      </c>
      <c r="F232" s="450" t="s">
        <v>1109</v>
      </c>
      <c r="G232" s="643"/>
      <c r="H232" s="635"/>
      <c r="I232" s="635"/>
      <c r="J232" s="635"/>
      <c r="K232" s="471"/>
      <c r="L232" s="643">
        <v>41495</v>
      </c>
      <c r="M232" s="635"/>
      <c r="N232" s="635"/>
      <c r="O232" s="635">
        <v>13610959</v>
      </c>
      <c r="P232" s="635"/>
      <c r="Q232" s="635">
        <v>0</v>
      </c>
      <c r="R232" s="657">
        <v>13610959</v>
      </c>
      <c r="S232" s="650" t="s">
        <v>493</v>
      </c>
      <c r="T232" s="657" t="s">
        <v>1506</v>
      </c>
      <c r="U232" s="545"/>
      <c r="V232" s="545"/>
      <c r="W232" s="545"/>
      <c r="X232" s="574"/>
      <c r="Z232" s="643">
        <v>41404</v>
      </c>
      <c r="AA232" s="635"/>
      <c r="AB232" s="635"/>
      <c r="AC232" s="635">
        <v>13167123</v>
      </c>
    </row>
    <row r="233" spans="1:30" s="773" customFormat="1" ht="14.25" customHeight="1">
      <c r="A233" s="777" t="s">
        <v>1106</v>
      </c>
      <c r="B233" s="474"/>
      <c r="C233" s="474"/>
      <c r="D233" s="474" t="s">
        <v>805</v>
      </c>
      <c r="E233" s="778" t="s">
        <v>1094</v>
      </c>
      <c r="F233" s="778" t="s">
        <v>1109</v>
      </c>
      <c r="G233" s="779"/>
      <c r="H233" s="780"/>
      <c r="I233" s="780"/>
      <c r="J233" s="780"/>
      <c r="K233" s="781"/>
      <c r="L233" s="779">
        <v>41589</v>
      </c>
      <c r="M233" s="780"/>
      <c r="N233" s="780"/>
      <c r="O233" s="780">
        <f>2043338240+13610959</f>
        <v>2056949199</v>
      </c>
      <c r="P233" s="636"/>
      <c r="Q233" s="780">
        <v>1800000000</v>
      </c>
      <c r="R233" s="780">
        <f>+O233-Q233</f>
        <v>256949199</v>
      </c>
      <c r="S233" s="781" t="s">
        <v>1505</v>
      </c>
      <c r="T233" s="780" t="s">
        <v>1506</v>
      </c>
      <c r="U233" s="777"/>
      <c r="V233" s="777"/>
      <c r="W233" s="777"/>
      <c r="X233" s="782"/>
      <c r="Z233" s="783">
        <v>41495</v>
      </c>
      <c r="AA233" s="784"/>
      <c r="AB233" s="784"/>
      <c r="AC233" s="784">
        <v>13610959</v>
      </c>
      <c r="AD233" s="774"/>
    </row>
    <row r="234" spans="1:30" s="773" customFormat="1" ht="14.25" customHeight="1">
      <c r="A234" s="777" t="s">
        <v>1106</v>
      </c>
      <c r="B234" s="491"/>
      <c r="C234" s="491"/>
      <c r="D234" s="491" t="s">
        <v>1088</v>
      </c>
      <c r="E234" s="785" t="s">
        <v>487</v>
      </c>
      <c r="F234" s="785" t="s">
        <v>1113</v>
      </c>
      <c r="G234" s="786">
        <v>40645</v>
      </c>
      <c r="H234" s="787">
        <v>41667</v>
      </c>
      <c r="I234" s="787">
        <v>6000</v>
      </c>
      <c r="J234" s="787">
        <v>250002000</v>
      </c>
      <c r="K234" s="788" t="s">
        <v>1092</v>
      </c>
      <c r="L234" s="786">
        <v>41635</v>
      </c>
      <c r="M234" s="787">
        <v>41667</v>
      </c>
      <c r="N234" s="787">
        <f>O234/M234</f>
        <v>11.999904000767994</v>
      </c>
      <c r="O234" s="787">
        <v>500000</v>
      </c>
      <c r="P234" s="641"/>
      <c r="Q234" s="787">
        <v>250002000</v>
      </c>
      <c r="R234" s="787">
        <f>+O234-Q234</f>
        <v>-249502000</v>
      </c>
      <c r="S234" s="788" t="s">
        <v>1507</v>
      </c>
      <c r="T234" s="771">
        <f>+J234-Q234</f>
        <v>0</v>
      </c>
      <c r="U234" s="785"/>
      <c r="V234" s="785"/>
      <c r="W234" s="785"/>
      <c r="X234" s="782"/>
      <c r="Z234" s="779">
        <v>41589</v>
      </c>
      <c r="AA234" s="780"/>
      <c r="AB234" s="780"/>
      <c r="AC234" s="780">
        <f>2043338240+13610959</f>
        <v>2056949199</v>
      </c>
      <c r="AD234" s="774">
        <f>+XIRR(AC221:AC234,Z221:Z234)</f>
        <v>7.271780669689179E-2</v>
      </c>
    </row>
    <row r="235" spans="1:30" ht="14.25" customHeight="1">
      <c r="A235" s="491" t="s">
        <v>1106</v>
      </c>
      <c r="B235" s="491"/>
      <c r="C235" s="491"/>
      <c r="D235" s="491"/>
      <c r="E235" s="653" t="s">
        <v>304</v>
      </c>
      <c r="F235" s="653" t="s">
        <v>1114</v>
      </c>
      <c r="G235" s="645">
        <v>40667</v>
      </c>
      <c r="H235" s="644">
        <v>158730</v>
      </c>
      <c r="I235" s="644">
        <v>12083.405588105588</v>
      </c>
      <c r="J235" s="644">
        <v>1917998969</v>
      </c>
      <c r="K235" s="747" t="s">
        <v>1115</v>
      </c>
      <c r="L235" s="645">
        <v>41011</v>
      </c>
      <c r="M235" s="644"/>
      <c r="N235" s="644"/>
      <c r="O235" s="644">
        <v>7936500</v>
      </c>
      <c r="P235" s="644"/>
      <c r="Q235" s="644">
        <v>0</v>
      </c>
      <c r="R235" s="644">
        <v>7936500</v>
      </c>
      <c r="S235" s="747" t="s">
        <v>1116</v>
      </c>
      <c r="T235" s="644">
        <f>+J235-Q235</f>
        <v>1917998969</v>
      </c>
      <c r="U235" s="653"/>
      <c r="V235" s="653"/>
      <c r="W235" s="653"/>
      <c r="X235" s="574"/>
      <c r="Y235" s="653" t="s">
        <v>1114</v>
      </c>
      <c r="Z235" s="645">
        <v>40667</v>
      </c>
      <c r="AA235" s="644">
        <v>158730</v>
      </c>
      <c r="AB235" s="644">
        <v>12083.405588105588</v>
      </c>
      <c r="AC235" s="644">
        <v>-1917998969</v>
      </c>
    </row>
    <row r="236" spans="1:30" ht="14.25" customHeight="1">
      <c r="A236" s="664" t="s">
        <v>1106</v>
      </c>
      <c r="B236" s="664"/>
      <c r="C236" s="664"/>
      <c r="D236" s="664"/>
      <c r="E236" s="664" t="s">
        <v>487</v>
      </c>
      <c r="F236" s="664" t="s">
        <v>1117</v>
      </c>
      <c r="G236" s="668">
        <v>40752</v>
      </c>
      <c r="H236" s="648">
        <v>266666</v>
      </c>
      <c r="I236" s="648">
        <v>7500</v>
      </c>
      <c r="J236" s="648">
        <v>1999995000</v>
      </c>
      <c r="K236" s="750" t="s">
        <v>1092</v>
      </c>
      <c r="L236" s="668">
        <v>41386</v>
      </c>
      <c r="M236" s="648"/>
      <c r="N236" s="648"/>
      <c r="O236" s="648">
        <v>19999950</v>
      </c>
      <c r="P236" s="648"/>
      <c r="Q236" s="648">
        <v>0</v>
      </c>
      <c r="R236" s="648">
        <v>19999950</v>
      </c>
      <c r="S236" s="750" t="s">
        <v>1116</v>
      </c>
      <c r="T236" s="648">
        <f>+J236-Q236</f>
        <v>1999995000</v>
      </c>
      <c r="U236" s="653"/>
      <c r="V236" s="653"/>
      <c r="W236" s="653"/>
      <c r="X236" s="574"/>
      <c r="Z236" s="645">
        <v>41011</v>
      </c>
      <c r="AA236" s="644"/>
      <c r="AB236" s="644"/>
      <c r="AC236" s="644">
        <v>7936500</v>
      </c>
    </row>
    <row r="237" spans="1:30" ht="14.25" customHeight="1">
      <c r="A237" s="654" t="s">
        <v>1106</v>
      </c>
      <c r="B237" s="654"/>
      <c r="C237" s="654"/>
      <c r="D237" s="654"/>
      <c r="E237" s="654" t="s">
        <v>487</v>
      </c>
      <c r="F237" s="654" t="s">
        <v>1117</v>
      </c>
      <c r="G237" s="652"/>
      <c r="H237" s="657"/>
      <c r="I237" s="657"/>
      <c r="J237" s="657"/>
      <c r="K237" s="650"/>
      <c r="L237" s="652">
        <v>41759</v>
      </c>
      <c r="M237" s="657"/>
      <c r="N237" s="657"/>
      <c r="O237" s="657">
        <v>19999950</v>
      </c>
      <c r="P237" s="657"/>
      <c r="Q237" s="657">
        <v>0</v>
      </c>
      <c r="R237" s="657">
        <f>O237-Q237</f>
        <v>19999950</v>
      </c>
      <c r="S237" s="650" t="s">
        <v>1508</v>
      </c>
      <c r="T237" s="657"/>
      <c r="U237" s="653"/>
      <c r="V237" s="653"/>
      <c r="W237" s="653"/>
      <c r="X237" s="574"/>
      <c r="Z237" s="681"/>
      <c r="AA237" s="611"/>
      <c r="AB237" s="611"/>
      <c r="AC237" s="611"/>
    </row>
    <row r="238" spans="1:30" ht="14.25" customHeight="1">
      <c r="A238" s="476" t="s">
        <v>1106</v>
      </c>
      <c r="B238" s="476"/>
      <c r="C238" s="476"/>
      <c r="D238" s="476"/>
      <c r="E238" s="655" t="s">
        <v>487</v>
      </c>
      <c r="F238" s="655" t="s">
        <v>1117</v>
      </c>
      <c r="G238" s="646"/>
      <c r="H238" s="647"/>
      <c r="I238" s="647"/>
      <c r="J238" s="647"/>
      <c r="K238" s="746"/>
      <c r="L238" s="646">
        <v>41759</v>
      </c>
      <c r="M238" s="647"/>
      <c r="N238" s="647"/>
      <c r="O238" s="647">
        <v>19999950</v>
      </c>
      <c r="P238" s="647"/>
      <c r="Q238" s="647">
        <v>0</v>
      </c>
      <c r="R238" s="647">
        <f>O238-Q238</f>
        <v>19999950</v>
      </c>
      <c r="S238" s="746" t="s">
        <v>1508</v>
      </c>
      <c r="T238" s="614" t="s">
        <v>1506</v>
      </c>
      <c r="U238" s="653"/>
      <c r="V238" s="653"/>
      <c r="W238" s="653"/>
      <c r="X238" s="574"/>
      <c r="Z238" s="681"/>
      <c r="AA238" s="611"/>
      <c r="AB238" s="611"/>
      <c r="AC238" s="611"/>
    </row>
    <row r="239" spans="1:30" ht="14.25" customHeight="1">
      <c r="A239" s="491" t="s">
        <v>1106</v>
      </c>
      <c r="B239" s="551"/>
      <c r="C239" s="551"/>
      <c r="D239" s="551"/>
      <c r="E239" s="656" t="s">
        <v>304</v>
      </c>
      <c r="F239" s="656" t="s">
        <v>1118</v>
      </c>
      <c r="G239" s="642">
        <v>40836</v>
      </c>
      <c r="H239" s="610">
        <v>150000</v>
      </c>
      <c r="I239" s="610">
        <v>8600</v>
      </c>
      <c r="J239" s="610">
        <v>990000000</v>
      </c>
      <c r="K239" s="612" t="s">
        <v>1119</v>
      </c>
      <c r="L239" s="642">
        <v>41389</v>
      </c>
      <c r="M239" s="610"/>
      <c r="N239" s="610"/>
      <c r="O239" s="610">
        <v>7500000</v>
      </c>
      <c r="P239" s="610"/>
      <c r="Q239" s="610">
        <v>0</v>
      </c>
      <c r="R239" s="610">
        <v>7500000</v>
      </c>
      <c r="S239" s="612" t="s">
        <v>1116</v>
      </c>
      <c r="T239" s="528">
        <f>+SUM(J239:J241)-SUM(Q239:Q241)</f>
        <v>0</v>
      </c>
      <c r="U239" s="653"/>
      <c r="V239" s="653"/>
      <c r="W239" s="653"/>
      <c r="X239" s="574"/>
      <c r="Z239" s="624">
        <v>41634</v>
      </c>
      <c r="AC239" s="625">
        <f>+T235</f>
        <v>1917998969</v>
      </c>
      <c r="AD239" s="665">
        <f>+XIRR(AC235:AC239,Z235:Z239)</f>
        <v>1.5640288591384887E-3</v>
      </c>
    </row>
    <row r="240" spans="1:30" s="773" customFormat="1" ht="14.25" customHeight="1">
      <c r="A240" s="777" t="s">
        <v>1106</v>
      </c>
      <c r="B240" s="551"/>
      <c r="C240" s="551"/>
      <c r="D240" s="551"/>
      <c r="E240" s="789" t="s">
        <v>304</v>
      </c>
      <c r="F240" s="789" t="s">
        <v>1118</v>
      </c>
      <c r="G240" s="790">
        <v>41103</v>
      </c>
      <c r="H240" s="791"/>
      <c r="I240" s="791"/>
      <c r="J240" s="791">
        <v>300000000</v>
      </c>
      <c r="K240" s="792" t="s">
        <v>1120</v>
      </c>
      <c r="L240" s="790">
        <v>41740</v>
      </c>
      <c r="M240" s="791"/>
      <c r="N240" s="791"/>
      <c r="O240" s="791">
        <v>7500000</v>
      </c>
      <c r="P240" s="669"/>
      <c r="Q240" s="791">
        <v>0</v>
      </c>
      <c r="R240" s="791">
        <v>7500000</v>
      </c>
      <c r="S240" s="792" t="s">
        <v>1508</v>
      </c>
      <c r="T240" s="776" t="s">
        <v>1506</v>
      </c>
      <c r="U240" s="769"/>
      <c r="V240" s="769"/>
      <c r="W240" s="769"/>
      <c r="X240" s="782"/>
      <c r="Z240" s="775"/>
      <c r="AC240" s="776"/>
      <c r="AD240" s="774"/>
    </row>
    <row r="241" spans="1:30" ht="14.25" customHeight="1">
      <c r="A241" s="491" t="s">
        <v>1106</v>
      </c>
      <c r="B241" s="551"/>
      <c r="C241" s="551"/>
      <c r="D241" s="551"/>
      <c r="E241" s="655" t="s">
        <v>304</v>
      </c>
      <c r="F241" s="655" t="s">
        <v>1118</v>
      </c>
      <c r="G241" s="651"/>
      <c r="H241" s="614"/>
      <c r="I241" s="614"/>
      <c r="J241" s="614"/>
      <c r="K241" s="613"/>
      <c r="L241" s="651">
        <v>41778</v>
      </c>
      <c r="M241" s="614">
        <v>150000</v>
      </c>
      <c r="N241" s="614">
        <f>O241/M241</f>
        <v>9000</v>
      </c>
      <c r="O241" s="614">
        <v>1350000000</v>
      </c>
      <c r="P241" s="614"/>
      <c r="Q241" s="614">
        <v>1290000000</v>
      </c>
      <c r="R241" s="614">
        <f>O241-Q241</f>
        <v>60000000</v>
      </c>
      <c r="S241" s="613" t="s">
        <v>1505</v>
      </c>
      <c r="T241" s="614" t="s">
        <v>1506</v>
      </c>
      <c r="U241" s="653"/>
      <c r="V241" s="653"/>
      <c r="W241" s="653"/>
      <c r="X241" s="435"/>
      <c r="Y241" s="653" t="s">
        <v>1117</v>
      </c>
      <c r="Z241" s="645">
        <v>40752</v>
      </c>
      <c r="AA241" s="644">
        <v>266666</v>
      </c>
      <c r="AB241" s="644">
        <v>7500</v>
      </c>
      <c r="AC241" s="644">
        <v>-1999995000</v>
      </c>
    </row>
    <row r="242" spans="1:30" ht="14.25" customHeight="1">
      <c r="A242" s="474" t="s">
        <v>1106</v>
      </c>
      <c r="B242" s="474"/>
      <c r="C242" s="474"/>
      <c r="D242" s="474"/>
      <c r="E242" s="545" t="s">
        <v>487</v>
      </c>
      <c r="F242" s="450" t="s">
        <v>1121</v>
      </c>
      <c r="G242" s="643">
        <v>40949</v>
      </c>
      <c r="H242" s="635">
        <v>3254</v>
      </c>
      <c r="I242" s="635">
        <v>76830</v>
      </c>
      <c r="J242" s="635">
        <v>250004820</v>
      </c>
      <c r="K242" s="471" t="s">
        <v>1092</v>
      </c>
      <c r="L242" s="643"/>
      <c r="M242" s="635"/>
      <c r="N242" s="635"/>
      <c r="O242" s="635"/>
      <c r="P242" s="635"/>
      <c r="Q242" s="635"/>
      <c r="R242" s="657">
        <v>0</v>
      </c>
      <c r="S242" s="650"/>
      <c r="T242" s="657">
        <f>+J242-Q242</f>
        <v>250004820</v>
      </c>
      <c r="U242" s="653"/>
      <c r="V242" s="653"/>
      <c r="W242" s="653"/>
      <c r="Z242" s="645">
        <v>41386</v>
      </c>
      <c r="AA242" s="644"/>
      <c r="AB242" s="644"/>
      <c r="AC242" s="644">
        <v>19999950</v>
      </c>
    </row>
    <row r="243" spans="1:30" ht="14.25" customHeight="1">
      <c r="A243" s="474" t="s">
        <v>1106</v>
      </c>
      <c r="B243" s="474"/>
      <c r="C243" s="474"/>
      <c r="D243" s="474"/>
      <c r="E243" s="545" t="s">
        <v>487</v>
      </c>
      <c r="F243" s="450" t="s">
        <v>1093</v>
      </c>
      <c r="G243" s="643">
        <v>41101</v>
      </c>
      <c r="H243" s="635">
        <v>5001</v>
      </c>
      <c r="I243" s="635">
        <v>150000</v>
      </c>
      <c r="J243" s="635">
        <v>750150000</v>
      </c>
      <c r="K243" s="471" t="s">
        <v>1092</v>
      </c>
      <c r="L243" s="643"/>
      <c r="M243" s="635"/>
      <c r="N243" s="635"/>
      <c r="O243" s="635"/>
      <c r="P243" s="635"/>
      <c r="Q243" s="635"/>
      <c r="R243" s="657">
        <v>0</v>
      </c>
      <c r="S243" s="650"/>
      <c r="T243" s="657">
        <f>+J243-Q243</f>
        <v>750150000</v>
      </c>
      <c r="U243" s="653"/>
      <c r="V243" s="653"/>
      <c r="W243" s="653"/>
      <c r="Z243" s="624">
        <v>41634</v>
      </c>
      <c r="AC243" s="625">
        <f>+T236</f>
        <v>1999995000</v>
      </c>
      <c r="AD243" s="665">
        <f>+XIRR(AC241:AC243,Z241:Z243)</f>
        <v>4.1378170251846307E-3</v>
      </c>
    </row>
    <row r="244" spans="1:30" ht="14.25" customHeight="1">
      <c r="A244" s="474" t="s">
        <v>1106</v>
      </c>
      <c r="B244" s="474"/>
      <c r="C244" s="474"/>
      <c r="D244" s="474"/>
      <c r="E244" s="545" t="s">
        <v>1094</v>
      </c>
      <c r="F244" s="450" t="s">
        <v>1122</v>
      </c>
      <c r="G244" s="643">
        <v>41101</v>
      </c>
      <c r="H244" s="635">
        <v>0</v>
      </c>
      <c r="I244" s="635">
        <v>0</v>
      </c>
      <c r="J244" s="635">
        <v>750150000</v>
      </c>
      <c r="K244" s="471" t="s">
        <v>1110</v>
      </c>
      <c r="L244" s="643">
        <v>41284</v>
      </c>
      <c r="M244" s="635"/>
      <c r="N244" s="635"/>
      <c r="O244" s="635">
        <v>3750750</v>
      </c>
      <c r="P244" s="635"/>
      <c r="Q244" s="635">
        <v>0</v>
      </c>
      <c r="R244" s="657">
        <v>3750750</v>
      </c>
      <c r="S244" s="650" t="s">
        <v>493</v>
      </c>
      <c r="T244" s="657">
        <f>+SUM(J244:J248)-SUM(Q244:Q248)</f>
        <v>750150000</v>
      </c>
      <c r="U244" s="656"/>
      <c r="V244" s="656"/>
      <c r="W244" s="656"/>
      <c r="Y244" s="656" t="s">
        <v>1118</v>
      </c>
      <c r="Z244" s="642">
        <v>40836</v>
      </c>
      <c r="AA244" s="610">
        <v>150000</v>
      </c>
      <c r="AB244" s="610">
        <v>8600</v>
      </c>
      <c r="AC244" s="610">
        <v>-990000000</v>
      </c>
    </row>
    <row r="245" spans="1:30" ht="14.25" customHeight="1">
      <c r="A245" s="474" t="s">
        <v>1106</v>
      </c>
      <c r="B245" s="474"/>
      <c r="C245" s="474"/>
      <c r="D245" s="474"/>
      <c r="E245" s="545" t="s">
        <v>1094</v>
      </c>
      <c r="F245" s="450" t="s">
        <v>1122</v>
      </c>
      <c r="G245" s="643"/>
      <c r="H245" s="635"/>
      <c r="I245" s="635"/>
      <c r="J245" s="635"/>
      <c r="K245" s="471"/>
      <c r="L245" s="643">
        <v>41466</v>
      </c>
      <c r="M245" s="635"/>
      <c r="N245" s="635"/>
      <c r="O245" s="635">
        <v>3750750</v>
      </c>
      <c r="P245" s="635"/>
      <c r="Q245" s="635">
        <v>0</v>
      </c>
      <c r="R245" s="657">
        <v>3750750</v>
      </c>
      <c r="S245" s="650" t="s">
        <v>493</v>
      </c>
      <c r="T245" s="657"/>
      <c r="U245" s="655"/>
      <c r="V245" s="655"/>
      <c r="W245" s="655"/>
      <c r="Y245" s="655" t="s">
        <v>1118</v>
      </c>
      <c r="Z245" s="651">
        <v>41103</v>
      </c>
      <c r="AA245" s="614"/>
      <c r="AB245" s="614"/>
      <c r="AC245" s="614">
        <v>-300000000</v>
      </c>
    </row>
    <row r="246" spans="1:30" s="773" customFormat="1" ht="14.25" customHeight="1">
      <c r="A246" s="474" t="s">
        <v>1106</v>
      </c>
      <c r="B246" s="474"/>
      <c r="C246" s="474"/>
      <c r="D246" s="474"/>
      <c r="E246" s="545" t="s">
        <v>1094</v>
      </c>
      <c r="F246" s="450" t="s">
        <v>1122</v>
      </c>
      <c r="G246" s="643"/>
      <c r="H246" s="635"/>
      <c r="I246" s="635"/>
      <c r="J246" s="635"/>
      <c r="K246" s="471"/>
      <c r="L246" s="643">
        <v>41654</v>
      </c>
      <c r="M246" s="635"/>
      <c r="N246" s="635"/>
      <c r="O246" s="635">
        <v>3750750</v>
      </c>
      <c r="P246" s="635"/>
      <c r="Q246" s="635">
        <v>0</v>
      </c>
      <c r="R246" s="657">
        <f>+O246-Q246</f>
        <v>3750750</v>
      </c>
      <c r="S246" s="650" t="s">
        <v>1497</v>
      </c>
      <c r="T246" s="657"/>
      <c r="U246" s="769"/>
      <c r="V246" s="769"/>
      <c r="W246" s="769"/>
      <c r="Z246" s="790"/>
      <c r="AA246" s="791"/>
      <c r="AB246" s="791"/>
      <c r="AC246" s="791"/>
      <c r="AD246" s="774"/>
    </row>
    <row r="247" spans="1:30" s="773" customFormat="1" ht="14.25" customHeight="1">
      <c r="A247" s="474" t="s">
        <v>1106</v>
      </c>
      <c r="B247" s="474"/>
      <c r="C247" s="474"/>
      <c r="D247" s="474"/>
      <c r="E247" s="545" t="s">
        <v>1094</v>
      </c>
      <c r="F247" s="450" t="s">
        <v>1122</v>
      </c>
      <c r="G247" s="643"/>
      <c r="H247" s="635"/>
      <c r="I247" s="635"/>
      <c r="J247" s="635"/>
      <c r="K247" s="471"/>
      <c r="L247" s="643">
        <v>41831</v>
      </c>
      <c r="M247" s="635"/>
      <c r="N247" s="635"/>
      <c r="O247" s="635">
        <v>3750750</v>
      </c>
      <c r="P247" s="635"/>
      <c r="Q247" s="635">
        <v>0</v>
      </c>
      <c r="R247" s="657">
        <f>+O247-Q247</f>
        <v>3750750</v>
      </c>
      <c r="S247" s="650" t="s">
        <v>1497</v>
      </c>
      <c r="T247" s="657"/>
      <c r="U247" s="769"/>
      <c r="V247" s="769"/>
      <c r="W247" s="769"/>
      <c r="Z247" s="790"/>
      <c r="AA247" s="791"/>
      <c r="AB247" s="791"/>
      <c r="AC247" s="791"/>
      <c r="AD247" s="774"/>
    </row>
    <row r="248" spans="1:30" s="773" customFormat="1" ht="14.25" customHeight="1">
      <c r="A248" s="474" t="s">
        <v>1106</v>
      </c>
      <c r="B248" s="474"/>
      <c r="C248" s="474"/>
      <c r="D248" s="474"/>
      <c r="E248" s="545" t="s">
        <v>1094</v>
      </c>
      <c r="F248" s="450" t="s">
        <v>1122</v>
      </c>
      <c r="G248" s="643"/>
      <c r="H248" s="635"/>
      <c r="I248" s="635"/>
      <c r="J248" s="635"/>
      <c r="K248" s="471"/>
      <c r="L248" s="643">
        <v>42013</v>
      </c>
      <c r="M248" s="635"/>
      <c r="N248" s="635"/>
      <c r="O248" s="635">
        <v>3750750</v>
      </c>
      <c r="P248" s="635"/>
      <c r="Q248" s="635">
        <v>0</v>
      </c>
      <c r="R248" s="657">
        <f>+O248-Q248</f>
        <v>3750750</v>
      </c>
      <c r="S248" s="650" t="s">
        <v>1497</v>
      </c>
      <c r="T248" s="657"/>
      <c r="U248" s="769"/>
      <c r="V248" s="769"/>
      <c r="W248" s="769"/>
      <c r="Z248" s="790"/>
      <c r="AA248" s="791"/>
      <c r="AB248" s="791"/>
      <c r="AC248" s="791"/>
      <c r="AD248" s="774"/>
    </row>
    <row r="249" spans="1:30" ht="14.25" customHeight="1">
      <c r="A249" s="475" t="s">
        <v>1106</v>
      </c>
      <c r="B249" s="511"/>
      <c r="C249" s="511"/>
      <c r="D249" s="511"/>
      <c r="E249" s="466" t="s">
        <v>1101</v>
      </c>
      <c r="F249" s="467"/>
      <c r="G249" s="446"/>
      <c r="H249" s="498"/>
      <c r="I249" s="498"/>
      <c r="J249" s="550">
        <f>SUM(J220:J248)</f>
        <v>9208300789</v>
      </c>
      <c r="K249" s="468"/>
      <c r="L249" s="447"/>
      <c r="M249" s="498"/>
      <c r="N249" s="498"/>
      <c r="O249" s="550">
        <f>SUM(O220:O248)</f>
        <v>3903187944</v>
      </c>
      <c r="P249" s="550">
        <f>SUM(P220:P246)</f>
        <v>0</v>
      </c>
      <c r="Q249" s="550">
        <f>SUM(Q220:Q248)</f>
        <v>3540002000</v>
      </c>
      <c r="R249" s="550">
        <f>SUM(R220:R248)</f>
        <v>363185944</v>
      </c>
      <c r="S249" s="550">
        <f>SUM(S220:S246)</f>
        <v>0</v>
      </c>
      <c r="T249" s="550">
        <f>SUM(T220:T248)</f>
        <v>5668298789</v>
      </c>
      <c r="U249" s="467"/>
      <c r="V249" s="467"/>
      <c r="W249" s="467"/>
      <c r="Z249" s="642">
        <v>41389</v>
      </c>
      <c r="AA249" s="610"/>
      <c r="AB249" s="610"/>
      <c r="AC249" s="610">
        <v>7500000</v>
      </c>
    </row>
    <row r="250" spans="1:30" ht="14.25" customHeight="1">
      <c r="A250" s="473" t="s">
        <v>1123</v>
      </c>
      <c r="B250" s="474" t="s">
        <v>1124</v>
      </c>
      <c r="C250" s="474"/>
      <c r="D250" s="474" t="s">
        <v>19</v>
      </c>
      <c r="E250" s="491" t="s">
        <v>487</v>
      </c>
      <c r="F250" s="491" t="s">
        <v>1125</v>
      </c>
      <c r="G250" s="660">
        <v>40462</v>
      </c>
      <c r="H250" s="669">
        <v>200000</v>
      </c>
      <c r="I250" s="669">
        <v>7250</v>
      </c>
      <c r="J250" s="637">
        <v>1450000000</v>
      </c>
      <c r="K250" s="477" t="s">
        <v>1126</v>
      </c>
      <c r="L250" s="546">
        <v>41824</v>
      </c>
      <c r="M250" s="590">
        <v>200000</v>
      </c>
      <c r="N250" s="590">
        <f>O250/M250</f>
        <v>2411.4065049999999</v>
      </c>
      <c r="O250" s="637">
        <v>482281301</v>
      </c>
      <c r="P250" s="590"/>
      <c r="Q250" s="637">
        <v>1450000000</v>
      </c>
      <c r="R250" s="644">
        <f>O250-Q250</f>
        <v>-967718699</v>
      </c>
      <c r="S250" s="747" t="s">
        <v>1505</v>
      </c>
      <c r="T250" s="644">
        <f>+J250-Q250</f>
        <v>0</v>
      </c>
      <c r="U250" s="491"/>
      <c r="V250" s="491"/>
      <c r="W250" s="491"/>
      <c r="Z250" s="624">
        <v>41634</v>
      </c>
      <c r="AC250" s="625">
        <f>+T239</f>
        <v>0</v>
      </c>
      <c r="AD250" s="665">
        <f>+XIRR(AC244:AC250,Z244:Z250)</f>
        <v>-0.99197863239678541</v>
      </c>
    </row>
    <row r="251" spans="1:30" ht="14.25" customHeight="1">
      <c r="A251" s="474" t="s">
        <v>1123</v>
      </c>
      <c r="B251" s="474" t="s">
        <v>1127</v>
      </c>
      <c r="C251" s="474"/>
      <c r="D251" s="474" t="s">
        <v>1081</v>
      </c>
      <c r="E251" s="656" t="s">
        <v>487</v>
      </c>
      <c r="F251" s="656" t="s">
        <v>1128</v>
      </c>
      <c r="G251" s="642">
        <v>40525</v>
      </c>
      <c r="H251" s="610">
        <v>344590</v>
      </c>
      <c r="I251" s="610">
        <v>6300</v>
      </c>
      <c r="J251" s="634">
        <v>2170917000</v>
      </c>
      <c r="K251" s="469" t="s">
        <v>1082</v>
      </c>
      <c r="L251" s="638">
        <v>40857</v>
      </c>
      <c r="M251" s="634">
        <v>12440</v>
      </c>
      <c r="N251" s="634">
        <v>17093.547025723474</v>
      </c>
      <c r="O251" s="634">
        <v>212643725</v>
      </c>
      <c r="P251" s="634"/>
      <c r="Q251" s="634">
        <v>78372000</v>
      </c>
      <c r="R251" s="610">
        <v>134271725</v>
      </c>
      <c r="S251" s="612" t="s">
        <v>488</v>
      </c>
      <c r="T251" s="528">
        <f>+SUM(J251:J270)-SUM(Q251:Q270)</f>
        <v>0</v>
      </c>
      <c r="U251" s="656"/>
      <c r="V251" s="656"/>
      <c r="W251" s="656"/>
      <c r="Y251" s="653" t="s">
        <v>1121</v>
      </c>
      <c r="Z251" s="645">
        <v>40949</v>
      </c>
      <c r="AA251" s="644">
        <v>3254</v>
      </c>
      <c r="AB251" s="644">
        <v>76830</v>
      </c>
      <c r="AC251" s="644">
        <v>-250004820</v>
      </c>
    </row>
    <row r="252" spans="1:30" ht="14.25" customHeight="1">
      <c r="A252" s="474" t="s">
        <v>1123</v>
      </c>
      <c r="B252" s="474"/>
      <c r="C252" s="474"/>
      <c r="D252" s="474"/>
      <c r="E252" s="654" t="s">
        <v>487</v>
      </c>
      <c r="F252" s="654" t="s">
        <v>1128</v>
      </c>
      <c r="G252" s="643"/>
      <c r="H252" s="635"/>
      <c r="I252" s="635"/>
      <c r="J252" s="635"/>
      <c r="K252" s="558"/>
      <c r="L252" s="659">
        <v>40889</v>
      </c>
      <c r="M252" s="637">
        <v>100000</v>
      </c>
      <c r="N252" s="637">
        <v>17417.072</v>
      </c>
      <c r="O252" s="635">
        <v>1741707200</v>
      </c>
      <c r="P252" s="637"/>
      <c r="Q252" s="635">
        <v>630000000</v>
      </c>
      <c r="R252" s="669">
        <v>1111707200</v>
      </c>
      <c r="S252" s="521" t="s">
        <v>1129</v>
      </c>
      <c r="T252" s="669" t="s">
        <v>1506</v>
      </c>
      <c r="U252" s="654"/>
      <c r="V252" s="654"/>
      <c r="W252" s="654"/>
      <c r="Z252" s="624">
        <v>41634</v>
      </c>
      <c r="AC252" s="625">
        <f>+T242</f>
        <v>250004820</v>
      </c>
      <c r="AD252" s="665">
        <f>+XIRR(AC251:AC252,Z251:Z252)</f>
        <v>2.9802322387695314E-9</v>
      </c>
    </row>
    <row r="253" spans="1:30" ht="14.25" customHeight="1">
      <c r="A253" s="474" t="s">
        <v>1123</v>
      </c>
      <c r="B253" s="474"/>
      <c r="C253" s="474"/>
      <c r="D253" s="474"/>
      <c r="E253" s="654" t="s">
        <v>487</v>
      </c>
      <c r="F253" s="654" t="s">
        <v>1128</v>
      </c>
      <c r="G253" s="643"/>
      <c r="H253" s="635"/>
      <c r="I253" s="635"/>
      <c r="J253" s="635"/>
      <c r="K253" s="635"/>
      <c r="L253" s="659">
        <v>40890</v>
      </c>
      <c r="M253" s="637">
        <v>100000</v>
      </c>
      <c r="N253" s="637">
        <v>17634.509999999998</v>
      </c>
      <c r="O253" s="635">
        <v>1763451000</v>
      </c>
      <c r="P253" s="637"/>
      <c r="Q253" s="635">
        <v>630000000</v>
      </c>
      <c r="R253" s="669">
        <v>1133451000</v>
      </c>
      <c r="S253" s="521" t="s">
        <v>1129</v>
      </c>
      <c r="T253" s="669" t="s">
        <v>1506</v>
      </c>
      <c r="U253" s="654"/>
      <c r="V253" s="654"/>
      <c r="W253" s="654"/>
      <c r="Y253" s="656" t="s">
        <v>1122</v>
      </c>
      <c r="Z253" s="642">
        <v>41101</v>
      </c>
      <c r="AA253" s="610">
        <v>0</v>
      </c>
      <c r="AB253" s="610">
        <v>0</v>
      </c>
      <c r="AC253" s="610">
        <v>-750150000</v>
      </c>
    </row>
    <row r="254" spans="1:30" ht="14.25" customHeight="1">
      <c r="A254" s="474" t="s">
        <v>1123</v>
      </c>
      <c r="B254" s="474"/>
      <c r="C254" s="474"/>
      <c r="D254" s="474"/>
      <c r="E254" s="643" t="s">
        <v>487</v>
      </c>
      <c r="F254" s="643" t="s">
        <v>1128</v>
      </c>
      <c r="G254" s="643"/>
      <c r="H254" s="635"/>
      <c r="I254" s="635"/>
      <c r="J254" s="635"/>
      <c r="K254" s="635"/>
      <c r="L254" s="659">
        <v>40890</v>
      </c>
      <c r="M254" s="637">
        <v>2000</v>
      </c>
      <c r="N254" s="637">
        <v>19429.8</v>
      </c>
      <c r="O254" s="635">
        <v>38859600</v>
      </c>
      <c r="P254" s="635"/>
      <c r="Q254" s="635">
        <v>12600000</v>
      </c>
      <c r="R254" s="669">
        <v>26259600</v>
      </c>
      <c r="S254" s="521" t="s">
        <v>488</v>
      </c>
      <c r="T254" s="669" t="s">
        <v>1506</v>
      </c>
      <c r="U254" s="643"/>
      <c r="V254" s="643"/>
      <c r="W254" s="643"/>
      <c r="Z254" s="642">
        <v>41284</v>
      </c>
      <c r="AA254" s="610"/>
      <c r="AB254" s="610"/>
      <c r="AC254" s="610">
        <v>3750750</v>
      </c>
    </row>
    <row r="255" spans="1:30" ht="14.25" customHeight="1">
      <c r="A255" s="474" t="s">
        <v>1123</v>
      </c>
      <c r="B255" s="474"/>
      <c r="C255" s="474"/>
      <c r="D255" s="474"/>
      <c r="E255" s="643" t="s">
        <v>487</v>
      </c>
      <c r="F255" s="643" t="s">
        <v>1128</v>
      </c>
      <c r="G255" s="643"/>
      <c r="H255" s="635"/>
      <c r="I255" s="635"/>
      <c r="J255" s="635"/>
      <c r="K255" s="635"/>
      <c r="L255" s="659">
        <v>40903</v>
      </c>
      <c r="M255" s="637">
        <v>3200</v>
      </c>
      <c r="N255" s="637">
        <v>17636.2853125</v>
      </c>
      <c r="O255" s="635">
        <v>56436113</v>
      </c>
      <c r="P255" s="635"/>
      <c r="Q255" s="635">
        <v>20160000</v>
      </c>
      <c r="R255" s="669">
        <v>36276113</v>
      </c>
      <c r="S255" s="521" t="s">
        <v>488</v>
      </c>
      <c r="T255" s="669" t="s">
        <v>1506</v>
      </c>
      <c r="U255" s="643"/>
      <c r="V255" s="643"/>
      <c r="W255" s="643"/>
      <c r="Z255" s="651">
        <v>41466</v>
      </c>
      <c r="AA255" s="614"/>
      <c r="AB255" s="614"/>
      <c r="AC255" s="614">
        <v>3750750</v>
      </c>
    </row>
    <row r="256" spans="1:30" ht="14.25" customHeight="1">
      <c r="A256" s="474" t="s">
        <v>1123</v>
      </c>
      <c r="B256" s="474"/>
      <c r="C256" s="474"/>
      <c r="D256" s="474"/>
      <c r="E256" s="643" t="s">
        <v>487</v>
      </c>
      <c r="F256" s="643" t="s">
        <v>1128</v>
      </c>
      <c r="G256" s="643"/>
      <c r="H256" s="635"/>
      <c r="I256" s="635"/>
      <c r="J256" s="635"/>
      <c r="K256" s="635"/>
      <c r="L256" s="661">
        <v>40905</v>
      </c>
      <c r="M256" s="662">
        <v>7000</v>
      </c>
      <c r="N256" s="637">
        <v>17004.284857142859</v>
      </c>
      <c r="O256" s="635">
        <v>119029994</v>
      </c>
      <c r="P256" s="635"/>
      <c r="Q256" s="635">
        <v>44100000</v>
      </c>
      <c r="R256" s="648">
        <v>74929994</v>
      </c>
      <c r="S256" s="750" t="s">
        <v>488</v>
      </c>
      <c r="T256" s="669" t="s">
        <v>1506</v>
      </c>
      <c r="U256" s="643"/>
      <c r="V256" s="643"/>
      <c r="W256" s="643"/>
      <c r="Z256" s="624">
        <v>41634</v>
      </c>
      <c r="AC256" s="625">
        <f>+-AC253</f>
        <v>750150000</v>
      </c>
      <c r="AD256" s="665">
        <f>+XIRR(AC253:AC256,Z253:Z256)</f>
        <v>6.8705409765243523E-3</v>
      </c>
    </row>
    <row r="257" spans="1:30" ht="14.25" customHeight="1">
      <c r="A257" s="474" t="s">
        <v>1123</v>
      </c>
      <c r="B257" s="474"/>
      <c r="C257" s="474"/>
      <c r="D257" s="474"/>
      <c r="E257" s="643" t="s">
        <v>487</v>
      </c>
      <c r="F257" s="643" t="s">
        <v>1128</v>
      </c>
      <c r="G257" s="661"/>
      <c r="H257" s="662"/>
      <c r="I257" s="662"/>
      <c r="J257" s="662"/>
      <c r="K257" s="662"/>
      <c r="L257" s="659">
        <v>40906</v>
      </c>
      <c r="M257" s="637">
        <v>6595</v>
      </c>
      <c r="N257" s="637">
        <v>17631.48779378317</v>
      </c>
      <c r="O257" s="637">
        <v>116279662</v>
      </c>
      <c r="P257" s="637"/>
      <c r="Q257" s="637">
        <v>41548500</v>
      </c>
      <c r="R257" s="648">
        <v>74731162</v>
      </c>
      <c r="S257" s="750" t="s">
        <v>488</v>
      </c>
      <c r="T257" s="669" t="s">
        <v>1506</v>
      </c>
      <c r="U257" s="643"/>
      <c r="V257" s="643"/>
      <c r="W257" s="643"/>
    </row>
    <row r="258" spans="1:30" ht="14.25" customHeight="1">
      <c r="A258" s="474" t="s">
        <v>1123</v>
      </c>
      <c r="B258" s="474"/>
      <c r="C258" s="474"/>
      <c r="D258" s="474"/>
      <c r="E258" s="643" t="s">
        <v>487</v>
      </c>
      <c r="F258" s="643" t="s">
        <v>1128</v>
      </c>
      <c r="G258" s="643"/>
      <c r="H258" s="635"/>
      <c r="I258" s="635"/>
      <c r="J258" s="635"/>
      <c r="K258" s="635"/>
      <c r="L258" s="643">
        <v>40910</v>
      </c>
      <c r="M258" s="635">
        <v>11000</v>
      </c>
      <c r="N258" s="637">
        <v>18365.464090909092</v>
      </c>
      <c r="O258" s="635">
        <v>202020105</v>
      </c>
      <c r="P258" s="635"/>
      <c r="Q258" s="635">
        <v>69300000</v>
      </c>
      <c r="R258" s="648">
        <v>132720105</v>
      </c>
      <c r="S258" s="750" t="s">
        <v>488</v>
      </c>
      <c r="T258" s="669" t="s">
        <v>1506</v>
      </c>
      <c r="U258" s="661"/>
      <c r="V258" s="661"/>
      <c r="W258" s="661"/>
      <c r="Y258" s="609" t="s">
        <v>1113</v>
      </c>
      <c r="Z258" s="640">
        <v>40645</v>
      </c>
      <c r="AA258" s="641">
        <v>41667</v>
      </c>
      <c r="AB258" s="641">
        <v>6000</v>
      </c>
      <c r="AC258" s="641">
        <v>-250002000</v>
      </c>
    </row>
    <row r="259" spans="1:30" ht="14.25" customHeight="1">
      <c r="A259" s="474" t="s">
        <v>1123</v>
      </c>
      <c r="B259" s="474"/>
      <c r="C259" s="474"/>
      <c r="D259" s="474"/>
      <c r="E259" s="643" t="s">
        <v>487</v>
      </c>
      <c r="F259" s="643" t="s">
        <v>1128</v>
      </c>
      <c r="G259" s="643"/>
      <c r="H259" s="635"/>
      <c r="I259" s="635"/>
      <c r="J259" s="635"/>
      <c r="K259" s="635"/>
      <c r="L259" s="643">
        <v>40911</v>
      </c>
      <c r="M259" s="635">
        <v>11000</v>
      </c>
      <c r="N259" s="637">
        <v>17977.436272727271</v>
      </c>
      <c r="O259" s="635">
        <v>197751799</v>
      </c>
      <c r="P259" s="635"/>
      <c r="Q259" s="635">
        <v>69300000</v>
      </c>
      <c r="R259" s="648">
        <v>128451799</v>
      </c>
      <c r="S259" s="750" t="s">
        <v>488</v>
      </c>
      <c r="T259" s="669" t="s">
        <v>1506</v>
      </c>
      <c r="U259" s="661"/>
      <c r="V259" s="661"/>
      <c r="W259" s="661"/>
      <c r="Z259" s="624">
        <v>41634</v>
      </c>
      <c r="AC259" s="455">
        <v>500000</v>
      </c>
      <c r="AD259" s="665">
        <f>+XIRR(AC258:AC259,Z258:Z259)</f>
        <v>-0.89909381829202173</v>
      </c>
    </row>
    <row r="260" spans="1:30" ht="14.25" customHeight="1">
      <c r="A260" s="474" t="s">
        <v>1123</v>
      </c>
      <c r="B260" s="474"/>
      <c r="C260" s="474"/>
      <c r="D260" s="474"/>
      <c r="E260" s="643" t="s">
        <v>487</v>
      </c>
      <c r="F260" s="643" t="s">
        <v>1128</v>
      </c>
      <c r="G260" s="643"/>
      <c r="H260" s="635"/>
      <c r="I260" s="635"/>
      <c r="J260" s="635"/>
      <c r="K260" s="635"/>
      <c r="L260" s="643">
        <v>40912</v>
      </c>
      <c r="M260" s="635">
        <v>7450</v>
      </c>
      <c r="N260" s="637">
        <v>18042.854362416107</v>
      </c>
      <c r="O260" s="635">
        <v>134419265</v>
      </c>
      <c r="P260" s="635"/>
      <c r="Q260" s="635">
        <v>46935000</v>
      </c>
      <c r="R260" s="648">
        <v>87484265</v>
      </c>
      <c r="S260" s="750" t="s">
        <v>488</v>
      </c>
      <c r="T260" s="669" t="s">
        <v>1506</v>
      </c>
      <c r="U260" s="661"/>
      <c r="V260" s="661"/>
      <c r="W260" s="661"/>
    </row>
    <row r="261" spans="1:30" ht="14.25" customHeight="1">
      <c r="A261" s="474" t="s">
        <v>1123</v>
      </c>
      <c r="B261" s="474"/>
      <c r="C261" s="474"/>
      <c r="D261" s="474"/>
      <c r="E261" s="643" t="s">
        <v>487</v>
      </c>
      <c r="F261" s="643" t="s">
        <v>1128</v>
      </c>
      <c r="G261" s="643"/>
      <c r="H261" s="635"/>
      <c r="I261" s="635"/>
      <c r="J261" s="635"/>
      <c r="K261" s="635"/>
      <c r="L261" s="643">
        <v>40913</v>
      </c>
      <c r="M261" s="635">
        <v>6000</v>
      </c>
      <c r="N261" s="637">
        <v>17726.340666666667</v>
      </c>
      <c r="O261" s="635">
        <v>106358044</v>
      </c>
      <c r="P261" s="635"/>
      <c r="Q261" s="635">
        <v>37800000</v>
      </c>
      <c r="R261" s="648">
        <v>68558044</v>
      </c>
      <c r="S261" s="750" t="s">
        <v>488</v>
      </c>
      <c r="T261" s="669" t="s">
        <v>1506</v>
      </c>
      <c r="U261" s="661"/>
      <c r="V261" s="661"/>
      <c r="W261" s="661"/>
      <c r="X261" s="574"/>
    </row>
    <row r="262" spans="1:30" ht="14.25" customHeight="1">
      <c r="A262" s="474" t="s">
        <v>1123</v>
      </c>
      <c r="B262" s="474"/>
      <c r="C262" s="474"/>
      <c r="D262" s="474"/>
      <c r="E262" s="643" t="s">
        <v>487</v>
      </c>
      <c r="F262" s="643" t="s">
        <v>1128</v>
      </c>
      <c r="G262" s="643"/>
      <c r="H262" s="635"/>
      <c r="I262" s="635"/>
      <c r="J262" s="635"/>
      <c r="K262" s="635"/>
      <c r="L262" s="643">
        <v>40914</v>
      </c>
      <c r="M262" s="635">
        <v>3800</v>
      </c>
      <c r="N262" s="637">
        <v>17324.250526315791</v>
      </c>
      <c r="O262" s="635">
        <v>65832152</v>
      </c>
      <c r="P262" s="635"/>
      <c r="Q262" s="635">
        <v>23940000</v>
      </c>
      <c r="R262" s="648">
        <v>41892152</v>
      </c>
      <c r="S262" s="750" t="s">
        <v>488</v>
      </c>
      <c r="T262" s="669" t="s">
        <v>1506</v>
      </c>
      <c r="U262" s="661"/>
      <c r="V262" s="661"/>
      <c r="W262" s="661"/>
      <c r="X262" s="574"/>
      <c r="Y262" s="656" t="s">
        <v>1130</v>
      </c>
      <c r="Z262" s="642">
        <v>40541</v>
      </c>
      <c r="AA262" s="610">
        <v>16586</v>
      </c>
      <c r="AB262" s="610">
        <v>201681</v>
      </c>
      <c r="AC262" s="610">
        <v>-3345081066</v>
      </c>
    </row>
    <row r="263" spans="1:30" ht="14.25" customHeight="1">
      <c r="A263" s="474" t="s">
        <v>1123</v>
      </c>
      <c r="B263" s="474"/>
      <c r="C263" s="474"/>
      <c r="D263" s="474"/>
      <c r="E263" s="643" t="s">
        <v>487</v>
      </c>
      <c r="F263" s="643" t="s">
        <v>1128</v>
      </c>
      <c r="G263" s="643"/>
      <c r="H263" s="635"/>
      <c r="I263" s="635"/>
      <c r="J263" s="635"/>
      <c r="K263" s="635"/>
      <c r="L263" s="643">
        <v>40917</v>
      </c>
      <c r="M263" s="635">
        <v>6000</v>
      </c>
      <c r="N263" s="637">
        <v>17528.344666666668</v>
      </c>
      <c r="O263" s="635">
        <v>105170068</v>
      </c>
      <c r="P263" s="635"/>
      <c r="Q263" s="635">
        <v>37800000</v>
      </c>
      <c r="R263" s="648">
        <v>67370068</v>
      </c>
      <c r="S263" s="750" t="s">
        <v>488</v>
      </c>
      <c r="T263" s="669" t="s">
        <v>1506</v>
      </c>
      <c r="U263" s="661"/>
      <c r="V263" s="661"/>
      <c r="W263" s="661"/>
      <c r="X263" s="574"/>
      <c r="Y263" s="654" t="s">
        <v>1130</v>
      </c>
      <c r="Z263" s="652">
        <v>40546</v>
      </c>
      <c r="AA263" s="657">
        <v>21372</v>
      </c>
      <c r="AB263" s="657">
        <v>201681</v>
      </c>
      <c r="AC263" s="657">
        <v>-4310326332</v>
      </c>
    </row>
    <row r="264" spans="1:30" ht="14.25" customHeight="1">
      <c r="A264" s="474" t="s">
        <v>1123</v>
      </c>
      <c r="B264" s="474"/>
      <c r="C264" s="474"/>
      <c r="D264" s="474"/>
      <c r="E264" s="643" t="s">
        <v>487</v>
      </c>
      <c r="F264" s="643" t="s">
        <v>1128</v>
      </c>
      <c r="G264" s="643"/>
      <c r="H264" s="635"/>
      <c r="I264" s="635"/>
      <c r="J264" s="635"/>
      <c r="K264" s="635"/>
      <c r="L264" s="670">
        <v>40918</v>
      </c>
      <c r="M264" s="635">
        <v>5800</v>
      </c>
      <c r="N264" s="637">
        <v>17358.510689655173</v>
      </c>
      <c r="O264" s="635">
        <v>100679362</v>
      </c>
      <c r="P264" s="635"/>
      <c r="Q264" s="635">
        <v>36540000</v>
      </c>
      <c r="R264" s="648">
        <v>64139362</v>
      </c>
      <c r="S264" s="750" t="s">
        <v>488</v>
      </c>
      <c r="T264" s="669" t="s">
        <v>1506</v>
      </c>
      <c r="U264" s="661"/>
      <c r="V264" s="661"/>
      <c r="W264" s="661"/>
      <c r="X264" s="574"/>
      <c r="Z264" s="628">
        <v>41578</v>
      </c>
      <c r="AA264" s="610">
        <f>+V264+V265+V266</f>
        <v>0</v>
      </c>
      <c r="AB264" s="610" t="e">
        <f>+AC264/AA264</f>
        <v>#DIV/0!</v>
      </c>
      <c r="AC264" s="610">
        <v>12611448566</v>
      </c>
      <c r="AD264" s="665">
        <f>+XIRR(AC262:AC264,Z262:Z264)</f>
        <v>0.1926555097103119</v>
      </c>
    </row>
    <row r="265" spans="1:30" ht="14.25" customHeight="1">
      <c r="A265" s="474" t="s">
        <v>1123</v>
      </c>
      <c r="B265" s="474"/>
      <c r="C265" s="474"/>
      <c r="D265" s="474"/>
      <c r="E265" s="643" t="s">
        <v>487</v>
      </c>
      <c r="F265" s="643" t="s">
        <v>1128</v>
      </c>
      <c r="G265" s="643"/>
      <c r="H265" s="635"/>
      <c r="I265" s="635"/>
      <c r="J265" s="635"/>
      <c r="K265" s="635"/>
      <c r="L265" s="670">
        <v>40919</v>
      </c>
      <c r="M265" s="635">
        <v>14050</v>
      </c>
      <c r="N265" s="637">
        <v>17031.722633451958</v>
      </c>
      <c r="O265" s="635">
        <v>239295703</v>
      </c>
      <c r="P265" s="635"/>
      <c r="Q265" s="635">
        <v>88515000</v>
      </c>
      <c r="R265" s="648">
        <v>150780703</v>
      </c>
      <c r="S265" s="750" t="s">
        <v>488</v>
      </c>
      <c r="T265" s="669" t="s">
        <v>1506</v>
      </c>
      <c r="U265" s="661"/>
      <c r="V265" s="661"/>
      <c r="W265" s="661"/>
      <c r="X265" s="574"/>
      <c r="Y265" s="656" t="s">
        <v>1130</v>
      </c>
      <c r="Z265" s="642">
        <v>40589</v>
      </c>
      <c r="AA265" s="610">
        <v>24868</v>
      </c>
      <c r="AB265" s="610">
        <v>98129</v>
      </c>
      <c r="AC265" s="610">
        <v>-2440271972</v>
      </c>
    </row>
    <row r="266" spans="1:30" s="608" customFormat="1" ht="14.25" customHeight="1">
      <c r="A266" s="474" t="s">
        <v>1123</v>
      </c>
      <c r="B266" s="474"/>
      <c r="C266" s="474"/>
      <c r="D266" s="474"/>
      <c r="E266" s="643" t="s">
        <v>487</v>
      </c>
      <c r="F266" s="643" t="s">
        <v>1128</v>
      </c>
      <c r="G266" s="643"/>
      <c r="H266" s="635"/>
      <c r="I266" s="635"/>
      <c r="J266" s="635"/>
      <c r="K266" s="635"/>
      <c r="L266" s="670">
        <v>40920</v>
      </c>
      <c r="M266" s="635">
        <v>13255</v>
      </c>
      <c r="N266" s="637">
        <v>17240.292644285175</v>
      </c>
      <c r="O266" s="635">
        <v>228520079</v>
      </c>
      <c r="P266" s="635"/>
      <c r="Q266" s="635">
        <v>83506500</v>
      </c>
      <c r="R266" s="648">
        <v>145013579</v>
      </c>
      <c r="S266" s="750" t="s">
        <v>488</v>
      </c>
      <c r="T266" s="669" t="s">
        <v>1506</v>
      </c>
      <c r="U266" s="661"/>
      <c r="V266" s="661"/>
      <c r="W266" s="661"/>
      <c r="X266" s="574"/>
      <c r="Z266" s="675">
        <v>41033</v>
      </c>
      <c r="AA266" s="610"/>
      <c r="AB266" s="610"/>
      <c r="AC266" s="610">
        <v>24402720</v>
      </c>
      <c r="AD266" s="677"/>
    </row>
    <row r="267" spans="1:30" s="608" customFormat="1" ht="14.25" customHeight="1">
      <c r="A267" s="491" t="s">
        <v>1123</v>
      </c>
      <c r="B267" s="491"/>
      <c r="C267" s="491"/>
      <c r="D267" s="491"/>
      <c r="E267" s="652" t="s">
        <v>487</v>
      </c>
      <c r="F267" s="652" t="s">
        <v>1128</v>
      </c>
      <c r="G267" s="646"/>
      <c r="H267" s="647"/>
      <c r="I267" s="647"/>
      <c r="J267" s="647"/>
      <c r="K267" s="647"/>
      <c r="L267" s="672">
        <v>40921</v>
      </c>
      <c r="M267" s="647">
        <v>9186</v>
      </c>
      <c r="N267" s="669">
        <v>17582.896146309602</v>
      </c>
      <c r="O267" s="647">
        <v>161516484</v>
      </c>
      <c r="P267" s="647"/>
      <c r="Q267" s="657">
        <v>57871800</v>
      </c>
      <c r="R267" s="648">
        <v>103644684</v>
      </c>
      <c r="S267" s="750" t="s">
        <v>488</v>
      </c>
      <c r="T267" s="669" t="s">
        <v>1506</v>
      </c>
      <c r="U267" s="668"/>
      <c r="V267" s="668"/>
      <c r="W267" s="668"/>
      <c r="X267" s="580"/>
      <c r="Z267" s="676">
        <v>41390</v>
      </c>
      <c r="AA267" s="657"/>
      <c r="AB267" s="657"/>
      <c r="AC267" s="657">
        <v>24402720</v>
      </c>
      <c r="AD267" s="677"/>
    </row>
    <row r="268" spans="1:30" s="608" customFormat="1" ht="14.25" customHeight="1">
      <c r="A268" s="491" t="s">
        <v>1123</v>
      </c>
      <c r="B268" s="491"/>
      <c r="C268" s="491"/>
      <c r="D268" s="491"/>
      <c r="E268" s="652" t="s">
        <v>487</v>
      </c>
      <c r="F268" s="652" t="s">
        <v>1128</v>
      </c>
      <c r="G268" s="646"/>
      <c r="H268" s="647"/>
      <c r="I268" s="647"/>
      <c r="J268" s="647"/>
      <c r="K268" s="647"/>
      <c r="L268" s="673">
        <v>40924</v>
      </c>
      <c r="M268" s="647">
        <v>11347</v>
      </c>
      <c r="N268" s="669">
        <v>17948.794394994271</v>
      </c>
      <c r="O268" s="647">
        <v>203664970</v>
      </c>
      <c r="P268" s="647"/>
      <c r="Q268" s="657">
        <v>71486100</v>
      </c>
      <c r="R268" s="648">
        <v>132178870</v>
      </c>
      <c r="S268" s="750" t="s">
        <v>488</v>
      </c>
      <c r="T268" s="669" t="s">
        <v>1506</v>
      </c>
      <c r="U268" s="668"/>
      <c r="V268" s="668"/>
      <c r="W268" s="668"/>
      <c r="Z268" s="676">
        <v>41578</v>
      </c>
      <c r="AA268" s="657">
        <v>148918</v>
      </c>
      <c r="AB268" s="657">
        <f>+AC268/AA268</f>
        <v>6045</v>
      </c>
      <c r="AC268" s="657">
        <v>900209310</v>
      </c>
      <c r="AD268" s="677"/>
    </row>
    <row r="269" spans="1:30" s="608" customFormat="1" ht="14.25" customHeight="1">
      <c r="A269" s="491" t="s">
        <v>1123</v>
      </c>
      <c r="B269" s="491"/>
      <c r="C269" s="491"/>
      <c r="D269" s="491"/>
      <c r="E269" s="652" t="s">
        <v>487</v>
      </c>
      <c r="F269" s="652" t="s">
        <v>1128</v>
      </c>
      <c r="G269" s="646"/>
      <c r="H269" s="647"/>
      <c r="I269" s="647"/>
      <c r="J269" s="647"/>
      <c r="K269" s="647"/>
      <c r="L269" s="673">
        <v>40925</v>
      </c>
      <c r="M269" s="647">
        <v>14467</v>
      </c>
      <c r="N269" s="669">
        <v>18135.389991014032</v>
      </c>
      <c r="O269" s="647">
        <v>262364687</v>
      </c>
      <c r="P269" s="647"/>
      <c r="Q269" s="657">
        <v>91142100</v>
      </c>
      <c r="R269" s="648">
        <v>171222587</v>
      </c>
      <c r="S269" s="750" t="s">
        <v>488</v>
      </c>
      <c r="T269" s="669" t="s">
        <v>1506</v>
      </c>
      <c r="U269" s="668"/>
      <c r="V269" s="668"/>
      <c r="W269" s="668"/>
      <c r="Z269" s="674">
        <v>41578</v>
      </c>
      <c r="AA269" s="614">
        <f>+V266+V267-AA268</f>
        <v>-148918</v>
      </c>
      <c r="AB269" s="614">
        <f>+AC269/AA269</f>
        <v>-38870.037429995027</v>
      </c>
      <c r="AC269" s="614">
        <v>5788448234</v>
      </c>
      <c r="AD269" s="665">
        <f>+XIRR(AC265:AC269,Z265:Z269)</f>
        <v>0.45658980011939998</v>
      </c>
    </row>
    <row r="270" spans="1:30" s="608" customFormat="1" ht="14.25" customHeight="1">
      <c r="A270" s="491" t="s">
        <v>1123</v>
      </c>
      <c r="B270" s="491"/>
      <c r="C270" s="491"/>
      <c r="D270" s="491"/>
      <c r="E270" s="651" t="s">
        <v>487</v>
      </c>
      <c r="F270" s="651" t="s">
        <v>1128</v>
      </c>
      <c r="G270" s="651"/>
      <c r="H270" s="614"/>
      <c r="I270" s="614"/>
      <c r="J270" s="614"/>
      <c r="K270" s="614"/>
      <c r="L270" s="632">
        <v>41011</v>
      </c>
      <c r="M270" s="614"/>
      <c r="N270" s="614"/>
      <c r="O270" s="614">
        <v>5667750</v>
      </c>
      <c r="P270" s="614"/>
      <c r="Q270" s="614">
        <v>0</v>
      </c>
      <c r="R270" s="644">
        <v>5667750</v>
      </c>
      <c r="S270" s="613" t="s">
        <v>1116</v>
      </c>
      <c r="T270" s="669" t="s">
        <v>1506</v>
      </c>
      <c r="U270" s="668"/>
      <c r="V270" s="668"/>
      <c r="W270" s="668"/>
      <c r="AD270" s="677"/>
    </row>
    <row r="271" spans="1:30" s="608" customFormat="1" ht="14.25" customHeight="1">
      <c r="A271" s="491" t="s">
        <v>1123</v>
      </c>
      <c r="B271" s="491"/>
      <c r="C271" s="491"/>
      <c r="D271" s="491"/>
      <c r="E271" s="656" t="s">
        <v>487</v>
      </c>
      <c r="F271" s="656" t="s">
        <v>1130</v>
      </c>
      <c r="G271" s="642">
        <v>40541</v>
      </c>
      <c r="H271" s="610">
        <v>16586</v>
      </c>
      <c r="I271" s="610">
        <v>201681</v>
      </c>
      <c r="J271" s="610">
        <v>3345081066</v>
      </c>
      <c r="K271" s="612" t="s">
        <v>1082</v>
      </c>
      <c r="L271" s="628">
        <v>41578</v>
      </c>
      <c r="M271" s="610">
        <f>+H271+H272+H273</f>
        <v>759160</v>
      </c>
      <c r="N271" s="610">
        <f>+O271/M271</f>
        <v>16612.372314136679</v>
      </c>
      <c r="O271" s="610">
        <v>12611448566</v>
      </c>
      <c r="P271" s="610"/>
      <c r="Q271" s="610">
        <f>+J271+J272</f>
        <v>7655407398</v>
      </c>
      <c r="R271" s="610">
        <f>+O271-Q271</f>
        <v>4956041168</v>
      </c>
      <c r="S271" s="612" t="s">
        <v>1509</v>
      </c>
      <c r="T271" s="669" t="s">
        <v>1506</v>
      </c>
      <c r="U271" s="664"/>
      <c r="V271" s="664"/>
      <c r="W271" s="664"/>
      <c r="AD271" s="677"/>
    </row>
    <row r="272" spans="1:30" s="608" customFormat="1" ht="14.25" customHeight="1">
      <c r="A272" s="491" t="s">
        <v>1123</v>
      </c>
      <c r="B272" s="491"/>
      <c r="C272" s="491"/>
      <c r="D272" s="491" t="s">
        <v>1131</v>
      </c>
      <c r="E272" s="654" t="s">
        <v>487</v>
      </c>
      <c r="F272" s="654" t="s">
        <v>1130</v>
      </c>
      <c r="G272" s="652">
        <v>40546</v>
      </c>
      <c r="H272" s="657">
        <v>21372</v>
      </c>
      <c r="I272" s="657">
        <v>201681</v>
      </c>
      <c r="J272" s="657">
        <v>4310326332</v>
      </c>
      <c r="K272" s="650" t="s">
        <v>1082</v>
      </c>
      <c r="L272" s="630"/>
      <c r="M272" s="657"/>
      <c r="N272" s="657"/>
      <c r="O272" s="657"/>
      <c r="P272" s="657"/>
      <c r="Q272" s="657"/>
      <c r="R272" s="657">
        <v>0</v>
      </c>
      <c r="S272" s="650"/>
      <c r="T272" s="669" t="s">
        <v>1506</v>
      </c>
      <c r="U272" s="476"/>
      <c r="V272" s="476"/>
      <c r="W272" s="476"/>
      <c r="X272" s="580"/>
      <c r="AD272" s="677"/>
    </row>
    <row r="273" spans="1:30" s="608" customFormat="1" ht="14.25" customHeight="1">
      <c r="A273" s="491" t="s">
        <v>1123</v>
      </c>
      <c r="B273" s="491"/>
      <c r="C273" s="491"/>
      <c r="D273" s="491"/>
      <c r="E273" s="655" t="s">
        <v>1494</v>
      </c>
      <c r="F273" s="655" t="s">
        <v>1510</v>
      </c>
      <c r="G273" s="651"/>
      <c r="H273" s="614">
        <v>721202</v>
      </c>
      <c r="I273" s="614"/>
      <c r="J273" s="614"/>
      <c r="K273" s="613" t="s">
        <v>1511</v>
      </c>
      <c r="L273" s="674"/>
      <c r="M273" s="614"/>
      <c r="N273" s="614"/>
      <c r="O273" s="614"/>
      <c r="P273" s="614"/>
      <c r="Q273" s="614"/>
      <c r="R273" s="614"/>
      <c r="S273" s="613"/>
      <c r="T273" s="669" t="s">
        <v>1506</v>
      </c>
      <c r="U273" s="491"/>
      <c r="V273" s="491"/>
      <c r="W273" s="491"/>
      <c r="X273" s="580"/>
      <c r="AD273" s="677"/>
    </row>
    <row r="274" spans="1:30" s="608" customFormat="1" ht="14.25" customHeight="1">
      <c r="A274" s="491" t="s">
        <v>1123</v>
      </c>
      <c r="B274" s="491"/>
      <c r="C274" s="491"/>
      <c r="D274" s="491" t="s">
        <v>1088</v>
      </c>
      <c r="E274" s="656" t="s">
        <v>487</v>
      </c>
      <c r="F274" s="656" t="s">
        <v>1130</v>
      </c>
      <c r="G274" s="642">
        <v>40589</v>
      </c>
      <c r="H274" s="610">
        <v>24868</v>
      </c>
      <c r="I274" s="610">
        <v>98129</v>
      </c>
      <c r="J274" s="610">
        <v>2440271972</v>
      </c>
      <c r="K274" s="612" t="s">
        <v>1132</v>
      </c>
      <c r="L274" s="675">
        <v>41033</v>
      </c>
      <c r="M274" s="610"/>
      <c r="N274" s="610"/>
      <c r="O274" s="610">
        <v>24402720</v>
      </c>
      <c r="P274" s="610"/>
      <c r="Q274" s="610">
        <v>0</v>
      </c>
      <c r="R274" s="610">
        <v>24402720</v>
      </c>
      <c r="S274" s="612" t="s">
        <v>1116</v>
      </c>
      <c r="T274" s="669" t="s">
        <v>1506</v>
      </c>
      <c r="U274" s="656"/>
      <c r="V274" s="656"/>
      <c r="W274" s="656"/>
      <c r="X274" s="580"/>
      <c r="AD274" s="677"/>
    </row>
    <row r="275" spans="1:30" s="608" customFormat="1" ht="14.25" customHeight="1">
      <c r="A275" s="491" t="s">
        <v>1123</v>
      </c>
      <c r="B275" s="491"/>
      <c r="C275" s="491"/>
      <c r="D275" s="491" t="s">
        <v>1088</v>
      </c>
      <c r="E275" s="654" t="s">
        <v>487</v>
      </c>
      <c r="F275" s="654" t="s">
        <v>1130</v>
      </c>
      <c r="G275" s="652"/>
      <c r="H275" s="657">
        <v>472492</v>
      </c>
      <c r="I275" s="657">
        <v>0</v>
      </c>
      <c r="J275" s="657">
        <v>0</v>
      </c>
      <c r="K275" s="650" t="s">
        <v>1511</v>
      </c>
      <c r="L275" s="676">
        <v>41390</v>
      </c>
      <c r="M275" s="657"/>
      <c r="N275" s="657"/>
      <c r="O275" s="657">
        <v>24402720</v>
      </c>
      <c r="P275" s="657"/>
      <c r="Q275" s="657">
        <v>0</v>
      </c>
      <c r="R275" s="657">
        <v>24402720</v>
      </c>
      <c r="S275" s="650" t="s">
        <v>1116</v>
      </c>
      <c r="T275" s="669" t="s">
        <v>1506</v>
      </c>
      <c r="U275" s="655"/>
      <c r="V275" s="655"/>
      <c r="W275" s="655"/>
      <c r="X275" s="580"/>
      <c r="AD275" s="677"/>
    </row>
    <row r="276" spans="1:30" s="608" customFormat="1" ht="14.25" customHeight="1">
      <c r="A276" s="491" t="s">
        <v>1123</v>
      </c>
      <c r="B276" s="491"/>
      <c r="C276" s="491"/>
      <c r="D276" s="491" t="s">
        <v>1088</v>
      </c>
      <c r="E276" s="654" t="s">
        <v>487</v>
      </c>
      <c r="F276" s="654" t="s">
        <v>1130</v>
      </c>
      <c r="G276" s="652"/>
      <c r="H276" s="657"/>
      <c r="I276" s="657"/>
      <c r="J276" s="657"/>
      <c r="K276" s="650"/>
      <c r="L276" s="676">
        <v>41578</v>
      </c>
      <c r="M276" s="657">
        <v>148918</v>
      </c>
      <c r="N276" s="657">
        <f>+O276/M276</f>
        <v>6045</v>
      </c>
      <c r="O276" s="657">
        <v>900209310</v>
      </c>
      <c r="P276" s="657"/>
      <c r="Q276" s="657">
        <f>+ROUNDDOWN(J274/(H274+H275)*M276,0)</f>
        <v>730658721</v>
      </c>
      <c r="R276" s="657">
        <f>+O276-Q276</f>
        <v>169550589</v>
      </c>
      <c r="S276" s="650" t="s">
        <v>1512</v>
      </c>
      <c r="T276" s="669" t="s">
        <v>1506</v>
      </c>
      <c r="U276" s="491"/>
      <c r="V276" s="491"/>
      <c r="W276" s="491"/>
      <c r="X276" s="580"/>
      <c r="AD276" s="677"/>
    </row>
    <row r="277" spans="1:30" s="608" customFormat="1" ht="14.25" customHeight="1">
      <c r="A277" s="491" t="s">
        <v>1123</v>
      </c>
      <c r="B277" s="491"/>
      <c r="C277" s="491"/>
      <c r="D277" s="491" t="s">
        <v>1088</v>
      </c>
      <c r="E277" s="655" t="s">
        <v>487</v>
      </c>
      <c r="F277" s="655" t="s">
        <v>1130</v>
      </c>
      <c r="G277" s="651"/>
      <c r="H277" s="614"/>
      <c r="I277" s="614"/>
      <c r="J277" s="614"/>
      <c r="K277" s="613"/>
      <c r="L277" s="674">
        <v>41578</v>
      </c>
      <c r="M277" s="614">
        <f>+H274+H275-M276</f>
        <v>348442</v>
      </c>
      <c r="N277" s="614">
        <f>+O277/M277</f>
        <v>16612.372314474145</v>
      </c>
      <c r="O277" s="614">
        <v>5788448234</v>
      </c>
      <c r="P277" s="614"/>
      <c r="Q277" s="614">
        <f>+J274-Q276</f>
        <v>1709613251</v>
      </c>
      <c r="R277" s="614">
        <f>+O277-Q277</f>
        <v>4078834983</v>
      </c>
      <c r="S277" s="612" t="s">
        <v>1509</v>
      </c>
      <c r="T277" s="669" t="s">
        <v>1506</v>
      </c>
      <c r="U277" s="491"/>
      <c r="V277" s="491"/>
      <c r="W277" s="491"/>
      <c r="X277" s="580"/>
      <c r="AD277" s="677"/>
    </row>
    <row r="278" spans="1:30" s="608" customFormat="1" ht="14.25" customHeight="1">
      <c r="A278" s="491" t="s">
        <v>1123</v>
      </c>
      <c r="B278" s="491"/>
      <c r="C278" s="491"/>
      <c r="D278" s="491"/>
      <c r="E278" s="656" t="s">
        <v>487</v>
      </c>
      <c r="F278" s="656" t="s">
        <v>1133</v>
      </c>
      <c r="G278" s="642">
        <v>40632</v>
      </c>
      <c r="H278" s="610">
        <v>140000</v>
      </c>
      <c r="I278" s="610">
        <v>14350</v>
      </c>
      <c r="J278" s="610">
        <v>2009000000</v>
      </c>
      <c r="K278" s="612" t="s">
        <v>1513</v>
      </c>
      <c r="L278" s="628">
        <v>41016</v>
      </c>
      <c r="M278" s="610"/>
      <c r="N278" s="610"/>
      <c r="O278" s="610">
        <v>168000000</v>
      </c>
      <c r="P278" s="610"/>
      <c r="Q278" s="610">
        <v>0</v>
      </c>
      <c r="R278" s="610">
        <v>168000000</v>
      </c>
      <c r="S278" s="612" t="s">
        <v>1116</v>
      </c>
      <c r="T278" s="669" t="s">
        <v>1506</v>
      </c>
      <c r="U278" s="656"/>
      <c r="V278" s="656"/>
      <c r="W278" s="656"/>
      <c r="X278" s="580"/>
      <c r="Y278" s="656" t="s">
        <v>1133</v>
      </c>
      <c r="Z278" s="642">
        <v>40632</v>
      </c>
      <c r="AA278" s="610">
        <v>140000</v>
      </c>
      <c r="AB278" s="610">
        <v>14350</v>
      </c>
      <c r="AC278" s="610">
        <v>-2009000000</v>
      </c>
      <c r="AD278" s="677"/>
    </row>
    <row r="279" spans="1:30" s="608" customFormat="1" ht="14.25" customHeight="1">
      <c r="A279" s="491" t="s">
        <v>1123</v>
      </c>
      <c r="B279" s="491"/>
      <c r="C279" s="491"/>
      <c r="D279" s="491"/>
      <c r="E279" s="654" t="s">
        <v>487</v>
      </c>
      <c r="F279" s="654" t="s">
        <v>1133</v>
      </c>
      <c r="G279" s="652"/>
      <c r="H279" s="657"/>
      <c r="I279" s="657"/>
      <c r="J279" s="657"/>
      <c r="K279" s="650"/>
      <c r="L279" s="630">
        <v>41375</v>
      </c>
      <c r="M279" s="657"/>
      <c r="N279" s="657"/>
      <c r="O279" s="657">
        <v>133000000</v>
      </c>
      <c r="P279" s="657"/>
      <c r="Q279" s="657">
        <v>0</v>
      </c>
      <c r="R279" s="657">
        <v>133000000</v>
      </c>
      <c r="S279" s="650" t="s">
        <v>1116</v>
      </c>
      <c r="T279" s="669" t="s">
        <v>1506</v>
      </c>
      <c r="U279" s="655"/>
      <c r="V279" s="655"/>
      <c r="W279" s="655"/>
      <c r="Z279" s="628">
        <v>41016</v>
      </c>
      <c r="AA279" s="610"/>
      <c r="AB279" s="610"/>
      <c r="AC279" s="610">
        <v>168000000</v>
      </c>
      <c r="AD279" s="677"/>
    </row>
    <row r="280" spans="1:30" s="773" customFormat="1" ht="14.25" customHeight="1">
      <c r="A280" s="777" t="s">
        <v>1123</v>
      </c>
      <c r="B280" s="491"/>
      <c r="C280" s="491"/>
      <c r="D280" s="491"/>
      <c r="E280" s="778" t="s">
        <v>487</v>
      </c>
      <c r="F280" s="778" t="s">
        <v>1133</v>
      </c>
      <c r="G280" s="779"/>
      <c r="H280" s="780"/>
      <c r="I280" s="780"/>
      <c r="J280" s="780"/>
      <c r="K280" s="781"/>
      <c r="L280" s="793">
        <v>41638</v>
      </c>
      <c r="M280" s="780">
        <v>140000</v>
      </c>
      <c r="N280" s="780">
        <f>+O280/M280</f>
        <v>19330</v>
      </c>
      <c r="O280" s="780">
        <v>2706200000</v>
      </c>
      <c r="P280" s="614"/>
      <c r="Q280" s="780">
        <v>2009000000</v>
      </c>
      <c r="R280" s="780">
        <f>+O280-Q280</f>
        <v>697200000</v>
      </c>
      <c r="S280" s="781" t="s">
        <v>1514</v>
      </c>
      <c r="T280" s="669" t="s">
        <v>1506</v>
      </c>
      <c r="U280" s="777"/>
      <c r="V280" s="777"/>
      <c r="W280" s="777"/>
      <c r="Z280" s="794"/>
      <c r="AA280" s="791"/>
      <c r="AB280" s="791"/>
      <c r="AC280" s="791"/>
      <c r="AD280" s="774"/>
    </row>
    <row r="281" spans="1:30" s="608" customFormat="1" ht="14.25" customHeight="1">
      <c r="A281" s="474" t="s">
        <v>1123</v>
      </c>
      <c r="B281" s="474"/>
      <c r="C281" s="474"/>
      <c r="D281" s="474"/>
      <c r="E281" s="512" t="s">
        <v>487</v>
      </c>
      <c r="F281" s="512" t="s">
        <v>1135</v>
      </c>
      <c r="G281" s="661">
        <v>40630</v>
      </c>
      <c r="H281" s="662">
        <v>870</v>
      </c>
      <c r="I281" s="662">
        <v>1158500</v>
      </c>
      <c r="J281" s="662">
        <v>1007895000</v>
      </c>
      <c r="K281" s="558" t="s">
        <v>1136</v>
      </c>
      <c r="L281" s="626">
        <v>40961</v>
      </c>
      <c r="M281" s="662">
        <v>0</v>
      </c>
      <c r="N281" s="662">
        <v>0</v>
      </c>
      <c r="O281" s="662">
        <v>503059920</v>
      </c>
      <c r="P281" s="662"/>
      <c r="Q281" s="662">
        <v>834178117</v>
      </c>
      <c r="R281" s="648">
        <v>842688283</v>
      </c>
      <c r="S281" s="750" t="s">
        <v>1137</v>
      </c>
      <c r="T281" s="528">
        <f>+SUM(J281:J284)-SUM(Q281:Q284)</f>
        <v>4009525300</v>
      </c>
      <c r="U281" s="456"/>
      <c r="V281" s="456"/>
      <c r="W281" s="456"/>
      <c r="Z281" s="632">
        <v>41375</v>
      </c>
      <c r="AA281" s="614"/>
      <c r="AB281" s="614"/>
      <c r="AC281" s="614">
        <v>133000000</v>
      </c>
      <c r="AD281" s="677"/>
    </row>
    <row r="282" spans="1:30" s="608" customFormat="1" ht="14.25" customHeight="1">
      <c r="A282" s="474" t="s">
        <v>1123</v>
      </c>
      <c r="B282" s="474"/>
      <c r="C282" s="474"/>
      <c r="D282" s="474"/>
      <c r="E282" s="545" t="s">
        <v>487</v>
      </c>
      <c r="F282" s="545" t="s">
        <v>1135</v>
      </c>
      <c r="G282" s="518">
        <v>40637</v>
      </c>
      <c r="H282" s="452">
        <v>3480</v>
      </c>
      <c r="I282" s="452">
        <v>1158500</v>
      </c>
      <c r="J282" s="452">
        <v>4031580000</v>
      </c>
      <c r="K282" s="557" t="s">
        <v>1136</v>
      </c>
      <c r="L282" s="537">
        <v>40973</v>
      </c>
      <c r="M282" s="452">
        <v>69292</v>
      </c>
      <c r="N282" s="452">
        <v>24200</v>
      </c>
      <c r="O282" s="452">
        <v>1173806480</v>
      </c>
      <c r="P282" s="452"/>
      <c r="Q282" s="452"/>
      <c r="R282" s="647"/>
      <c r="S282" s="746" t="s">
        <v>1137</v>
      </c>
      <c r="T282" s="647"/>
      <c r="U282" s="450"/>
      <c r="V282" s="450"/>
      <c r="W282" s="450"/>
      <c r="Z282" s="681">
        <v>41634</v>
      </c>
      <c r="AC282" s="528">
        <v>2706200000</v>
      </c>
      <c r="AD282" s="665">
        <f>+XIRR(AC278:AC282,Z278:Z282)</f>
        <v>0.16744888424873355</v>
      </c>
    </row>
    <row r="283" spans="1:30" s="608" customFormat="1" ht="14.25" customHeight="1">
      <c r="A283" s="474" t="s">
        <v>1123</v>
      </c>
      <c r="B283" s="474"/>
      <c r="C283" s="474"/>
      <c r="D283" s="474"/>
      <c r="E283" s="545" t="s">
        <v>487</v>
      </c>
      <c r="F283" s="545" t="s">
        <v>1135</v>
      </c>
      <c r="G283" s="518">
        <v>40701</v>
      </c>
      <c r="H283" s="452">
        <v>37511</v>
      </c>
      <c r="I283" s="452"/>
      <c r="J283" s="452"/>
      <c r="K283" s="557" t="s">
        <v>1138</v>
      </c>
      <c r="L283" s="537">
        <v>40974</v>
      </c>
      <c r="M283" s="452">
        <v>16262</v>
      </c>
      <c r="N283" s="452">
        <v>24200</v>
      </c>
      <c r="O283" s="452">
        <v>393540400</v>
      </c>
      <c r="P283" s="452"/>
      <c r="Q283" s="452">
        <v>195771583</v>
      </c>
      <c r="R283" s="647">
        <v>197768817</v>
      </c>
      <c r="S283" s="746"/>
      <c r="T283" s="647"/>
      <c r="U283" s="545"/>
      <c r="V283" s="545"/>
      <c r="W283" s="545"/>
      <c r="Y283" s="512" t="s">
        <v>1135</v>
      </c>
      <c r="Z283" s="661">
        <v>40630</v>
      </c>
      <c r="AA283" s="662">
        <v>870</v>
      </c>
      <c r="AB283" s="662">
        <v>1158500</v>
      </c>
      <c r="AC283" s="662">
        <v>-1007895000</v>
      </c>
      <c r="AD283" s="677"/>
    </row>
    <row r="284" spans="1:30" s="608" customFormat="1" ht="14.25" customHeight="1">
      <c r="A284" s="474" t="s">
        <v>1123</v>
      </c>
      <c r="B284" s="474"/>
      <c r="C284" s="474"/>
      <c r="D284" s="474"/>
      <c r="E284" s="449" t="s">
        <v>487</v>
      </c>
      <c r="F284" s="449" t="s">
        <v>1135</v>
      </c>
      <c r="G284" s="457">
        <v>40730</v>
      </c>
      <c r="H284" s="636">
        <v>376749</v>
      </c>
      <c r="I284" s="636">
        <v>12038.592006879911</v>
      </c>
      <c r="J284" s="636"/>
      <c r="K284" s="470" t="s">
        <v>1139</v>
      </c>
      <c r="L284" s="667"/>
      <c r="M284" s="636"/>
      <c r="N284" s="636"/>
      <c r="O284" s="636"/>
      <c r="P284" s="636"/>
      <c r="Q284" s="636"/>
      <c r="R284" s="614">
        <v>0</v>
      </c>
      <c r="S284" s="613"/>
      <c r="T284" s="614"/>
      <c r="U284" s="545"/>
      <c r="V284" s="545"/>
      <c r="W284" s="545"/>
      <c r="Y284" s="545" t="s">
        <v>1135</v>
      </c>
      <c r="Z284" s="518">
        <v>40637</v>
      </c>
      <c r="AA284" s="452">
        <v>3480</v>
      </c>
      <c r="AB284" s="452">
        <v>1158500</v>
      </c>
      <c r="AC284" s="452">
        <v>-4031580000</v>
      </c>
      <c r="AD284" s="677"/>
    </row>
    <row r="285" spans="1:30" s="608" customFormat="1" ht="14.25" customHeight="1">
      <c r="A285" s="474" t="s">
        <v>1123</v>
      </c>
      <c r="B285" s="474"/>
      <c r="C285" s="474"/>
      <c r="D285" s="474"/>
      <c r="E285" s="545" t="s">
        <v>487</v>
      </c>
      <c r="F285" s="545" t="s">
        <v>1135</v>
      </c>
      <c r="G285" s="652">
        <v>40672</v>
      </c>
      <c r="H285" s="657">
        <v>170</v>
      </c>
      <c r="I285" s="657">
        <v>1150000</v>
      </c>
      <c r="J285" s="657">
        <v>195500000</v>
      </c>
      <c r="K285" s="650" t="s">
        <v>1140</v>
      </c>
      <c r="L285" s="630">
        <v>40961</v>
      </c>
      <c r="M285" s="657"/>
      <c r="N285" s="657"/>
      <c r="O285" s="657">
        <v>19660080</v>
      </c>
      <c r="P285" s="657"/>
      <c r="Q285" s="657"/>
      <c r="R285" s="657">
        <v>19660080</v>
      </c>
      <c r="S285" s="650" t="s">
        <v>1137</v>
      </c>
      <c r="T285" s="528">
        <f>+SUM(J285:J287)-SUM(Q285:Q287)</f>
        <v>155539609</v>
      </c>
      <c r="U285" s="655"/>
      <c r="V285" s="655"/>
      <c r="W285" s="655"/>
      <c r="Y285" s="545" t="s">
        <v>1135</v>
      </c>
      <c r="Z285" s="652">
        <v>40672</v>
      </c>
      <c r="AA285" s="657">
        <v>170</v>
      </c>
      <c r="AB285" s="657">
        <v>1150000</v>
      </c>
      <c r="AC285" s="657">
        <v>-195500000</v>
      </c>
      <c r="AD285" s="584"/>
    </row>
    <row r="286" spans="1:30" s="608" customFormat="1" ht="14.25" customHeight="1">
      <c r="A286" s="491" t="s">
        <v>1123</v>
      </c>
      <c r="B286" s="491"/>
      <c r="C286" s="491"/>
      <c r="D286" s="491"/>
      <c r="E286" s="654" t="s">
        <v>487</v>
      </c>
      <c r="F286" s="654" t="s">
        <v>1135</v>
      </c>
      <c r="G286" s="652">
        <v>40701</v>
      </c>
      <c r="H286" s="657">
        <v>1466</v>
      </c>
      <c r="I286" s="657"/>
      <c r="J286" s="657"/>
      <c r="K286" s="650" t="s">
        <v>1138</v>
      </c>
      <c r="L286" s="630">
        <v>40973</v>
      </c>
      <c r="M286" s="657">
        <v>2708</v>
      </c>
      <c r="N286" s="657">
        <v>24200</v>
      </c>
      <c r="O286" s="657">
        <v>45873520</v>
      </c>
      <c r="P286" s="657"/>
      <c r="Q286" s="657">
        <v>32360269</v>
      </c>
      <c r="R286" s="657">
        <v>13513251</v>
      </c>
      <c r="S286" s="650" t="s">
        <v>1137</v>
      </c>
      <c r="T286" s="657"/>
      <c r="U286" s="655"/>
      <c r="V286" s="655"/>
      <c r="W286" s="655"/>
      <c r="Z286" s="626">
        <v>40961</v>
      </c>
      <c r="AA286" s="662">
        <v>0</v>
      </c>
      <c r="AB286" s="662">
        <v>0</v>
      </c>
      <c r="AC286" s="662">
        <v>503059920</v>
      </c>
      <c r="AD286" s="677"/>
    </row>
    <row r="287" spans="1:30" s="608" customFormat="1" ht="14.25" customHeight="1">
      <c r="A287" s="491" t="s">
        <v>1123</v>
      </c>
      <c r="B287" s="491"/>
      <c r="C287" s="491"/>
      <c r="D287" s="491"/>
      <c r="E287" s="655" t="s">
        <v>487</v>
      </c>
      <c r="F287" s="655" t="s">
        <v>1135</v>
      </c>
      <c r="G287" s="651">
        <v>40730</v>
      </c>
      <c r="H287" s="614">
        <v>14724</v>
      </c>
      <c r="I287" s="614">
        <v>11949.877750611247</v>
      </c>
      <c r="J287" s="614"/>
      <c r="K287" s="613" t="s">
        <v>1139</v>
      </c>
      <c r="L287" s="651">
        <v>40974</v>
      </c>
      <c r="M287" s="614">
        <v>636</v>
      </c>
      <c r="N287" s="614">
        <v>24200</v>
      </c>
      <c r="O287" s="614">
        <v>15391200</v>
      </c>
      <c r="P287" s="614"/>
      <c r="Q287" s="614">
        <v>7600122</v>
      </c>
      <c r="R287" s="614">
        <v>7791078</v>
      </c>
      <c r="S287" s="613" t="s">
        <v>1137</v>
      </c>
      <c r="T287" s="614"/>
      <c r="U287" s="655"/>
      <c r="V287" s="655"/>
      <c r="W287" s="655"/>
      <c r="Z287" s="537">
        <v>40973</v>
      </c>
      <c r="AA287" s="452">
        <v>69292</v>
      </c>
      <c r="AB287" s="452">
        <v>24200</v>
      </c>
      <c r="AC287" s="452">
        <v>1173806480</v>
      </c>
      <c r="AD287" s="677"/>
    </row>
    <row r="288" spans="1:30" s="608" customFormat="1" ht="14.25" customHeight="1">
      <c r="A288" s="491" t="s">
        <v>1123</v>
      </c>
      <c r="B288" s="491"/>
      <c r="C288" s="491"/>
      <c r="D288" s="491"/>
      <c r="E288" s="655" t="s">
        <v>487</v>
      </c>
      <c r="F288" s="655" t="s">
        <v>1114</v>
      </c>
      <c r="G288" s="645">
        <v>40667</v>
      </c>
      <c r="H288" s="644">
        <v>119047</v>
      </c>
      <c r="I288" s="644">
        <v>12085.644316950447</v>
      </c>
      <c r="J288" s="644">
        <v>1438759699</v>
      </c>
      <c r="K288" s="747" t="s">
        <v>1136</v>
      </c>
      <c r="L288" s="645">
        <v>41011</v>
      </c>
      <c r="M288" s="644"/>
      <c r="N288" s="644"/>
      <c r="O288" s="644">
        <v>5952350</v>
      </c>
      <c r="P288" s="644"/>
      <c r="Q288" s="644">
        <v>0</v>
      </c>
      <c r="R288" s="644">
        <v>5952350</v>
      </c>
      <c r="S288" s="747" t="s">
        <v>1116</v>
      </c>
      <c r="T288" s="644">
        <f>+J288-Q288</f>
        <v>1438759699</v>
      </c>
      <c r="U288" s="655"/>
      <c r="V288" s="655"/>
      <c r="W288" s="655"/>
      <c r="Z288" s="537">
        <v>40974</v>
      </c>
      <c r="AA288" s="452">
        <v>16262</v>
      </c>
      <c r="AB288" s="452">
        <v>24200</v>
      </c>
      <c r="AC288" s="452">
        <v>393540400</v>
      </c>
      <c r="AD288" s="677"/>
    </row>
    <row r="289" spans="1:30" s="608" customFormat="1" ht="14.25" customHeight="1">
      <c r="A289" s="475" t="s">
        <v>1123</v>
      </c>
      <c r="B289" s="511"/>
      <c r="C289" s="511"/>
      <c r="D289" s="511"/>
      <c r="E289" s="466" t="s">
        <v>1101</v>
      </c>
      <c r="F289" s="467"/>
      <c r="G289" s="446"/>
      <c r="H289" s="539"/>
      <c r="I289" s="539"/>
      <c r="J289" s="550">
        <f>SUM(J250:J288)</f>
        <v>22399331069</v>
      </c>
      <c r="K289" s="550">
        <f t="shared" ref="K289:S289" si="1">SUM(K250:K288)</f>
        <v>0</v>
      </c>
      <c r="L289" s="550"/>
      <c r="M289" s="550"/>
      <c r="N289" s="550"/>
      <c r="O289" s="550">
        <f t="shared" si="1"/>
        <v>31057344563</v>
      </c>
      <c r="P289" s="550">
        <f t="shared" si="1"/>
        <v>0</v>
      </c>
      <c r="Q289" s="550">
        <f t="shared" si="1"/>
        <v>16795506461</v>
      </c>
      <c r="R289" s="550">
        <f>SUM(R250:R288)</f>
        <v>14261838102</v>
      </c>
      <c r="S289" s="550">
        <f t="shared" si="1"/>
        <v>0</v>
      </c>
      <c r="T289" s="550">
        <f>SUM(T250:T288)</f>
        <v>5603824608</v>
      </c>
      <c r="U289" s="467"/>
      <c r="V289" s="467"/>
      <c r="W289" s="467"/>
      <c r="Z289" s="630">
        <v>40961</v>
      </c>
      <c r="AA289" s="657"/>
      <c r="AB289" s="657"/>
      <c r="AC289" s="657">
        <v>19660080</v>
      </c>
      <c r="AD289" s="677"/>
    </row>
    <row r="290" spans="1:30" s="608" customFormat="1" ht="14.25" customHeight="1">
      <c r="A290" s="473" t="s">
        <v>1141</v>
      </c>
      <c r="B290" s="474" t="s">
        <v>1142</v>
      </c>
      <c r="C290" s="474"/>
      <c r="D290" s="474" t="s">
        <v>1142</v>
      </c>
      <c r="E290" s="456" t="s">
        <v>487</v>
      </c>
      <c r="F290" s="638" t="s">
        <v>1143</v>
      </c>
      <c r="G290" s="638">
        <v>40533</v>
      </c>
      <c r="H290" s="634">
        <v>76923</v>
      </c>
      <c r="I290" s="634">
        <v>6500</v>
      </c>
      <c r="J290" s="634">
        <v>499999500</v>
      </c>
      <c r="K290" s="469" t="s">
        <v>1132</v>
      </c>
      <c r="L290" s="638"/>
      <c r="M290" s="634"/>
      <c r="N290" s="634"/>
      <c r="O290" s="634"/>
      <c r="P290" s="634"/>
      <c r="Q290" s="634"/>
      <c r="R290" s="610"/>
      <c r="S290" s="612"/>
      <c r="T290" s="612">
        <f>+J290-Q290</f>
        <v>499999500</v>
      </c>
      <c r="U290" s="638"/>
      <c r="V290" s="638"/>
      <c r="W290" s="638"/>
      <c r="Z290" s="630">
        <v>40973</v>
      </c>
      <c r="AA290" s="657">
        <v>2708</v>
      </c>
      <c r="AB290" s="657">
        <v>24200</v>
      </c>
      <c r="AC290" s="657">
        <v>45873520</v>
      </c>
      <c r="AD290" s="677"/>
    </row>
    <row r="291" spans="1:30" s="608" customFormat="1" ht="14.25" customHeight="1">
      <c r="A291" s="474" t="s">
        <v>1141</v>
      </c>
      <c r="B291" s="474" t="s">
        <v>1144</v>
      </c>
      <c r="C291" s="474"/>
      <c r="D291" s="474" t="s">
        <v>1144</v>
      </c>
      <c r="E291" s="450" t="s">
        <v>1094</v>
      </c>
      <c r="F291" s="643" t="s">
        <v>1143</v>
      </c>
      <c r="G291" s="643">
        <v>40533</v>
      </c>
      <c r="H291" s="635">
        <v>0</v>
      </c>
      <c r="I291" s="635">
        <v>0</v>
      </c>
      <c r="J291" s="635">
        <v>500000000</v>
      </c>
      <c r="K291" s="471" t="s">
        <v>1084</v>
      </c>
      <c r="L291" s="643">
        <v>41759</v>
      </c>
      <c r="M291" s="635" t="s">
        <v>1506</v>
      </c>
      <c r="N291" s="635" t="s">
        <v>1506</v>
      </c>
      <c r="O291" s="635">
        <v>50000000</v>
      </c>
      <c r="P291" s="635"/>
      <c r="Q291" s="635">
        <v>36273799</v>
      </c>
      <c r="R291" s="657">
        <f>O291-Q291</f>
        <v>13726201</v>
      </c>
      <c r="S291" s="650" t="s">
        <v>1515</v>
      </c>
      <c r="T291" s="650">
        <f>+J291-Q291</f>
        <v>463726201</v>
      </c>
      <c r="U291" s="643"/>
      <c r="V291" s="643"/>
      <c r="W291" s="643"/>
      <c r="Z291" s="651">
        <v>40974</v>
      </c>
      <c r="AA291" s="614">
        <v>636</v>
      </c>
      <c r="AB291" s="614">
        <v>24200</v>
      </c>
      <c r="AC291" s="614">
        <v>15391200</v>
      </c>
      <c r="AD291" s="677"/>
    </row>
    <row r="292" spans="1:30" s="608" customFormat="1" ht="14.25" customHeight="1">
      <c r="A292" s="474" t="s">
        <v>1141</v>
      </c>
      <c r="B292" s="474"/>
      <c r="C292" s="474"/>
      <c r="D292" s="474" t="s">
        <v>19</v>
      </c>
      <c r="E292" s="449" t="s">
        <v>304</v>
      </c>
      <c r="F292" s="457" t="s">
        <v>1143</v>
      </c>
      <c r="G292" s="457">
        <v>40533</v>
      </c>
      <c r="H292" s="636">
        <v>82000</v>
      </c>
      <c r="I292" s="636">
        <v>5000</v>
      </c>
      <c r="J292" s="636">
        <v>410000000</v>
      </c>
      <c r="K292" s="470" t="s">
        <v>1145</v>
      </c>
      <c r="L292" s="651"/>
      <c r="M292" s="614"/>
      <c r="N292" s="614"/>
      <c r="O292" s="614"/>
      <c r="P292" s="614"/>
      <c r="Q292" s="614"/>
      <c r="R292" s="614">
        <v>0</v>
      </c>
      <c r="S292" s="613"/>
      <c r="T292" s="613">
        <f>+J292-Q292</f>
        <v>410000000</v>
      </c>
      <c r="U292" s="457"/>
      <c r="V292" s="457"/>
      <c r="W292" s="457"/>
      <c r="Z292" s="681">
        <v>41634</v>
      </c>
      <c r="AC292" s="528">
        <f>+T281+T285</f>
        <v>4165064909</v>
      </c>
      <c r="AD292" s="665">
        <f>+XIRR(AC283:AC292,Z283:Z292)</f>
        <v>9.4569781422615032E-2</v>
      </c>
    </row>
    <row r="293" spans="1:30" s="608" customFormat="1" ht="14.25" customHeight="1">
      <c r="A293" s="491" t="s">
        <v>1141</v>
      </c>
      <c r="B293" s="491"/>
      <c r="C293" s="491"/>
      <c r="D293" s="491" t="s">
        <v>1081</v>
      </c>
      <c r="E293" s="653" t="s">
        <v>487</v>
      </c>
      <c r="F293" s="653" t="s">
        <v>1089</v>
      </c>
      <c r="G293" s="645">
        <v>40641</v>
      </c>
      <c r="H293" s="644">
        <v>407692</v>
      </c>
      <c r="I293" s="644">
        <v>6500</v>
      </c>
      <c r="J293" s="644">
        <v>2649998000</v>
      </c>
      <c r="K293" s="747" t="s">
        <v>1146</v>
      </c>
      <c r="L293" s="645"/>
      <c r="M293" s="644"/>
      <c r="N293" s="644"/>
      <c r="O293" s="644"/>
      <c r="P293" s="644"/>
      <c r="Q293" s="644"/>
      <c r="R293" s="644">
        <v>0</v>
      </c>
      <c r="S293" s="747"/>
      <c r="T293" s="644">
        <f>+J293-Q293</f>
        <v>2649998000</v>
      </c>
      <c r="U293" s="653"/>
      <c r="V293" s="653"/>
      <c r="W293" s="653"/>
      <c r="Y293" s="655" t="s">
        <v>1114</v>
      </c>
      <c r="Z293" s="645">
        <v>40667</v>
      </c>
      <c r="AA293" s="644">
        <v>119047</v>
      </c>
      <c r="AB293" s="644">
        <v>12085.644316950447</v>
      </c>
      <c r="AC293" s="644">
        <v>-1438759699</v>
      </c>
      <c r="AD293" s="677"/>
    </row>
    <row r="294" spans="1:30" s="608" customFormat="1" ht="14.25" customHeight="1">
      <c r="A294" s="491" t="s">
        <v>1141</v>
      </c>
      <c r="B294" s="551"/>
      <c r="C294" s="551"/>
      <c r="D294" s="551" t="s">
        <v>793</v>
      </c>
      <c r="E294" s="656" t="s">
        <v>1094</v>
      </c>
      <c r="F294" s="638" t="s">
        <v>1147</v>
      </c>
      <c r="G294" s="638">
        <v>40701</v>
      </c>
      <c r="H294" s="634">
        <v>0</v>
      </c>
      <c r="I294" s="634">
        <v>0</v>
      </c>
      <c r="J294" s="634">
        <v>500000000</v>
      </c>
      <c r="K294" s="469" t="s">
        <v>1084</v>
      </c>
      <c r="L294" s="642">
        <v>40792</v>
      </c>
      <c r="M294" s="610"/>
      <c r="N294" s="610"/>
      <c r="O294" s="610">
        <v>5041095</v>
      </c>
      <c r="P294" s="610"/>
      <c r="Q294" s="610">
        <v>0</v>
      </c>
      <c r="R294" s="610">
        <v>5041095</v>
      </c>
      <c r="S294" s="612" t="s">
        <v>1096</v>
      </c>
      <c r="T294" s="528">
        <f>+SUM(J294:J307)-SUM(Q294:Q307)</f>
        <v>0</v>
      </c>
      <c r="U294" s="638"/>
      <c r="V294" s="638"/>
      <c r="W294" s="638"/>
      <c r="Z294" s="645">
        <v>41011</v>
      </c>
      <c r="AA294" s="644"/>
      <c r="AB294" s="644"/>
      <c r="AC294" s="644">
        <v>5952350</v>
      </c>
      <c r="AD294" s="677"/>
    </row>
    <row r="295" spans="1:30" ht="14.25" customHeight="1">
      <c r="A295" s="491" t="s">
        <v>1141</v>
      </c>
      <c r="B295" s="551"/>
      <c r="C295" s="551"/>
      <c r="D295" s="551" t="s">
        <v>793</v>
      </c>
      <c r="E295" s="476" t="s">
        <v>1094</v>
      </c>
      <c r="F295" s="518" t="s">
        <v>1148</v>
      </c>
      <c r="G295" s="518"/>
      <c r="H295" s="452"/>
      <c r="I295" s="452"/>
      <c r="J295" s="452"/>
      <c r="K295" s="469" t="s">
        <v>1084</v>
      </c>
      <c r="L295" s="646">
        <v>40882</v>
      </c>
      <c r="M295" s="647"/>
      <c r="N295" s="647"/>
      <c r="O295" s="647">
        <v>10000000</v>
      </c>
      <c r="P295" s="647"/>
      <c r="Q295" s="647">
        <v>0</v>
      </c>
      <c r="R295" s="647">
        <v>10000000</v>
      </c>
      <c r="S295" s="746" t="s">
        <v>1149</v>
      </c>
      <c r="T295" s="669" t="s">
        <v>1506</v>
      </c>
      <c r="U295" s="643"/>
      <c r="V295" s="643"/>
      <c r="W295" s="643"/>
      <c r="X295" s="608"/>
      <c r="Z295" s="624">
        <v>41634</v>
      </c>
      <c r="AC295" s="625">
        <f>+-AC293</f>
        <v>1438759699</v>
      </c>
      <c r="AD295" s="665">
        <f>+XIRR(AC293:AC295,Z293:Z295)</f>
        <v>1.5637427568435667E-3</v>
      </c>
    </row>
    <row r="296" spans="1:30" s="608" customFormat="1" ht="14.25" customHeight="1">
      <c r="A296" s="491" t="s">
        <v>1141</v>
      </c>
      <c r="B296" s="551"/>
      <c r="C296" s="551"/>
      <c r="D296" s="551" t="s">
        <v>793</v>
      </c>
      <c r="E296" s="654" t="s">
        <v>1094</v>
      </c>
      <c r="F296" s="643" t="s">
        <v>1148</v>
      </c>
      <c r="G296" s="643"/>
      <c r="H296" s="635"/>
      <c r="I296" s="635"/>
      <c r="J296" s="635"/>
      <c r="K296" s="469" t="s">
        <v>1084</v>
      </c>
      <c r="L296" s="652">
        <v>40883</v>
      </c>
      <c r="M296" s="657"/>
      <c r="N296" s="657"/>
      <c r="O296" s="657">
        <v>4986301</v>
      </c>
      <c r="P296" s="657"/>
      <c r="Q296" s="657">
        <v>0</v>
      </c>
      <c r="R296" s="647">
        <v>4986301</v>
      </c>
      <c r="S296" s="650" t="s">
        <v>1096</v>
      </c>
      <c r="T296" s="669" t="s">
        <v>1506</v>
      </c>
      <c r="U296" s="457"/>
      <c r="V296" s="457"/>
      <c r="W296" s="457"/>
      <c r="AD296" s="677"/>
    </row>
    <row r="297" spans="1:30" s="608" customFormat="1" ht="14.25" customHeight="1">
      <c r="A297" s="491" t="s">
        <v>1141</v>
      </c>
      <c r="B297" s="551"/>
      <c r="C297" s="551"/>
      <c r="D297" s="551" t="s">
        <v>793</v>
      </c>
      <c r="E297" s="654" t="s">
        <v>1094</v>
      </c>
      <c r="F297" s="643" t="s">
        <v>1148</v>
      </c>
      <c r="G297" s="643"/>
      <c r="H297" s="635"/>
      <c r="I297" s="635"/>
      <c r="J297" s="635"/>
      <c r="K297" s="469" t="s">
        <v>1084</v>
      </c>
      <c r="L297" s="652">
        <v>40974</v>
      </c>
      <c r="M297" s="657"/>
      <c r="N297" s="657"/>
      <c r="O297" s="657">
        <v>4976420</v>
      </c>
      <c r="P297" s="657"/>
      <c r="Q297" s="657">
        <v>0</v>
      </c>
      <c r="R297" s="647">
        <v>4976420</v>
      </c>
      <c r="S297" s="650" t="s">
        <v>1096</v>
      </c>
      <c r="T297" s="669" t="s">
        <v>1506</v>
      </c>
      <c r="U297" s="546"/>
      <c r="V297" s="546"/>
      <c r="W297" s="546"/>
      <c r="X297" s="574"/>
      <c r="AD297" s="677"/>
    </row>
    <row r="298" spans="1:30" s="608" customFormat="1" ht="14.25" customHeight="1">
      <c r="A298" s="491" t="s">
        <v>1141</v>
      </c>
      <c r="B298" s="551"/>
      <c r="C298" s="551"/>
      <c r="D298" s="551" t="s">
        <v>793</v>
      </c>
      <c r="E298" s="654" t="s">
        <v>1094</v>
      </c>
      <c r="F298" s="643" t="s">
        <v>1148</v>
      </c>
      <c r="G298" s="643"/>
      <c r="H298" s="635"/>
      <c r="I298" s="635"/>
      <c r="J298" s="635"/>
      <c r="K298" s="469" t="s">
        <v>1084</v>
      </c>
      <c r="L298" s="652">
        <v>41067</v>
      </c>
      <c r="M298" s="657"/>
      <c r="N298" s="657"/>
      <c r="O298" s="657">
        <v>5027322</v>
      </c>
      <c r="P298" s="657"/>
      <c r="Q298" s="657">
        <v>0</v>
      </c>
      <c r="R298" s="647">
        <v>5027322</v>
      </c>
      <c r="S298" s="650" t="s">
        <v>1096</v>
      </c>
      <c r="T298" s="669" t="s">
        <v>1506</v>
      </c>
      <c r="U298" s="546"/>
      <c r="V298" s="546"/>
      <c r="W298" s="546"/>
      <c r="AD298" s="677"/>
    </row>
    <row r="299" spans="1:30" s="608" customFormat="1" ht="14.25" customHeight="1">
      <c r="A299" s="491" t="s">
        <v>1141</v>
      </c>
      <c r="B299" s="551"/>
      <c r="C299" s="551"/>
      <c r="D299" s="551" t="s">
        <v>793</v>
      </c>
      <c r="E299" s="654" t="s">
        <v>1094</v>
      </c>
      <c r="F299" s="643" t="s">
        <v>1148</v>
      </c>
      <c r="G299" s="643"/>
      <c r="H299" s="635"/>
      <c r="I299" s="635"/>
      <c r="J299" s="635"/>
      <c r="K299" s="469" t="s">
        <v>1084</v>
      </c>
      <c r="L299" s="652">
        <v>41229</v>
      </c>
      <c r="M299" s="657"/>
      <c r="N299" s="657"/>
      <c r="O299" s="657">
        <v>5271134</v>
      </c>
      <c r="P299" s="657"/>
      <c r="Q299" s="657">
        <v>0</v>
      </c>
      <c r="R299" s="647">
        <v>5271134</v>
      </c>
      <c r="S299" s="650" t="s">
        <v>1096</v>
      </c>
      <c r="T299" s="669" t="s">
        <v>1506</v>
      </c>
      <c r="U299" s="546"/>
      <c r="V299" s="546"/>
      <c r="W299" s="546"/>
      <c r="AD299" s="677"/>
    </row>
    <row r="300" spans="1:30" s="608" customFormat="1" ht="14.25" customHeight="1">
      <c r="A300" s="491" t="s">
        <v>1141</v>
      </c>
      <c r="B300" s="551"/>
      <c r="C300" s="551"/>
      <c r="D300" s="551" t="s">
        <v>793</v>
      </c>
      <c r="E300" s="654" t="s">
        <v>1094</v>
      </c>
      <c r="F300" s="643" t="s">
        <v>1148</v>
      </c>
      <c r="G300" s="643"/>
      <c r="H300" s="635"/>
      <c r="I300" s="635"/>
      <c r="J300" s="635"/>
      <c r="K300" s="469" t="s">
        <v>1084</v>
      </c>
      <c r="L300" s="652">
        <v>41253</v>
      </c>
      <c r="M300" s="657"/>
      <c r="N300" s="657"/>
      <c r="O300" s="657">
        <v>4986265</v>
      </c>
      <c r="P300" s="657"/>
      <c r="Q300" s="657"/>
      <c r="R300" s="647">
        <v>4986265</v>
      </c>
      <c r="S300" s="650" t="s">
        <v>1096</v>
      </c>
      <c r="T300" s="669" t="s">
        <v>1506</v>
      </c>
      <c r="U300" s="659"/>
      <c r="V300" s="659"/>
      <c r="W300" s="659"/>
      <c r="AD300" s="677"/>
    </row>
    <row r="301" spans="1:30" s="608" customFormat="1" ht="14.25" customHeight="1">
      <c r="A301" s="491" t="s">
        <v>1141</v>
      </c>
      <c r="B301" s="551"/>
      <c r="C301" s="551"/>
      <c r="D301" s="551"/>
      <c r="E301" s="654" t="s">
        <v>1094</v>
      </c>
      <c r="F301" s="643" t="s">
        <v>1148</v>
      </c>
      <c r="G301" s="643"/>
      <c r="H301" s="635"/>
      <c r="I301" s="635"/>
      <c r="J301" s="635"/>
      <c r="K301" s="469" t="s">
        <v>1084</v>
      </c>
      <c r="L301" s="652">
        <v>41270</v>
      </c>
      <c r="M301" s="657"/>
      <c r="N301" s="657"/>
      <c r="O301" s="657">
        <v>114378480</v>
      </c>
      <c r="P301" s="657"/>
      <c r="Q301" s="657">
        <v>100000000</v>
      </c>
      <c r="R301" s="647">
        <v>14378480</v>
      </c>
      <c r="S301" s="650" t="s">
        <v>1150</v>
      </c>
      <c r="T301" s="669" t="s">
        <v>1506</v>
      </c>
      <c r="U301" s="661"/>
      <c r="V301" s="661"/>
      <c r="W301" s="661"/>
      <c r="AD301" s="677"/>
    </row>
    <row r="302" spans="1:30" s="608" customFormat="1" ht="14.25" customHeight="1">
      <c r="A302" s="491" t="s">
        <v>1141</v>
      </c>
      <c r="B302" s="551"/>
      <c r="C302" s="551"/>
      <c r="D302" s="551"/>
      <c r="E302" s="654" t="s">
        <v>1094</v>
      </c>
      <c r="F302" s="643" t="s">
        <v>1148</v>
      </c>
      <c r="G302" s="643"/>
      <c r="H302" s="635"/>
      <c r="I302" s="635"/>
      <c r="J302" s="635"/>
      <c r="K302" s="469" t="s">
        <v>1084</v>
      </c>
      <c r="L302" s="652">
        <v>41285</v>
      </c>
      <c r="M302" s="657"/>
      <c r="N302" s="657"/>
      <c r="O302" s="657">
        <v>114784275</v>
      </c>
      <c r="P302" s="657"/>
      <c r="Q302" s="657">
        <v>100000000</v>
      </c>
      <c r="R302" s="657">
        <v>14784275</v>
      </c>
      <c r="S302" s="650" t="s">
        <v>1505</v>
      </c>
      <c r="T302" s="669" t="s">
        <v>1506</v>
      </c>
      <c r="U302" s="643"/>
      <c r="V302" s="643"/>
      <c r="W302" s="643"/>
      <c r="AD302" s="677"/>
    </row>
    <row r="303" spans="1:30" s="608" customFormat="1" ht="14.25" customHeight="1">
      <c r="A303" s="491" t="s">
        <v>1141</v>
      </c>
      <c r="B303" s="551"/>
      <c r="C303" s="551"/>
      <c r="D303" s="551"/>
      <c r="E303" s="654" t="s">
        <v>1094</v>
      </c>
      <c r="F303" s="643" t="s">
        <v>1148</v>
      </c>
      <c r="G303" s="643"/>
      <c r="H303" s="635"/>
      <c r="I303" s="635"/>
      <c r="J303" s="635"/>
      <c r="K303" s="469" t="s">
        <v>1084</v>
      </c>
      <c r="L303" s="652">
        <v>41339</v>
      </c>
      <c r="M303" s="657"/>
      <c r="N303" s="657"/>
      <c r="O303" s="657">
        <v>3551913</v>
      </c>
      <c r="P303" s="657"/>
      <c r="Q303" s="657">
        <v>0</v>
      </c>
      <c r="R303" s="657">
        <v>3551913</v>
      </c>
      <c r="S303" s="650" t="s">
        <v>1096</v>
      </c>
      <c r="T303" s="669" t="s">
        <v>1506</v>
      </c>
      <c r="U303" s="643"/>
      <c r="V303" s="643"/>
      <c r="W303" s="643"/>
      <c r="AD303" s="677"/>
    </row>
    <row r="304" spans="1:30" s="608" customFormat="1" ht="14.25" customHeight="1">
      <c r="A304" s="491" t="s">
        <v>1141</v>
      </c>
      <c r="B304" s="551"/>
      <c r="C304" s="551"/>
      <c r="D304" s="551"/>
      <c r="E304" s="654" t="s">
        <v>1094</v>
      </c>
      <c r="F304" s="643" t="s">
        <v>1148</v>
      </c>
      <c r="G304" s="518"/>
      <c r="H304" s="452"/>
      <c r="I304" s="452"/>
      <c r="J304" s="452"/>
      <c r="K304" s="469" t="s">
        <v>1084</v>
      </c>
      <c r="L304" s="646">
        <v>41446</v>
      </c>
      <c r="M304" s="647"/>
      <c r="N304" s="647"/>
      <c r="O304" s="647">
        <v>3059797</v>
      </c>
      <c r="P304" s="647"/>
      <c r="Q304" s="647">
        <v>0</v>
      </c>
      <c r="R304" s="647">
        <v>3059797</v>
      </c>
      <c r="S304" s="746" t="s">
        <v>1096</v>
      </c>
      <c r="T304" s="669" t="s">
        <v>1506</v>
      </c>
      <c r="U304" s="518"/>
      <c r="V304" s="518"/>
      <c r="W304" s="518"/>
      <c r="AD304" s="677"/>
    </row>
    <row r="305" spans="1:30" s="608" customFormat="1" ht="14.25" customHeight="1">
      <c r="A305" s="491" t="s">
        <v>1141</v>
      </c>
      <c r="B305" s="551"/>
      <c r="C305" s="551"/>
      <c r="D305" s="551"/>
      <c r="E305" s="654" t="s">
        <v>1094</v>
      </c>
      <c r="F305" s="643" t="s">
        <v>1148</v>
      </c>
      <c r="G305" s="518"/>
      <c r="H305" s="452"/>
      <c r="I305" s="452"/>
      <c r="J305" s="452"/>
      <c r="K305" s="469" t="s">
        <v>1084</v>
      </c>
      <c r="L305" s="646">
        <v>41558</v>
      </c>
      <c r="M305" s="647"/>
      <c r="N305" s="647"/>
      <c r="O305" s="647">
        <v>4247851</v>
      </c>
      <c r="P305" s="647"/>
      <c r="Q305" s="647"/>
      <c r="R305" s="647">
        <v>4247851</v>
      </c>
      <c r="S305" s="746" t="s">
        <v>1096</v>
      </c>
      <c r="T305" s="669" t="s">
        <v>1506</v>
      </c>
      <c r="U305" s="518"/>
      <c r="V305" s="518"/>
      <c r="W305" s="518"/>
      <c r="AD305" s="677"/>
    </row>
    <row r="306" spans="1:30" s="608" customFormat="1" ht="14.25" customHeight="1">
      <c r="A306" s="491" t="s">
        <v>1141</v>
      </c>
      <c r="B306" s="551"/>
      <c r="C306" s="551"/>
      <c r="D306" s="551"/>
      <c r="E306" s="654" t="s">
        <v>1094</v>
      </c>
      <c r="F306" s="643" t="s">
        <v>1148</v>
      </c>
      <c r="G306" s="518"/>
      <c r="H306" s="452"/>
      <c r="I306" s="452"/>
      <c r="J306" s="452"/>
      <c r="K306" s="469" t="s">
        <v>1084</v>
      </c>
      <c r="L306" s="518">
        <v>41558</v>
      </c>
      <c r="M306" s="452"/>
      <c r="N306" s="452"/>
      <c r="O306" s="452">
        <v>215384615</v>
      </c>
      <c r="P306" s="452"/>
      <c r="Q306" s="452"/>
      <c r="R306" s="647">
        <v>215384615</v>
      </c>
      <c r="S306" s="795" t="s">
        <v>1500</v>
      </c>
      <c r="T306" s="669" t="s">
        <v>1506</v>
      </c>
      <c r="U306" s="518"/>
      <c r="V306" s="518"/>
      <c r="W306" s="518"/>
      <c r="AD306" s="677"/>
    </row>
    <row r="307" spans="1:30" ht="14.25" customHeight="1">
      <c r="A307" s="491" t="s">
        <v>1141</v>
      </c>
      <c r="B307" s="551"/>
      <c r="C307" s="551"/>
      <c r="D307" s="551"/>
      <c r="E307" s="655" t="s">
        <v>1094</v>
      </c>
      <c r="F307" s="457" t="s">
        <v>1148</v>
      </c>
      <c r="G307" s="457"/>
      <c r="H307" s="636"/>
      <c r="I307" s="636"/>
      <c r="J307" s="636"/>
      <c r="K307" s="469" t="s">
        <v>1084</v>
      </c>
      <c r="L307" s="457">
        <v>41558</v>
      </c>
      <c r="M307" s="636"/>
      <c r="N307" s="636"/>
      <c r="O307" s="636">
        <v>367279443</v>
      </c>
      <c r="P307" s="636"/>
      <c r="Q307" s="636">
        <v>300000000</v>
      </c>
      <c r="R307" s="614">
        <v>67279443</v>
      </c>
      <c r="S307" s="796" t="s">
        <v>1515</v>
      </c>
      <c r="T307" s="614" t="s">
        <v>1506</v>
      </c>
      <c r="U307" s="457"/>
      <c r="V307" s="457"/>
      <c r="W307" s="457"/>
      <c r="X307" s="608"/>
    </row>
    <row r="308" spans="1:30" ht="14.25" customHeight="1">
      <c r="A308" s="491" t="s">
        <v>1516</v>
      </c>
      <c r="B308" s="551"/>
      <c r="C308" s="551"/>
      <c r="D308" s="551"/>
      <c r="E308" s="656" t="s">
        <v>487</v>
      </c>
      <c r="F308" s="638" t="s">
        <v>1121</v>
      </c>
      <c r="G308" s="638">
        <v>40949</v>
      </c>
      <c r="H308" s="634">
        <v>3254</v>
      </c>
      <c r="I308" s="634">
        <v>76830</v>
      </c>
      <c r="J308" s="634">
        <v>250004820</v>
      </c>
      <c r="K308" s="469" t="s">
        <v>1517</v>
      </c>
      <c r="L308" s="638"/>
      <c r="M308" s="634"/>
      <c r="N308" s="634"/>
      <c r="O308" s="634"/>
      <c r="P308" s="634"/>
      <c r="Q308" s="634"/>
      <c r="R308" s="610">
        <v>0</v>
      </c>
      <c r="S308" s="612"/>
      <c r="T308" s="610">
        <f>+SUM(J308:J310)-SUM(Q308:Q310)</f>
        <v>5249865946</v>
      </c>
      <c r="U308" s="546"/>
      <c r="V308" s="546"/>
      <c r="W308" s="546"/>
      <c r="X308" s="608"/>
    </row>
    <row r="309" spans="1:30" ht="14.25" customHeight="1">
      <c r="A309" s="491" t="s">
        <v>1516</v>
      </c>
      <c r="B309" s="551"/>
      <c r="C309" s="551"/>
      <c r="D309" s="608"/>
      <c r="E309" s="654" t="s">
        <v>487</v>
      </c>
      <c r="F309" s="797" t="s">
        <v>1518</v>
      </c>
      <c r="G309" s="620">
        <v>41673</v>
      </c>
      <c r="H309" s="635">
        <v>36841</v>
      </c>
      <c r="I309" s="635">
        <f>1999950526/36841</f>
        <v>54286</v>
      </c>
      <c r="J309" s="635">
        <v>1999950526</v>
      </c>
      <c r="K309" s="471" t="s">
        <v>1517</v>
      </c>
      <c r="L309" s="643"/>
      <c r="M309" s="635"/>
      <c r="N309" s="635"/>
      <c r="O309" s="635"/>
      <c r="P309" s="798"/>
      <c r="Q309" s="635"/>
      <c r="R309" s="657"/>
      <c r="S309" s="650"/>
      <c r="T309" s="657"/>
      <c r="U309" s="799"/>
      <c r="V309" s="659"/>
      <c r="W309" s="659"/>
      <c r="X309" s="608"/>
    </row>
    <row r="310" spans="1:30" ht="14.25" customHeight="1">
      <c r="A310" s="491" t="s">
        <v>1516</v>
      </c>
      <c r="B310" s="551"/>
      <c r="C310" s="551"/>
      <c r="D310" s="608"/>
      <c r="E310" s="653" t="s">
        <v>487</v>
      </c>
      <c r="F310" s="800" t="s">
        <v>1121</v>
      </c>
      <c r="G310" s="358">
        <v>41981</v>
      </c>
      <c r="H310" s="590">
        <v>17320</v>
      </c>
      <c r="I310" s="590">
        <v>173205</v>
      </c>
      <c r="J310" s="590">
        <f>H310*I310</f>
        <v>2999910600</v>
      </c>
      <c r="K310" s="477" t="s">
        <v>1517</v>
      </c>
      <c r="L310" s="546"/>
      <c r="M310" s="590"/>
      <c r="N310" s="590"/>
      <c r="O310" s="590"/>
      <c r="P310" s="801"/>
      <c r="Q310" s="590"/>
      <c r="R310" s="644"/>
      <c r="S310" s="747"/>
      <c r="T310" s="644"/>
      <c r="U310" s="799"/>
      <c r="V310" s="659"/>
      <c r="W310" s="659"/>
      <c r="X310" s="608"/>
    </row>
    <row r="311" spans="1:30" ht="14.25" customHeight="1">
      <c r="A311" s="491" t="s">
        <v>1141</v>
      </c>
      <c r="B311" s="551"/>
      <c r="C311" s="551"/>
      <c r="D311" s="551"/>
      <c r="E311" s="664" t="s">
        <v>304</v>
      </c>
      <c r="F311" s="661" t="s">
        <v>1151</v>
      </c>
      <c r="G311" s="661">
        <v>41026</v>
      </c>
      <c r="H311" s="662">
        <v>60000</v>
      </c>
      <c r="I311" s="662">
        <v>20500</v>
      </c>
      <c r="J311" s="662">
        <v>1230000000</v>
      </c>
      <c r="K311" s="558" t="s">
        <v>1145</v>
      </c>
      <c r="L311" s="668">
        <v>41347</v>
      </c>
      <c r="M311" s="648">
        <v>6000</v>
      </c>
      <c r="N311" s="648">
        <v>29880</v>
      </c>
      <c r="O311" s="648">
        <v>179280000</v>
      </c>
      <c r="P311" s="648"/>
      <c r="Q311" s="648">
        <v>123000000</v>
      </c>
      <c r="R311" s="648">
        <v>56280000</v>
      </c>
      <c r="S311" s="750" t="s">
        <v>488</v>
      </c>
      <c r="T311" s="528">
        <f>+SUM(J311:J334)-SUM(Q311:Q334)</f>
        <v>0</v>
      </c>
      <c r="U311" s="638"/>
      <c r="V311" s="638"/>
      <c r="W311" s="638"/>
      <c r="X311" s="608"/>
    </row>
    <row r="312" spans="1:30" ht="14.25" customHeight="1">
      <c r="A312" s="491" t="s">
        <v>1141</v>
      </c>
      <c r="B312" s="551"/>
      <c r="C312" s="551"/>
      <c r="D312" s="551"/>
      <c r="E312" s="654" t="s">
        <v>304</v>
      </c>
      <c r="F312" s="643" t="s">
        <v>1151</v>
      </c>
      <c r="G312" s="643"/>
      <c r="H312" s="635"/>
      <c r="I312" s="635"/>
      <c r="J312" s="635"/>
      <c r="K312" s="558" t="s">
        <v>1145</v>
      </c>
      <c r="L312" s="643">
        <v>41348</v>
      </c>
      <c r="M312" s="635">
        <v>7600</v>
      </c>
      <c r="N312" s="635">
        <v>31422.595921052631</v>
      </c>
      <c r="O312" s="657">
        <v>238811729</v>
      </c>
      <c r="P312" s="635"/>
      <c r="Q312" s="635">
        <v>155800000</v>
      </c>
      <c r="R312" s="657">
        <v>83011729</v>
      </c>
      <c r="S312" s="650" t="s">
        <v>488</v>
      </c>
      <c r="T312" s="657" t="s">
        <v>1506</v>
      </c>
      <c r="U312" s="643"/>
      <c r="V312" s="643"/>
      <c r="W312" s="643"/>
      <c r="X312" s="608"/>
    </row>
    <row r="313" spans="1:30" ht="14.25" customHeight="1">
      <c r="A313" s="491" t="s">
        <v>1141</v>
      </c>
      <c r="B313" s="551"/>
      <c r="C313" s="551"/>
      <c r="D313" s="551"/>
      <c r="E313" s="654" t="s">
        <v>304</v>
      </c>
      <c r="F313" s="643" t="s">
        <v>1151</v>
      </c>
      <c r="G313" s="643"/>
      <c r="H313" s="635"/>
      <c r="I313" s="635"/>
      <c r="J313" s="635"/>
      <c r="K313" s="558" t="s">
        <v>1145</v>
      </c>
      <c r="L313" s="643">
        <v>41351</v>
      </c>
      <c r="M313" s="635">
        <v>799</v>
      </c>
      <c r="N313" s="635">
        <v>31930.102628285356</v>
      </c>
      <c r="O313" s="657">
        <v>25512152</v>
      </c>
      <c r="P313" s="635"/>
      <c r="Q313" s="635">
        <v>16379500</v>
      </c>
      <c r="R313" s="657">
        <v>9132652</v>
      </c>
      <c r="S313" s="650" t="s">
        <v>488</v>
      </c>
      <c r="T313" s="657" t="s">
        <v>1506</v>
      </c>
      <c r="U313" s="643"/>
      <c r="V313" s="643"/>
      <c r="W313" s="643"/>
      <c r="X313" s="608"/>
    </row>
    <row r="314" spans="1:30" ht="14.25" customHeight="1">
      <c r="A314" s="491" t="s">
        <v>1141</v>
      </c>
      <c r="B314" s="551"/>
      <c r="C314" s="551"/>
      <c r="D314" s="551"/>
      <c r="E314" s="654" t="s">
        <v>304</v>
      </c>
      <c r="F314" s="643" t="s">
        <v>1151</v>
      </c>
      <c r="G314" s="643"/>
      <c r="H314" s="635"/>
      <c r="I314" s="635"/>
      <c r="J314" s="635"/>
      <c r="K314" s="558" t="s">
        <v>1145</v>
      </c>
      <c r="L314" s="643">
        <v>41352</v>
      </c>
      <c r="M314" s="635">
        <v>3289</v>
      </c>
      <c r="N314" s="635">
        <v>32445.849194283976</v>
      </c>
      <c r="O314" s="657">
        <v>106714398</v>
      </c>
      <c r="P314" s="635"/>
      <c r="Q314" s="635">
        <v>67424500</v>
      </c>
      <c r="R314" s="657">
        <v>39289898</v>
      </c>
      <c r="S314" s="650" t="s">
        <v>488</v>
      </c>
      <c r="T314" s="657" t="s">
        <v>1506</v>
      </c>
      <c r="U314" s="643"/>
      <c r="V314" s="643"/>
      <c r="W314" s="643"/>
      <c r="X314" s="574"/>
      <c r="Y314" s="645" t="s">
        <v>1152</v>
      </c>
      <c r="Z314" s="645">
        <v>41089</v>
      </c>
      <c r="AA314" s="644">
        <v>166667</v>
      </c>
      <c r="AB314" s="644">
        <v>9000</v>
      </c>
      <c r="AC314" s="644">
        <v>-1500003000</v>
      </c>
    </row>
    <row r="315" spans="1:30" ht="14.25" customHeight="1">
      <c r="A315" s="491" t="s">
        <v>1141</v>
      </c>
      <c r="B315" s="551"/>
      <c r="C315" s="551"/>
      <c r="D315" s="551"/>
      <c r="E315" s="654" t="s">
        <v>304</v>
      </c>
      <c r="F315" s="643" t="s">
        <v>1151</v>
      </c>
      <c r="G315" s="643"/>
      <c r="H315" s="635"/>
      <c r="I315" s="635"/>
      <c r="J315" s="635"/>
      <c r="K315" s="558" t="s">
        <v>1145</v>
      </c>
      <c r="L315" s="643">
        <v>41355</v>
      </c>
      <c r="M315" s="635">
        <v>4400</v>
      </c>
      <c r="N315" s="635">
        <v>31496.874772727271</v>
      </c>
      <c r="O315" s="657">
        <v>138586249</v>
      </c>
      <c r="P315" s="635"/>
      <c r="Q315" s="635">
        <v>90200000</v>
      </c>
      <c r="R315" s="657">
        <v>48386249</v>
      </c>
      <c r="S315" s="650" t="s">
        <v>488</v>
      </c>
      <c r="T315" s="657" t="s">
        <v>1506</v>
      </c>
      <c r="U315" s="643"/>
      <c r="V315" s="643"/>
      <c r="W315" s="643"/>
      <c r="Z315" s="624">
        <v>41603</v>
      </c>
      <c r="AC315" s="625">
        <f>+-AC314</f>
        <v>1500003000</v>
      </c>
      <c r="AD315" s="665">
        <f>+XIRR(AC314:AC315,Z314:Z315)</f>
        <v>2.9802322387695314E-9</v>
      </c>
    </row>
    <row r="316" spans="1:30" ht="14.25" customHeight="1">
      <c r="A316" s="491" t="s">
        <v>1141</v>
      </c>
      <c r="B316" s="551"/>
      <c r="C316" s="551"/>
      <c r="D316" s="551"/>
      <c r="E316" s="654" t="s">
        <v>304</v>
      </c>
      <c r="F316" s="643" t="s">
        <v>1151</v>
      </c>
      <c r="G316" s="643"/>
      <c r="H316" s="635"/>
      <c r="I316" s="635"/>
      <c r="J316" s="635"/>
      <c r="K316" s="558" t="s">
        <v>1145</v>
      </c>
      <c r="L316" s="643">
        <v>41359</v>
      </c>
      <c r="M316" s="635">
        <v>1560</v>
      </c>
      <c r="N316" s="635">
        <v>31715.394871794873</v>
      </c>
      <c r="O316" s="657">
        <v>49476016</v>
      </c>
      <c r="P316" s="635"/>
      <c r="Q316" s="635">
        <v>31980000</v>
      </c>
      <c r="R316" s="657">
        <v>17496016</v>
      </c>
      <c r="S316" s="650" t="s">
        <v>488</v>
      </c>
      <c r="T316" s="657" t="s">
        <v>1506</v>
      </c>
      <c r="U316" s="643"/>
      <c r="V316" s="643"/>
      <c r="W316" s="643"/>
      <c r="Y316" s="642" t="s">
        <v>1154</v>
      </c>
      <c r="Z316" s="642">
        <v>41130</v>
      </c>
      <c r="AA316" s="610">
        <v>0</v>
      </c>
      <c r="AB316" s="610">
        <v>0</v>
      </c>
      <c r="AC316" s="610">
        <v>-499996000</v>
      </c>
    </row>
    <row r="317" spans="1:30" ht="14.25" customHeight="1">
      <c r="A317" s="491" t="s">
        <v>1141</v>
      </c>
      <c r="B317" s="551"/>
      <c r="C317" s="551"/>
      <c r="D317" s="551"/>
      <c r="E317" s="654" t="s">
        <v>304</v>
      </c>
      <c r="F317" s="643" t="s">
        <v>1151</v>
      </c>
      <c r="G317" s="643"/>
      <c r="H317" s="635"/>
      <c r="I317" s="635"/>
      <c r="J317" s="635"/>
      <c r="K317" s="558" t="s">
        <v>1145</v>
      </c>
      <c r="L317" s="643">
        <v>41360</v>
      </c>
      <c r="M317" s="635">
        <v>266</v>
      </c>
      <c r="N317" s="635">
        <v>31647.913533834588</v>
      </c>
      <c r="O317" s="657">
        <v>8418345</v>
      </c>
      <c r="P317" s="635"/>
      <c r="Q317" s="635">
        <v>5453000</v>
      </c>
      <c r="R317" s="657">
        <v>2965345</v>
      </c>
      <c r="S317" s="650" t="s">
        <v>488</v>
      </c>
      <c r="T317" s="657" t="s">
        <v>1506</v>
      </c>
      <c r="U317" s="643"/>
      <c r="V317" s="643"/>
      <c r="W317" s="643"/>
      <c r="Z317" s="642">
        <v>41495</v>
      </c>
      <c r="AA317" s="610"/>
      <c r="AB317" s="610"/>
      <c r="AC317" s="610">
        <v>4999960</v>
      </c>
    </row>
    <row r="318" spans="1:30" ht="14.25" customHeight="1">
      <c r="A318" s="491" t="s">
        <v>1141</v>
      </c>
      <c r="B318" s="551"/>
      <c r="C318" s="551"/>
      <c r="D318" s="551"/>
      <c r="E318" s="654" t="s">
        <v>304</v>
      </c>
      <c r="F318" s="643" t="s">
        <v>1151</v>
      </c>
      <c r="G318" s="643"/>
      <c r="H318" s="635"/>
      <c r="I318" s="635"/>
      <c r="J318" s="635"/>
      <c r="K318" s="558" t="s">
        <v>1145</v>
      </c>
      <c r="L318" s="643">
        <v>41362</v>
      </c>
      <c r="M318" s="635">
        <v>133</v>
      </c>
      <c r="N318" s="635">
        <v>31573.263157894737</v>
      </c>
      <c r="O318" s="657">
        <v>4199244</v>
      </c>
      <c r="P318" s="635"/>
      <c r="Q318" s="635">
        <v>2726500</v>
      </c>
      <c r="R318" s="657">
        <v>1472744</v>
      </c>
      <c r="S318" s="650" t="s">
        <v>488</v>
      </c>
      <c r="T318" s="657" t="s">
        <v>1506</v>
      </c>
      <c r="U318" s="643"/>
      <c r="V318" s="643"/>
      <c r="W318" s="643"/>
      <c r="Z318" s="624">
        <v>41634</v>
      </c>
      <c r="AC318" s="625">
        <f>+-AC316</f>
        <v>499996000</v>
      </c>
      <c r="AD318" s="665">
        <f>+XIRR(AC316:AC318,Z316:Z318)</f>
        <v>7.252022624015809E-3</v>
      </c>
    </row>
    <row r="319" spans="1:30" ht="14.25" customHeight="1">
      <c r="A319" s="491" t="s">
        <v>1141</v>
      </c>
      <c r="B319" s="551"/>
      <c r="C319" s="551"/>
      <c r="D319" s="551"/>
      <c r="E319" s="654" t="s">
        <v>304</v>
      </c>
      <c r="F319" s="643" t="s">
        <v>1151</v>
      </c>
      <c r="G319" s="643"/>
      <c r="H319" s="635"/>
      <c r="I319" s="635"/>
      <c r="J319" s="635"/>
      <c r="K319" s="558" t="s">
        <v>1145</v>
      </c>
      <c r="L319" s="643">
        <v>41365</v>
      </c>
      <c r="M319" s="635">
        <v>1597</v>
      </c>
      <c r="N319" s="635">
        <v>31885.137758296805</v>
      </c>
      <c r="O319" s="657">
        <v>50920565</v>
      </c>
      <c r="P319" s="635"/>
      <c r="Q319" s="635">
        <v>32738500</v>
      </c>
      <c r="R319" s="657">
        <v>18182065</v>
      </c>
      <c r="S319" s="650" t="s">
        <v>488</v>
      </c>
      <c r="T319" s="657" t="s">
        <v>1506</v>
      </c>
      <c r="U319" s="643"/>
      <c r="V319" s="643"/>
      <c r="W319" s="643"/>
      <c r="Y319" s="653" t="s">
        <v>1159</v>
      </c>
      <c r="Z319" s="645">
        <v>41337</v>
      </c>
      <c r="AA319" s="644">
        <v>58600</v>
      </c>
      <c r="AB319" s="644">
        <v>5967</v>
      </c>
      <c r="AC319" s="644">
        <v>-349666200</v>
      </c>
    </row>
    <row r="320" spans="1:30" ht="14.25" customHeight="1">
      <c r="A320" s="491" t="s">
        <v>1141</v>
      </c>
      <c r="B320" s="551"/>
      <c r="C320" s="551"/>
      <c r="D320" s="551"/>
      <c r="E320" s="654" t="s">
        <v>304</v>
      </c>
      <c r="F320" s="643" t="s">
        <v>1151</v>
      </c>
      <c r="G320" s="643"/>
      <c r="H320" s="635"/>
      <c r="I320" s="635"/>
      <c r="J320" s="635"/>
      <c r="K320" s="558" t="s">
        <v>1145</v>
      </c>
      <c r="L320" s="643">
        <v>41366</v>
      </c>
      <c r="M320" s="635">
        <v>1335</v>
      </c>
      <c r="N320" s="635">
        <v>32828.161797752808</v>
      </c>
      <c r="O320" s="657">
        <v>43825596</v>
      </c>
      <c r="P320" s="635"/>
      <c r="Q320" s="635">
        <v>27367500</v>
      </c>
      <c r="R320" s="657">
        <v>16458096</v>
      </c>
      <c r="S320" s="650" t="s">
        <v>488</v>
      </c>
      <c r="T320" s="657" t="s">
        <v>1506</v>
      </c>
      <c r="U320" s="643"/>
      <c r="V320" s="643"/>
      <c r="W320" s="643"/>
      <c r="Z320" s="645">
        <v>41393</v>
      </c>
      <c r="AA320" s="644">
        <v>19583</v>
      </c>
      <c r="AB320" s="671">
        <v>6048.0857886942758</v>
      </c>
      <c r="AC320" s="644">
        <v>118439664</v>
      </c>
    </row>
    <row r="321" spans="1:30" ht="14.25" customHeight="1">
      <c r="A321" s="491" t="s">
        <v>1141</v>
      </c>
      <c r="B321" s="551"/>
      <c r="C321" s="551"/>
      <c r="D321" s="551"/>
      <c r="E321" s="654" t="s">
        <v>304</v>
      </c>
      <c r="F321" s="643" t="s">
        <v>1151</v>
      </c>
      <c r="G321" s="643"/>
      <c r="H321" s="635"/>
      <c r="I321" s="635"/>
      <c r="J321" s="635"/>
      <c r="K321" s="558" t="s">
        <v>1145</v>
      </c>
      <c r="L321" s="643">
        <v>41367</v>
      </c>
      <c r="M321" s="635">
        <v>986</v>
      </c>
      <c r="N321" s="635">
        <v>33067.41480730223</v>
      </c>
      <c r="O321" s="657">
        <v>32604471</v>
      </c>
      <c r="P321" s="635"/>
      <c r="Q321" s="635">
        <v>20213000</v>
      </c>
      <c r="R321" s="657">
        <v>12391471</v>
      </c>
      <c r="S321" s="650" t="s">
        <v>488</v>
      </c>
      <c r="T321" s="657" t="s">
        <v>1506</v>
      </c>
      <c r="U321" s="643"/>
      <c r="V321" s="643"/>
      <c r="W321" s="643"/>
      <c r="Z321" s="624">
        <v>41634</v>
      </c>
      <c r="AA321" s="625">
        <f>+AA319-AA320</f>
        <v>39017</v>
      </c>
      <c r="AB321" s="455">
        <v>4335</v>
      </c>
      <c r="AC321" s="625">
        <f>+AA321*AB321</f>
        <v>169138695</v>
      </c>
      <c r="AD321" s="665">
        <f>+XIRR(AC319:AC321,Z319:Z321)</f>
        <v>-0.29470008388161661</v>
      </c>
    </row>
    <row r="322" spans="1:30" ht="14.25" customHeight="1">
      <c r="A322" s="491" t="s">
        <v>1141</v>
      </c>
      <c r="B322" s="551"/>
      <c r="C322" s="551"/>
      <c r="D322" s="551"/>
      <c r="E322" s="654" t="s">
        <v>304</v>
      </c>
      <c r="F322" s="643" t="s">
        <v>1151</v>
      </c>
      <c r="G322" s="643"/>
      <c r="H322" s="635"/>
      <c r="I322" s="635"/>
      <c r="J322" s="635"/>
      <c r="K322" s="558" t="s">
        <v>1145</v>
      </c>
      <c r="L322" s="643">
        <v>41369</v>
      </c>
      <c r="M322" s="635">
        <v>2532</v>
      </c>
      <c r="N322" s="635">
        <v>32900.460505529227</v>
      </c>
      <c r="O322" s="657">
        <v>83303966</v>
      </c>
      <c r="P322" s="635"/>
      <c r="Q322" s="635">
        <v>51906000</v>
      </c>
      <c r="R322" s="657">
        <v>31397966</v>
      </c>
      <c r="S322" s="650" t="s">
        <v>488</v>
      </c>
      <c r="T322" s="657" t="s">
        <v>1506</v>
      </c>
      <c r="U322" s="643"/>
      <c r="V322" s="643"/>
      <c r="W322" s="643"/>
      <c r="Y322" s="655" t="s">
        <v>1097</v>
      </c>
      <c r="Z322" s="651">
        <v>41389</v>
      </c>
      <c r="AA322" s="614"/>
      <c r="AB322" s="614"/>
      <c r="AC322" s="614">
        <v>-999950000</v>
      </c>
    </row>
    <row r="323" spans="1:30" ht="14.25" customHeight="1">
      <c r="A323" s="491" t="s">
        <v>1141</v>
      </c>
      <c r="B323" s="551"/>
      <c r="C323" s="551"/>
      <c r="D323" s="551"/>
      <c r="E323" s="654" t="s">
        <v>304</v>
      </c>
      <c r="F323" s="643" t="s">
        <v>1151</v>
      </c>
      <c r="G323" s="643"/>
      <c r="H323" s="635"/>
      <c r="I323" s="635"/>
      <c r="J323" s="635"/>
      <c r="K323" s="558" t="s">
        <v>1145</v>
      </c>
      <c r="L323" s="643">
        <v>41379</v>
      </c>
      <c r="M323" s="635">
        <v>1199</v>
      </c>
      <c r="N323" s="635">
        <v>32541.683069224353</v>
      </c>
      <c r="O323" s="657">
        <v>39017478</v>
      </c>
      <c r="P323" s="635"/>
      <c r="Q323" s="635">
        <v>24579500</v>
      </c>
      <c r="R323" s="657">
        <v>14437978</v>
      </c>
      <c r="S323" s="650" t="s">
        <v>488</v>
      </c>
      <c r="T323" s="657" t="s">
        <v>1506</v>
      </c>
      <c r="U323" s="643"/>
      <c r="V323" s="643"/>
      <c r="W323" s="643"/>
      <c r="Z323" s="651">
        <v>41572</v>
      </c>
      <c r="AA323" s="614"/>
      <c r="AB323" s="614"/>
      <c r="AC323" s="614">
        <v>4999750</v>
      </c>
    </row>
    <row r="324" spans="1:30" ht="14.25" customHeight="1">
      <c r="A324" s="491" t="s">
        <v>1141</v>
      </c>
      <c r="B324" s="551"/>
      <c r="C324" s="551"/>
      <c r="D324" s="551"/>
      <c r="E324" s="654" t="s">
        <v>304</v>
      </c>
      <c r="F324" s="643" t="s">
        <v>1151</v>
      </c>
      <c r="G324" s="643"/>
      <c r="H324" s="635"/>
      <c r="I324" s="635"/>
      <c r="J324" s="635"/>
      <c r="K324" s="558" t="s">
        <v>1145</v>
      </c>
      <c r="L324" s="643">
        <v>41380</v>
      </c>
      <c r="M324" s="635">
        <v>7468</v>
      </c>
      <c r="N324" s="635">
        <v>34203.585698982322</v>
      </c>
      <c r="O324" s="657">
        <v>255432378</v>
      </c>
      <c r="P324" s="635"/>
      <c r="Q324" s="635">
        <v>153094000</v>
      </c>
      <c r="R324" s="657">
        <v>102338378</v>
      </c>
      <c r="S324" s="650" t="s">
        <v>488</v>
      </c>
      <c r="T324" s="657" t="s">
        <v>1506</v>
      </c>
      <c r="U324" s="643"/>
      <c r="V324" s="643"/>
      <c r="W324" s="643"/>
      <c r="Z324" s="624">
        <v>41634</v>
      </c>
      <c r="AC324" s="625">
        <f>+-AC322</f>
        <v>999950000</v>
      </c>
      <c r="AD324" s="665">
        <f>+XIRR(AC322:AC324,Z322:Z324)</f>
        <v>7.4675351381301878E-3</v>
      </c>
    </row>
    <row r="325" spans="1:30" ht="14.25" customHeight="1">
      <c r="A325" s="491" t="s">
        <v>1141</v>
      </c>
      <c r="B325" s="551"/>
      <c r="C325" s="551"/>
      <c r="D325" s="551"/>
      <c r="E325" s="654" t="s">
        <v>304</v>
      </c>
      <c r="F325" s="643" t="s">
        <v>1151</v>
      </c>
      <c r="G325" s="643"/>
      <c r="H325" s="635"/>
      <c r="I325" s="635"/>
      <c r="J325" s="635"/>
      <c r="K325" s="558" t="s">
        <v>1145</v>
      </c>
      <c r="L325" s="643">
        <v>41396</v>
      </c>
      <c r="M325" s="635">
        <v>1333</v>
      </c>
      <c r="N325" s="635">
        <v>39202.543885971492</v>
      </c>
      <c r="O325" s="657">
        <v>52256991</v>
      </c>
      <c r="P325" s="635"/>
      <c r="Q325" s="635">
        <v>27326500</v>
      </c>
      <c r="R325" s="657">
        <v>24930491</v>
      </c>
      <c r="S325" s="650" t="s">
        <v>488</v>
      </c>
      <c r="T325" s="657" t="s">
        <v>1506</v>
      </c>
      <c r="U325" s="643"/>
      <c r="V325" s="643"/>
      <c r="W325" s="643"/>
      <c r="Y325" s="645" t="s">
        <v>1157</v>
      </c>
      <c r="Z325" s="645">
        <v>41222</v>
      </c>
      <c r="AA325" s="644">
        <v>444444</v>
      </c>
      <c r="AB325" s="644">
        <v>4500</v>
      </c>
      <c r="AC325" s="644">
        <v>-1999998000</v>
      </c>
    </row>
    <row r="326" spans="1:30" ht="14.25" customHeight="1">
      <c r="A326" s="491" t="s">
        <v>1141</v>
      </c>
      <c r="B326" s="551"/>
      <c r="C326" s="551"/>
      <c r="D326" s="551"/>
      <c r="E326" s="654" t="s">
        <v>304</v>
      </c>
      <c r="F326" s="643" t="s">
        <v>1151</v>
      </c>
      <c r="G326" s="643"/>
      <c r="H326" s="635"/>
      <c r="I326" s="635"/>
      <c r="J326" s="635"/>
      <c r="K326" s="558" t="s">
        <v>1145</v>
      </c>
      <c r="L326" s="643">
        <v>41414</v>
      </c>
      <c r="M326" s="635">
        <v>266</v>
      </c>
      <c r="N326" s="635">
        <v>35880.92105263158</v>
      </c>
      <c r="O326" s="657">
        <v>9544325</v>
      </c>
      <c r="P326" s="635"/>
      <c r="Q326" s="635">
        <v>5453000</v>
      </c>
      <c r="R326" s="657">
        <v>4091325</v>
      </c>
      <c r="S326" s="650" t="s">
        <v>488</v>
      </c>
      <c r="T326" s="657" t="s">
        <v>1506</v>
      </c>
      <c r="U326" s="643"/>
      <c r="V326" s="643"/>
      <c r="W326" s="643"/>
      <c r="Z326" s="624">
        <v>41634</v>
      </c>
      <c r="AC326" s="625">
        <f>+-AC325</f>
        <v>1999998000</v>
      </c>
      <c r="AD326" s="665">
        <f>+XIRR(AC325:AC326,Z325:Z326)</f>
        <v>2.9802322387695314E-9</v>
      </c>
    </row>
    <row r="327" spans="1:30" ht="14.25" customHeight="1">
      <c r="A327" s="491" t="s">
        <v>1141</v>
      </c>
      <c r="B327" s="551"/>
      <c r="C327" s="551"/>
      <c r="D327" s="551"/>
      <c r="E327" s="654" t="s">
        <v>304</v>
      </c>
      <c r="F327" s="643" t="s">
        <v>1151</v>
      </c>
      <c r="G327" s="643"/>
      <c r="H327" s="635"/>
      <c r="I327" s="635"/>
      <c r="J327" s="635"/>
      <c r="K327" s="558" t="s">
        <v>1145</v>
      </c>
      <c r="L327" s="643">
        <v>41415</v>
      </c>
      <c r="M327" s="635">
        <v>1767</v>
      </c>
      <c r="N327" s="635">
        <v>35995.904357668362</v>
      </c>
      <c r="O327" s="657">
        <v>63604763</v>
      </c>
      <c r="P327" s="635"/>
      <c r="Q327" s="635">
        <v>36223500</v>
      </c>
      <c r="R327" s="657">
        <v>27381263</v>
      </c>
      <c r="S327" s="650" t="s">
        <v>488</v>
      </c>
      <c r="T327" s="657" t="s">
        <v>1506</v>
      </c>
      <c r="U327" s="643"/>
      <c r="V327" s="643"/>
      <c r="W327" s="643"/>
    </row>
    <row r="328" spans="1:30" ht="14.25" customHeight="1">
      <c r="A328" s="491" t="s">
        <v>1141</v>
      </c>
      <c r="B328" s="551"/>
      <c r="C328" s="551"/>
      <c r="D328" s="551"/>
      <c r="E328" s="654" t="s">
        <v>304</v>
      </c>
      <c r="F328" s="643" t="s">
        <v>1151</v>
      </c>
      <c r="G328" s="643"/>
      <c r="H328" s="635"/>
      <c r="I328" s="635"/>
      <c r="J328" s="635"/>
      <c r="K328" s="558" t="s">
        <v>1145</v>
      </c>
      <c r="L328" s="643">
        <v>41421</v>
      </c>
      <c r="M328" s="635">
        <v>133</v>
      </c>
      <c r="N328" s="635">
        <v>34860.037593984962</v>
      </c>
      <c r="O328" s="657">
        <v>4636385</v>
      </c>
      <c r="P328" s="635"/>
      <c r="Q328" s="635">
        <v>2726500</v>
      </c>
      <c r="R328" s="657">
        <v>1909885</v>
      </c>
      <c r="S328" s="650" t="s">
        <v>488</v>
      </c>
      <c r="T328" s="657" t="s">
        <v>1506</v>
      </c>
      <c r="U328" s="643"/>
      <c r="V328" s="643"/>
      <c r="W328" s="643"/>
    </row>
    <row r="329" spans="1:30" s="608" customFormat="1" ht="14.25" customHeight="1">
      <c r="A329" s="491" t="s">
        <v>1141</v>
      </c>
      <c r="B329" s="551"/>
      <c r="C329" s="551"/>
      <c r="D329" s="551"/>
      <c r="E329" s="654" t="s">
        <v>304</v>
      </c>
      <c r="F329" s="652" t="s">
        <v>1151</v>
      </c>
      <c r="G329" s="652"/>
      <c r="H329" s="657"/>
      <c r="I329" s="657"/>
      <c r="J329" s="657"/>
      <c r="K329" s="558" t="s">
        <v>1145</v>
      </c>
      <c r="L329" s="652">
        <v>41422</v>
      </c>
      <c r="M329" s="657">
        <v>2079</v>
      </c>
      <c r="N329" s="657">
        <v>35291.752765752768</v>
      </c>
      <c r="O329" s="657">
        <v>73371554</v>
      </c>
      <c r="P329" s="657"/>
      <c r="Q329" s="657">
        <v>42619500</v>
      </c>
      <c r="R329" s="657">
        <v>30752054</v>
      </c>
      <c r="S329" s="650" t="s">
        <v>488</v>
      </c>
      <c r="T329" s="657" t="s">
        <v>1506</v>
      </c>
      <c r="U329" s="652"/>
      <c r="V329" s="652"/>
      <c r="W329" s="652"/>
      <c r="Y329" s="653" t="s">
        <v>1161</v>
      </c>
      <c r="Z329" s="645">
        <v>41458</v>
      </c>
      <c r="AA329" s="644"/>
      <c r="AB329" s="644"/>
      <c r="AC329" s="644">
        <v>-3000000000</v>
      </c>
      <c r="AD329" s="677"/>
    </row>
    <row r="330" spans="1:30" s="608" customFormat="1" ht="14.25" customHeight="1">
      <c r="A330" s="491" t="s">
        <v>1141</v>
      </c>
      <c r="B330" s="551"/>
      <c r="C330" s="551"/>
      <c r="D330" s="551"/>
      <c r="E330" s="654" t="s">
        <v>304</v>
      </c>
      <c r="F330" s="652" t="s">
        <v>1151</v>
      </c>
      <c r="G330" s="652"/>
      <c r="H330" s="657"/>
      <c r="I330" s="657"/>
      <c r="J330" s="657"/>
      <c r="K330" s="558" t="s">
        <v>1145</v>
      </c>
      <c r="L330" s="652">
        <v>41425</v>
      </c>
      <c r="M330" s="657">
        <v>453</v>
      </c>
      <c r="N330" s="657">
        <v>35929.116997792495</v>
      </c>
      <c r="O330" s="657">
        <v>16275890</v>
      </c>
      <c r="P330" s="657"/>
      <c r="Q330" s="657">
        <v>9286500</v>
      </c>
      <c r="R330" s="657">
        <v>6989390</v>
      </c>
      <c r="S330" s="650" t="s">
        <v>488</v>
      </c>
      <c r="T330" s="657" t="s">
        <v>1506</v>
      </c>
      <c r="U330" s="652"/>
      <c r="V330" s="652"/>
      <c r="W330" s="652"/>
      <c r="Z330" s="645">
        <v>41628</v>
      </c>
      <c r="AA330" s="644"/>
      <c r="AB330" s="671"/>
      <c r="AC330" s="644">
        <v>27000000</v>
      </c>
      <c r="AD330" s="677"/>
    </row>
    <row r="331" spans="1:30" s="608" customFormat="1" ht="14.25" customHeight="1">
      <c r="A331" s="491" t="s">
        <v>1141</v>
      </c>
      <c r="B331" s="551"/>
      <c r="C331" s="551"/>
      <c r="D331" s="551"/>
      <c r="E331" s="654" t="s">
        <v>304</v>
      </c>
      <c r="F331" s="652" t="s">
        <v>1151</v>
      </c>
      <c r="G331" s="652"/>
      <c r="H331" s="657"/>
      <c r="I331" s="657"/>
      <c r="J331" s="657"/>
      <c r="K331" s="558" t="s">
        <v>1145</v>
      </c>
      <c r="L331" s="652">
        <v>41444</v>
      </c>
      <c r="M331" s="657">
        <v>1066</v>
      </c>
      <c r="N331" s="657">
        <v>35021.924953095688</v>
      </c>
      <c r="O331" s="657">
        <v>37333372</v>
      </c>
      <c r="P331" s="657"/>
      <c r="Q331" s="657">
        <v>21853000</v>
      </c>
      <c r="R331" s="657">
        <v>15480372</v>
      </c>
      <c r="S331" s="650" t="s">
        <v>488</v>
      </c>
      <c r="T331" s="657" t="s">
        <v>1506</v>
      </c>
      <c r="U331" s="652"/>
      <c r="V331" s="652"/>
      <c r="W331" s="652"/>
      <c r="Z331" s="681">
        <v>41634</v>
      </c>
      <c r="AC331" s="611">
        <v>3000000000</v>
      </c>
      <c r="AD331" s="665">
        <f>+XIRR(AC329:AC331,Z329:Z331)</f>
        <v>1.876074969768524E-2</v>
      </c>
    </row>
    <row r="332" spans="1:30" s="608" customFormat="1" ht="14.25" customHeight="1">
      <c r="A332" s="491" t="s">
        <v>1141</v>
      </c>
      <c r="B332" s="551"/>
      <c r="C332" s="551"/>
      <c r="D332" s="551"/>
      <c r="E332" s="654" t="s">
        <v>304</v>
      </c>
      <c r="F332" s="652" t="s">
        <v>1151</v>
      </c>
      <c r="G332" s="652"/>
      <c r="H332" s="657"/>
      <c r="I332" s="657"/>
      <c r="J332" s="657"/>
      <c r="K332" s="558" t="s">
        <v>1145</v>
      </c>
      <c r="L332" s="652">
        <v>41445</v>
      </c>
      <c r="M332" s="657">
        <v>3651</v>
      </c>
      <c r="N332" s="657">
        <v>34834.442344563133</v>
      </c>
      <c r="O332" s="657">
        <v>127180549</v>
      </c>
      <c r="P332" s="657"/>
      <c r="Q332" s="657">
        <v>74845500</v>
      </c>
      <c r="R332" s="657">
        <v>52335049</v>
      </c>
      <c r="S332" s="650" t="s">
        <v>488</v>
      </c>
      <c r="T332" s="657" t="s">
        <v>1506</v>
      </c>
      <c r="U332" s="652"/>
      <c r="V332" s="652"/>
      <c r="W332" s="652"/>
      <c r="AC332" s="611"/>
      <c r="AD332" s="677"/>
    </row>
    <row r="333" spans="1:30" s="608" customFormat="1" ht="14.25" customHeight="1">
      <c r="A333" s="491" t="s">
        <v>1141</v>
      </c>
      <c r="B333" s="654"/>
      <c r="C333" s="652"/>
      <c r="D333" s="551"/>
      <c r="E333" s="654" t="s">
        <v>304</v>
      </c>
      <c r="F333" s="652" t="s">
        <v>1151</v>
      </c>
      <c r="G333" s="646"/>
      <c r="H333" s="647"/>
      <c r="I333" s="647"/>
      <c r="J333" s="647"/>
      <c r="K333" s="558" t="s">
        <v>1145</v>
      </c>
      <c r="L333" s="646">
        <v>41446</v>
      </c>
      <c r="M333" s="647">
        <v>267</v>
      </c>
      <c r="N333" s="647">
        <v>34860.018726591763</v>
      </c>
      <c r="O333" s="647">
        <v>9307625</v>
      </c>
      <c r="P333" s="647"/>
      <c r="Q333" s="647">
        <v>5473500</v>
      </c>
      <c r="R333" s="647">
        <v>3834125</v>
      </c>
      <c r="S333" s="746" t="s">
        <v>488</v>
      </c>
      <c r="T333" s="657" t="s">
        <v>1506</v>
      </c>
      <c r="U333" s="646"/>
      <c r="V333" s="646"/>
      <c r="W333" s="646"/>
      <c r="AC333" s="611"/>
      <c r="AD333" s="677"/>
    </row>
    <row r="334" spans="1:30" s="608" customFormat="1" ht="14.25" customHeight="1">
      <c r="A334" s="491" t="s">
        <v>1141</v>
      </c>
      <c r="B334" s="551"/>
      <c r="C334" s="551"/>
      <c r="D334" s="551"/>
      <c r="E334" s="655" t="s">
        <v>304</v>
      </c>
      <c r="F334" s="651" t="s">
        <v>1151</v>
      </c>
      <c r="G334" s="651"/>
      <c r="H334" s="614"/>
      <c r="I334" s="614"/>
      <c r="J334" s="614"/>
      <c r="K334" s="558" t="s">
        <v>1145</v>
      </c>
      <c r="L334" s="651">
        <v>41456</v>
      </c>
      <c r="M334" s="614">
        <v>9821</v>
      </c>
      <c r="N334" s="614">
        <v>33789.674167600038</v>
      </c>
      <c r="O334" s="614">
        <v>331848390</v>
      </c>
      <c r="P334" s="614"/>
      <c r="Q334" s="614">
        <v>201330500</v>
      </c>
      <c r="R334" s="614">
        <v>130517890</v>
      </c>
      <c r="S334" s="613" t="s">
        <v>488</v>
      </c>
      <c r="T334" s="657" t="s">
        <v>1506</v>
      </c>
      <c r="U334" s="651"/>
      <c r="V334" s="651"/>
      <c r="W334" s="651"/>
      <c r="AC334" s="611"/>
      <c r="AD334" s="677"/>
    </row>
    <row r="335" spans="1:30" s="608" customFormat="1" ht="14.25" customHeight="1">
      <c r="A335" s="491" t="s">
        <v>1141</v>
      </c>
      <c r="B335" s="551"/>
      <c r="C335" s="551"/>
      <c r="D335" s="551"/>
      <c r="E335" s="561" t="s">
        <v>487</v>
      </c>
      <c r="F335" s="645" t="s">
        <v>1152</v>
      </c>
      <c r="G335" s="645">
        <v>41089</v>
      </c>
      <c r="H335" s="644">
        <v>166667</v>
      </c>
      <c r="I335" s="644">
        <v>9000</v>
      </c>
      <c r="J335" s="644">
        <v>1500003000</v>
      </c>
      <c r="K335" s="747" t="s">
        <v>1153</v>
      </c>
      <c r="L335" s="645"/>
      <c r="M335" s="644"/>
      <c r="N335" s="644"/>
      <c r="O335" s="644"/>
      <c r="P335" s="644"/>
      <c r="Q335" s="644"/>
      <c r="R335" s="644">
        <v>0</v>
      </c>
      <c r="S335" s="747"/>
      <c r="T335" s="644">
        <f>+J335-Q335</f>
        <v>1500003000</v>
      </c>
      <c r="U335" s="645"/>
      <c r="V335" s="645"/>
      <c r="W335" s="645"/>
      <c r="AD335" s="677"/>
    </row>
    <row r="336" spans="1:30" s="608" customFormat="1" ht="14.25" customHeight="1">
      <c r="A336" s="491" t="s">
        <v>1141</v>
      </c>
      <c r="B336" s="551"/>
      <c r="C336" s="551"/>
      <c r="D336" s="551"/>
      <c r="E336" s="561" t="s">
        <v>487</v>
      </c>
      <c r="F336" s="645" t="s">
        <v>1154</v>
      </c>
      <c r="G336" s="645">
        <v>41130</v>
      </c>
      <c r="H336" s="644">
        <v>35714</v>
      </c>
      <c r="I336" s="644">
        <v>14000</v>
      </c>
      <c r="J336" s="644">
        <v>499996000</v>
      </c>
      <c r="K336" s="747" t="s">
        <v>1155</v>
      </c>
      <c r="L336" s="645"/>
      <c r="M336" s="644"/>
      <c r="N336" s="644"/>
      <c r="O336" s="644"/>
      <c r="P336" s="644"/>
      <c r="Q336" s="644"/>
      <c r="R336" s="644">
        <v>0</v>
      </c>
      <c r="S336" s="747"/>
      <c r="T336" s="644">
        <f>+J336-Q336</f>
        <v>499996000</v>
      </c>
      <c r="U336" s="645"/>
      <c r="V336" s="645"/>
      <c r="W336" s="645"/>
      <c r="AD336" s="677"/>
    </row>
    <row r="337" spans="1:30" s="608" customFormat="1" ht="14.25" customHeight="1">
      <c r="A337" s="491" t="s">
        <v>1141</v>
      </c>
      <c r="B337" s="551"/>
      <c r="C337" s="551"/>
      <c r="D337" s="551"/>
      <c r="E337" s="656" t="s">
        <v>487</v>
      </c>
      <c r="F337" s="642" t="s">
        <v>1154</v>
      </c>
      <c r="G337" s="642">
        <v>41130</v>
      </c>
      <c r="H337" s="610">
        <v>0</v>
      </c>
      <c r="I337" s="610">
        <v>0</v>
      </c>
      <c r="J337" s="610">
        <v>499996000</v>
      </c>
      <c r="K337" s="612" t="s">
        <v>1156</v>
      </c>
      <c r="L337" s="642">
        <v>41495</v>
      </c>
      <c r="M337" s="610"/>
      <c r="N337" s="610"/>
      <c r="O337" s="610">
        <v>4999960</v>
      </c>
      <c r="P337" s="610"/>
      <c r="Q337" s="610"/>
      <c r="R337" s="610">
        <f>O337-Q337</f>
        <v>4999960</v>
      </c>
      <c r="S337" s="612" t="s">
        <v>1519</v>
      </c>
      <c r="T337" s="610">
        <f>+SUM(J337:J338)-SUM(Q337:Q338)</f>
        <v>499996000</v>
      </c>
      <c r="U337" s="642"/>
      <c r="V337" s="642"/>
      <c r="W337" s="642"/>
      <c r="AD337" s="677"/>
    </row>
    <row r="338" spans="1:30" s="608" customFormat="1" ht="14.25" customHeight="1">
      <c r="A338" s="491" t="s">
        <v>1141</v>
      </c>
      <c r="B338" s="551"/>
      <c r="C338" s="551"/>
      <c r="D338" s="551"/>
      <c r="E338" s="655" t="s">
        <v>487</v>
      </c>
      <c r="F338" s="651" t="s">
        <v>1154</v>
      </c>
      <c r="G338" s="651"/>
      <c r="H338" s="614"/>
      <c r="I338" s="614"/>
      <c r="J338" s="614"/>
      <c r="K338" s="612" t="s">
        <v>1156</v>
      </c>
      <c r="L338" s="651">
        <v>41639</v>
      </c>
      <c r="M338" s="614"/>
      <c r="N338" s="614"/>
      <c r="O338" s="614">
        <v>0</v>
      </c>
      <c r="P338" s="614"/>
      <c r="Q338" s="614">
        <v>0</v>
      </c>
      <c r="R338" s="610">
        <f>O338-Q338</f>
        <v>0</v>
      </c>
      <c r="S338" s="796" t="s">
        <v>1501</v>
      </c>
      <c r="T338" s="614"/>
      <c r="U338" s="651"/>
      <c r="V338" s="651"/>
      <c r="W338" s="651"/>
      <c r="AD338" s="677"/>
    </row>
    <row r="339" spans="1:30" s="608" customFormat="1" ht="14.25" customHeight="1">
      <c r="A339" s="491" t="s">
        <v>1141</v>
      </c>
      <c r="B339" s="551"/>
      <c r="C339" s="551"/>
      <c r="D339" s="551"/>
      <c r="E339" s="655" t="s">
        <v>487</v>
      </c>
      <c r="F339" s="651" t="s">
        <v>1154</v>
      </c>
      <c r="G339" s="651"/>
      <c r="H339" s="614"/>
      <c r="I339" s="614"/>
      <c r="J339" s="614"/>
      <c r="K339" s="612" t="s">
        <v>1156</v>
      </c>
      <c r="L339" s="640">
        <v>41862</v>
      </c>
      <c r="M339" s="641"/>
      <c r="N339" s="641"/>
      <c r="O339" s="641">
        <v>4999960</v>
      </c>
      <c r="P339" s="669"/>
      <c r="Q339" s="641">
        <v>0</v>
      </c>
      <c r="R339" s="641">
        <f>O339-Q339</f>
        <v>4999960</v>
      </c>
      <c r="S339" s="464" t="s">
        <v>1519</v>
      </c>
      <c r="T339" s="641"/>
      <c r="U339" s="645"/>
      <c r="V339" s="645"/>
      <c r="W339" s="645"/>
      <c r="AD339" s="677"/>
    </row>
    <row r="340" spans="1:30" s="608" customFormat="1" ht="14.25" customHeight="1">
      <c r="A340" s="491" t="s">
        <v>1141</v>
      </c>
      <c r="B340" s="551"/>
      <c r="C340" s="551"/>
      <c r="D340" s="551"/>
      <c r="E340" s="551" t="s">
        <v>487</v>
      </c>
      <c r="F340" s="660" t="s">
        <v>1157</v>
      </c>
      <c r="G340" s="660">
        <v>41222</v>
      </c>
      <c r="H340" s="669">
        <v>444444</v>
      </c>
      <c r="I340" s="669">
        <v>4500</v>
      </c>
      <c r="J340" s="669">
        <v>1999998000</v>
      </c>
      <c r="K340" s="521" t="s">
        <v>1155</v>
      </c>
      <c r="L340" s="660"/>
      <c r="M340" s="669"/>
      <c r="N340" s="669"/>
      <c r="O340" s="669"/>
      <c r="P340" s="669"/>
      <c r="Q340" s="669"/>
      <c r="R340" s="669">
        <v>0</v>
      </c>
      <c r="S340" s="521"/>
      <c r="T340" s="669">
        <f>+J340-Q340</f>
        <v>1999998000</v>
      </c>
      <c r="U340" s="645"/>
      <c r="V340" s="645"/>
      <c r="W340" s="645"/>
      <c r="AD340" s="677"/>
    </row>
    <row r="341" spans="1:30" s="608" customFormat="1" ht="14.25" customHeight="1">
      <c r="A341" s="656" t="s">
        <v>1141</v>
      </c>
      <c r="B341" s="656"/>
      <c r="C341" s="656"/>
      <c r="D341" s="656"/>
      <c r="E341" s="656" t="s">
        <v>304</v>
      </c>
      <c r="F341" s="656" t="s">
        <v>1097</v>
      </c>
      <c r="G341" s="642">
        <v>41270</v>
      </c>
      <c r="H341" s="610">
        <v>9918</v>
      </c>
      <c r="I341" s="610">
        <v>35000</v>
      </c>
      <c r="J341" s="610">
        <v>347130000</v>
      </c>
      <c r="K341" s="612" t="s">
        <v>1098</v>
      </c>
      <c r="L341" s="642"/>
      <c r="M341" s="610"/>
      <c r="N341" s="610"/>
      <c r="O341" s="610"/>
      <c r="P341" s="610"/>
      <c r="Q341" s="610"/>
      <c r="R341" s="610">
        <v>0</v>
      </c>
      <c r="S341" s="612"/>
      <c r="T341" s="610">
        <f>+J341-Q341</f>
        <v>347130000</v>
      </c>
      <c r="U341" s="642"/>
      <c r="V341" s="642"/>
      <c r="W341" s="642"/>
      <c r="AD341" s="677"/>
    </row>
    <row r="342" spans="1:30" s="608" customFormat="1" ht="14.25" customHeight="1">
      <c r="A342" s="654" t="s">
        <v>1141</v>
      </c>
      <c r="B342" s="654"/>
      <c r="C342" s="654"/>
      <c r="D342" s="654"/>
      <c r="E342" s="654" t="s">
        <v>1498</v>
      </c>
      <c r="F342" s="654" t="s">
        <v>1097</v>
      </c>
      <c r="G342" s="652">
        <v>41389</v>
      </c>
      <c r="H342" s="657"/>
      <c r="I342" s="657"/>
      <c r="J342" s="657">
        <v>999950000</v>
      </c>
      <c r="K342" s="650" t="s">
        <v>1158</v>
      </c>
      <c r="L342" s="652">
        <v>41572</v>
      </c>
      <c r="M342" s="657"/>
      <c r="N342" s="657"/>
      <c r="O342" s="657">
        <v>4999750</v>
      </c>
      <c r="P342" s="657"/>
      <c r="Q342" s="657"/>
      <c r="R342" s="657">
        <f>+O342-Q342</f>
        <v>4999750</v>
      </c>
      <c r="S342" s="650" t="s">
        <v>1499</v>
      </c>
      <c r="T342" s="657">
        <f>+J342:J344-Q342:Q344</f>
        <v>999950000</v>
      </c>
      <c r="U342" s="655"/>
      <c r="V342" s="655"/>
      <c r="W342" s="655"/>
      <c r="AD342" s="677"/>
    </row>
    <row r="343" spans="1:30" s="608" customFormat="1" ht="14.25" customHeight="1">
      <c r="A343" s="654" t="s">
        <v>1141</v>
      </c>
      <c r="B343" s="654"/>
      <c r="C343" s="654"/>
      <c r="D343" s="654"/>
      <c r="E343" s="654" t="s">
        <v>1498</v>
      </c>
      <c r="F343" s="654" t="s">
        <v>1097</v>
      </c>
      <c r="G343" s="652"/>
      <c r="H343" s="657"/>
      <c r="I343" s="657"/>
      <c r="J343" s="657"/>
      <c r="K343" s="650" t="s">
        <v>1158</v>
      </c>
      <c r="L343" s="652">
        <v>41754</v>
      </c>
      <c r="M343" s="657"/>
      <c r="N343" s="657"/>
      <c r="O343" s="657">
        <v>4999750</v>
      </c>
      <c r="P343" s="657"/>
      <c r="Q343" s="657"/>
      <c r="R343" s="657">
        <f>+O343-Q343</f>
        <v>4999750</v>
      </c>
      <c r="S343" s="650" t="s">
        <v>1499</v>
      </c>
      <c r="T343" s="657"/>
      <c r="U343" s="653"/>
      <c r="V343" s="653"/>
      <c r="W343" s="653"/>
      <c r="AD343" s="677"/>
    </row>
    <row r="344" spans="1:30" s="608" customFormat="1" ht="14.25" customHeight="1">
      <c r="A344" s="655" t="s">
        <v>1141</v>
      </c>
      <c r="B344" s="655"/>
      <c r="C344" s="655"/>
      <c r="D344" s="655"/>
      <c r="E344" s="655" t="s">
        <v>1498</v>
      </c>
      <c r="F344" s="655" t="s">
        <v>1097</v>
      </c>
      <c r="G344" s="651"/>
      <c r="H344" s="614"/>
      <c r="I344" s="614"/>
      <c r="J344" s="614"/>
      <c r="K344" s="650" t="s">
        <v>1158</v>
      </c>
      <c r="L344" s="651">
        <v>41759</v>
      </c>
      <c r="M344" s="614"/>
      <c r="N344" s="614"/>
      <c r="O344" s="614">
        <v>8998500</v>
      </c>
      <c r="P344" s="614"/>
      <c r="Q344" s="614"/>
      <c r="R344" s="614">
        <f>+O344-Q344</f>
        <v>8998500</v>
      </c>
      <c r="S344" s="781" t="s">
        <v>1500</v>
      </c>
      <c r="T344" s="614"/>
      <c r="U344" s="653"/>
      <c r="V344" s="653"/>
      <c r="W344" s="653"/>
      <c r="AD344" s="677"/>
    </row>
    <row r="345" spans="1:30" s="608" customFormat="1" ht="14.25" customHeight="1">
      <c r="A345" s="655" t="s">
        <v>1141</v>
      </c>
      <c r="B345" s="655"/>
      <c r="C345" s="655"/>
      <c r="D345" s="655"/>
      <c r="E345" s="655" t="s">
        <v>1498</v>
      </c>
      <c r="F345" s="655" t="s">
        <v>1097</v>
      </c>
      <c r="G345" s="651"/>
      <c r="H345" s="614"/>
      <c r="I345" s="614"/>
      <c r="J345" s="614"/>
      <c r="K345" s="650" t="s">
        <v>1158</v>
      </c>
      <c r="L345" s="651">
        <v>41939</v>
      </c>
      <c r="M345" s="614"/>
      <c r="N345" s="614"/>
      <c r="O345" s="614">
        <v>4999750</v>
      </c>
      <c r="P345" s="614"/>
      <c r="Q345" s="614"/>
      <c r="R345" s="614">
        <f>+O345-Q345</f>
        <v>4999750</v>
      </c>
      <c r="S345" s="650" t="s">
        <v>1499</v>
      </c>
      <c r="T345" s="614"/>
      <c r="U345" s="653"/>
      <c r="V345" s="653"/>
      <c r="W345" s="653"/>
      <c r="AD345" s="677"/>
    </row>
    <row r="346" spans="1:30" s="608" customFormat="1" ht="14.25" customHeight="1">
      <c r="A346" s="491" t="s">
        <v>1141</v>
      </c>
      <c r="B346" s="551"/>
      <c r="C346" s="551"/>
      <c r="D346" s="551"/>
      <c r="E346" s="561" t="s">
        <v>487</v>
      </c>
      <c r="F346" s="653" t="s">
        <v>1099</v>
      </c>
      <c r="G346" s="645">
        <v>41271</v>
      </c>
      <c r="H346" s="644">
        <v>8695</v>
      </c>
      <c r="I346" s="644">
        <v>115000</v>
      </c>
      <c r="J346" s="644">
        <v>999925000</v>
      </c>
      <c r="K346" s="747" t="s">
        <v>1100</v>
      </c>
      <c r="L346" s="645"/>
      <c r="M346" s="644"/>
      <c r="N346" s="644"/>
      <c r="O346" s="644"/>
      <c r="P346" s="644"/>
      <c r="Q346" s="644"/>
      <c r="R346" s="644">
        <v>0</v>
      </c>
      <c r="S346" s="747"/>
      <c r="T346" s="644">
        <f>+J346-Q346</f>
        <v>999925000</v>
      </c>
      <c r="U346" s="645"/>
      <c r="V346" s="645"/>
      <c r="W346" s="645"/>
      <c r="AD346" s="677"/>
    </row>
    <row r="347" spans="1:30" s="608" customFormat="1" ht="14.25" customHeight="1">
      <c r="A347" s="491" t="s">
        <v>1141</v>
      </c>
      <c r="B347" s="551"/>
      <c r="C347" s="551"/>
      <c r="D347" s="551"/>
      <c r="E347" s="656" t="s">
        <v>304</v>
      </c>
      <c r="F347" s="656" t="s">
        <v>1159</v>
      </c>
      <c r="G347" s="642">
        <v>41337</v>
      </c>
      <c r="H347" s="610">
        <v>58600</v>
      </c>
      <c r="I347" s="610">
        <v>5967</v>
      </c>
      <c r="J347" s="610">
        <v>349666200</v>
      </c>
      <c r="K347" s="612" t="s">
        <v>1145</v>
      </c>
      <c r="L347" s="642">
        <v>41393</v>
      </c>
      <c r="M347" s="610">
        <v>19583</v>
      </c>
      <c r="N347" s="694">
        <v>6048.0857886942758</v>
      </c>
      <c r="O347" s="610">
        <v>118439664</v>
      </c>
      <c r="P347" s="644"/>
      <c r="Q347" s="610">
        <v>116851761</v>
      </c>
      <c r="R347" s="610">
        <v>1587903</v>
      </c>
      <c r="S347" s="612" t="s">
        <v>1137</v>
      </c>
      <c r="T347" s="610">
        <f>J347-SUM(Q347:Q351)</f>
        <v>80071173</v>
      </c>
      <c r="U347" s="642"/>
      <c r="V347" s="642" t="s">
        <v>1160</v>
      </c>
      <c r="W347" s="642"/>
      <c r="AD347" s="677"/>
    </row>
    <row r="348" spans="1:30" s="773" customFormat="1" ht="14.25" customHeight="1">
      <c r="A348" s="777" t="s">
        <v>1141</v>
      </c>
      <c r="B348" s="561"/>
      <c r="C348" s="653"/>
      <c r="D348" s="551"/>
      <c r="E348" s="789" t="s">
        <v>304</v>
      </c>
      <c r="F348" s="789" t="s">
        <v>1159</v>
      </c>
      <c r="G348" s="783"/>
      <c r="H348" s="784"/>
      <c r="I348" s="784"/>
      <c r="J348" s="784"/>
      <c r="K348" s="612" t="s">
        <v>1145</v>
      </c>
      <c r="L348" s="783">
        <v>41717</v>
      </c>
      <c r="M348" s="784">
        <v>12180</v>
      </c>
      <c r="N348" s="802"/>
      <c r="O348" s="784">
        <f>Q348+R348</f>
        <v>109503811</v>
      </c>
      <c r="P348" s="644"/>
      <c r="Q348" s="784">
        <v>72678060</v>
      </c>
      <c r="R348" s="784">
        <v>36825751</v>
      </c>
      <c r="S348" s="803" t="s">
        <v>1520</v>
      </c>
      <c r="T348" s="784"/>
      <c r="U348" s="783"/>
      <c r="V348" s="783"/>
      <c r="W348" s="783"/>
      <c r="AD348" s="774"/>
    </row>
    <row r="349" spans="1:30" s="773" customFormat="1" ht="14.25" customHeight="1">
      <c r="A349" s="777" t="s">
        <v>1141</v>
      </c>
      <c r="B349" s="561"/>
      <c r="C349" s="653"/>
      <c r="D349" s="551"/>
      <c r="E349" s="789" t="s">
        <v>304</v>
      </c>
      <c r="F349" s="789" t="s">
        <v>1159</v>
      </c>
      <c r="G349" s="783"/>
      <c r="H349" s="784"/>
      <c r="I349" s="784"/>
      <c r="J349" s="784"/>
      <c r="K349" s="612" t="s">
        <v>1145</v>
      </c>
      <c r="L349" s="783">
        <v>41738</v>
      </c>
      <c r="M349" s="784">
        <v>0</v>
      </c>
      <c r="N349" s="802"/>
      <c r="O349" s="784">
        <f>Q349+R349</f>
        <v>5021500</v>
      </c>
      <c r="P349" s="644"/>
      <c r="Q349" s="784">
        <v>0</v>
      </c>
      <c r="R349" s="784">
        <v>5021500</v>
      </c>
      <c r="S349" s="803" t="s">
        <v>1508</v>
      </c>
      <c r="T349" s="784"/>
      <c r="U349" s="783"/>
      <c r="V349" s="783"/>
      <c r="W349" s="783"/>
      <c r="AD349" s="774"/>
    </row>
    <row r="350" spans="1:30" s="773" customFormat="1" ht="14.25" customHeight="1">
      <c r="A350" s="777" t="s">
        <v>1141</v>
      </c>
      <c r="B350" s="561"/>
      <c r="C350" s="653"/>
      <c r="D350" s="551"/>
      <c r="E350" s="789" t="s">
        <v>304</v>
      </c>
      <c r="F350" s="789" t="s">
        <v>1159</v>
      </c>
      <c r="G350" s="783"/>
      <c r="H350" s="784"/>
      <c r="I350" s="784"/>
      <c r="J350" s="784"/>
      <c r="K350" s="612" t="s">
        <v>1145</v>
      </c>
      <c r="L350" s="783">
        <v>41752</v>
      </c>
      <c r="M350" s="784">
        <v>13418</v>
      </c>
      <c r="N350" s="802"/>
      <c r="O350" s="784">
        <f t="shared" ref="O350" si="2">Q350+R350</f>
        <v>147133108</v>
      </c>
      <c r="P350" s="644"/>
      <c r="Q350" s="784">
        <v>80065206</v>
      </c>
      <c r="R350" s="784">
        <v>67067902</v>
      </c>
      <c r="S350" s="803" t="s">
        <v>1520</v>
      </c>
      <c r="T350" s="784"/>
      <c r="U350" s="783"/>
      <c r="V350" s="783"/>
      <c r="W350" s="783"/>
      <c r="AD350" s="774"/>
    </row>
    <row r="351" spans="1:30" s="608" customFormat="1" ht="14.25" customHeight="1">
      <c r="A351" s="491" t="s">
        <v>1141</v>
      </c>
      <c r="B351" s="561"/>
      <c r="C351" s="653"/>
      <c r="D351" s="551"/>
      <c r="E351" s="655" t="s">
        <v>304</v>
      </c>
      <c r="F351" s="655" t="s">
        <v>1159</v>
      </c>
      <c r="G351" s="651"/>
      <c r="H351" s="614"/>
      <c r="I351" s="614"/>
      <c r="J351" s="614"/>
      <c r="K351" s="612" t="s">
        <v>1145</v>
      </c>
      <c r="L351" s="651"/>
      <c r="M351" s="614"/>
      <c r="N351" s="695"/>
      <c r="O351" s="614"/>
      <c r="P351" s="644"/>
      <c r="Q351" s="614"/>
      <c r="R351" s="614"/>
      <c r="S351" s="613"/>
      <c r="T351" s="614"/>
      <c r="U351" s="651"/>
      <c r="V351" s="651"/>
      <c r="W351" s="651"/>
      <c r="AD351" s="677"/>
    </row>
    <row r="352" spans="1:30" s="773" customFormat="1" ht="14.25" customHeight="1">
      <c r="A352" s="777" t="s">
        <v>1141</v>
      </c>
      <c r="B352" s="551"/>
      <c r="C352" s="551"/>
      <c r="D352" s="551"/>
      <c r="E352" s="804" t="s">
        <v>1498</v>
      </c>
      <c r="F352" s="769" t="s">
        <v>1161</v>
      </c>
      <c r="G352" s="770">
        <v>41458</v>
      </c>
      <c r="H352" s="771"/>
      <c r="I352" s="771"/>
      <c r="J352" s="771">
        <v>3000000000</v>
      </c>
      <c r="K352" s="781" t="s">
        <v>1158</v>
      </c>
      <c r="L352" s="770">
        <v>41628</v>
      </c>
      <c r="M352" s="771"/>
      <c r="N352" s="805"/>
      <c r="O352" s="771">
        <v>27000000</v>
      </c>
      <c r="P352" s="644"/>
      <c r="Q352" s="771">
        <v>0</v>
      </c>
      <c r="R352" s="771">
        <f>+O352-Q352</f>
        <v>27000000</v>
      </c>
      <c r="S352" s="766" t="s">
        <v>1500</v>
      </c>
      <c r="T352" s="771">
        <f>+J352-Q352</f>
        <v>3000000000</v>
      </c>
      <c r="U352" s="770"/>
      <c r="V352" s="770"/>
      <c r="W352" s="770"/>
      <c r="AD352" s="774"/>
    </row>
    <row r="353" spans="1:30" s="608" customFormat="1" ht="14.25" customHeight="1">
      <c r="A353" s="491" t="s">
        <v>1141</v>
      </c>
      <c r="B353" s="551"/>
      <c r="C353" s="551"/>
      <c r="E353" s="656" t="s">
        <v>1494</v>
      </c>
      <c r="F353" s="757" t="s">
        <v>1521</v>
      </c>
      <c r="G353" s="628">
        <v>41645</v>
      </c>
      <c r="H353" s="610">
        <v>2954</v>
      </c>
      <c r="I353" s="610">
        <f>1299760000/2954</f>
        <v>440000</v>
      </c>
      <c r="J353" s="610">
        <v>1299760000</v>
      </c>
      <c r="K353" s="612" t="s">
        <v>1522</v>
      </c>
      <c r="L353" s="642"/>
      <c r="M353" s="610"/>
      <c r="N353" s="694"/>
      <c r="O353" s="610"/>
      <c r="P353" s="806"/>
      <c r="Q353" s="610"/>
      <c r="R353" s="610"/>
      <c r="S353" s="612"/>
      <c r="T353" s="610">
        <f>+SUM(J353:J354)-SUM(Q353:Q354)</f>
        <v>1999800000</v>
      </c>
      <c r="U353" s="678"/>
      <c r="V353" s="645"/>
      <c r="W353" s="645"/>
      <c r="AD353" s="677"/>
    </row>
    <row r="354" spans="1:30" s="608" customFormat="1" ht="14.25" customHeight="1">
      <c r="A354" s="491" t="s">
        <v>1141</v>
      </c>
      <c r="B354" s="551"/>
      <c r="C354" s="551"/>
      <c r="E354" s="655" t="s">
        <v>1494</v>
      </c>
      <c r="F354" s="807" t="s">
        <v>1521</v>
      </c>
      <c r="G354" s="632">
        <v>41666</v>
      </c>
      <c r="H354" s="614">
        <v>1591</v>
      </c>
      <c r="I354" s="614">
        <f>700040000/1591</f>
        <v>440000</v>
      </c>
      <c r="J354" s="614">
        <v>700040000</v>
      </c>
      <c r="K354" s="613" t="s">
        <v>1522</v>
      </c>
      <c r="L354" s="651"/>
      <c r="M354" s="614"/>
      <c r="N354" s="695"/>
      <c r="O354" s="614"/>
      <c r="P354" s="808"/>
      <c r="Q354" s="614"/>
      <c r="R354" s="614"/>
      <c r="S354" s="613"/>
      <c r="T354" s="614"/>
      <c r="U354" s="678"/>
      <c r="V354" s="645"/>
      <c r="W354" s="645"/>
      <c r="AD354" s="677"/>
    </row>
    <row r="355" spans="1:30" ht="14.25" customHeight="1">
      <c r="A355" s="475" t="s">
        <v>1141</v>
      </c>
      <c r="B355" s="511"/>
      <c r="C355" s="511"/>
      <c r="D355" s="511" t="s">
        <v>1162</v>
      </c>
      <c r="E355" s="466" t="s">
        <v>1101</v>
      </c>
      <c r="F355" s="467"/>
      <c r="G355" s="543"/>
      <c r="H355" s="548"/>
      <c r="I355" s="548"/>
      <c r="J355" s="550">
        <f>SUM(J290:J354)</f>
        <v>23236327646</v>
      </c>
      <c r="K355" s="550">
        <f>SUM(K290:K354)</f>
        <v>0</v>
      </c>
      <c r="L355" s="550"/>
      <c r="M355" s="550"/>
      <c r="N355" s="550"/>
      <c r="O355" s="550">
        <f>SUM(O290:O354)</f>
        <v>3335533095</v>
      </c>
      <c r="P355" s="550">
        <f t="shared" ref="P355:T355" si="3">SUM(P290:P354)</f>
        <v>0</v>
      </c>
      <c r="Q355" s="809">
        <f>SUM(Q290:Q354)</f>
        <v>2035868826</v>
      </c>
      <c r="R355" s="550">
        <f>SUM(R290:R354)</f>
        <v>1299664269</v>
      </c>
      <c r="S355" s="550">
        <f t="shared" si="3"/>
        <v>0</v>
      </c>
      <c r="T355" s="550">
        <f t="shared" si="3"/>
        <v>21200458820</v>
      </c>
      <c r="U355" s="467"/>
      <c r="V355" s="467"/>
      <c r="W355" s="467"/>
    </row>
    <row r="356" spans="1:30" ht="14.25" customHeight="1">
      <c r="A356" s="491" t="s">
        <v>1163</v>
      </c>
      <c r="B356" s="491"/>
      <c r="C356" s="491"/>
      <c r="D356" s="491" t="s">
        <v>1081</v>
      </c>
      <c r="E356" s="656" t="s">
        <v>304</v>
      </c>
      <c r="F356" s="656" t="s">
        <v>1151</v>
      </c>
      <c r="G356" s="642">
        <v>41026</v>
      </c>
      <c r="H356" s="610">
        <v>165000</v>
      </c>
      <c r="I356" s="610">
        <v>20500</v>
      </c>
      <c r="J356" s="610">
        <v>3382500000</v>
      </c>
      <c r="K356" s="612" t="s">
        <v>1145</v>
      </c>
      <c r="L356" s="642">
        <v>41347</v>
      </c>
      <c r="M356" s="610">
        <v>19528</v>
      </c>
      <c r="N356" s="610">
        <v>30034.439573945103</v>
      </c>
      <c r="O356" s="610">
        <f t="shared" ref="O356:O419" si="4">Q356+R356</f>
        <v>586512536</v>
      </c>
      <c r="P356" s="610"/>
      <c r="Q356" s="610">
        <v>400324000</v>
      </c>
      <c r="R356" s="657">
        <v>186188536</v>
      </c>
      <c r="S356" s="612" t="s">
        <v>488</v>
      </c>
      <c r="T356" s="528">
        <f>+SUM(J356:J379)-SUM(Q356:Q379)</f>
        <v>0</v>
      </c>
      <c r="U356" s="656"/>
      <c r="V356" s="656"/>
      <c r="W356" s="656"/>
    </row>
    <row r="357" spans="1:30" ht="14.25" customHeight="1">
      <c r="A357" s="491" t="s">
        <v>1163</v>
      </c>
      <c r="B357" s="551"/>
      <c r="C357" s="551"/>
      <c r="D357" s="551"/>
      <c r="E357" s="654" t="s">
        <v>304</v>
      </c>
      <c r="F357" s="643" t="s">
        <v>1151</v>
      </c>
      <c r="G357" s="643"/>
      <c r="H357" s="635"/>
      <c r="I357" s="635"/>
      <c r="J357" s="635"/>
      <c r="K357" s="471"/>
      <c r="L357" s="643">
        <v>41348</v>
      </c>
      <c r="M357" s="635">
        <v>18183</v>
      </c>
      <c r="N357" s="635">
        <v>31443.660727052742</v>
      </c>
      <c r="O357" s="610">
        <f t="shared" si="4"/>
        <v>571740083</v>
      </c>
      <c r="P357" s="635"/>
      <c r="Q357" s="635">
        <v>372751500</v>
      </c>
      <c r="R357" s="657">
        <v>198988583</v>
      </c>
      <c r="S357" s="650" t="s">
        <v>488</v>
      </c>
      <c r="T357" s="657" t="s">
        <v>1506</v>
      </c>
      <c r="U357" s="643"/>
      <c r="V357" s="643"/>
      <c r="W357" s="643"/>
      <c r="AD357" s="455"/>
    </row>
    <row r="358" spans="1:30" ht="14.25" customHeight="1">
      <c r="A358" s="491" t="s">
        <v>1163</v>
      </c>
      <c r="B358" s="551"/>
      <c r="C358" s="551"/>
      <c r="D358" s="551"/>
      <c r="E358" s="654" t="s">
        <v>304</v>
      </c>
      <c r="F358" s="643" t="s">
        <v>1151</v>
      </c>
      <c r="G358" s="643"/>
      <c r="H358" s="635"/>
      <c r="I358" s="635"/>
      <c r="J358" s="635"/>
      <c r="K358" s="471"/>
      <c r="L358" s="643">
        <v>41351</v>
      </c>
      <c r="M358" s="635">
        <v>2303</v>
      </c>
      <c r="N358" s="635">
        <v>31920.963091619626</v>
      </c>
      <c r="O358" s="610">
        <f t="shared" si="4"/>
        <v>73513978</v>
      </c>
      <c r="P358" s="635"/>
      <c r="Q358" s="635">
        <v>47211500</v>
      </c>
      <c r="R358" s="657">
        <v>26302478</v>
      </c>
      <c r="S358" s="650" t="s">
        <v>488</v>
      </c>
      <c r="T358" s="657" t="s">
        <v>1506</v>
      </c>
      <c r="U358" s="643"/>
      <c r="V358" s="643"/>
      <c r="W358" s="643"/>
      <c r="AD358" s="455"/>
    </row>
    <row r="359" spans="1:30" ht="14.25" customHeight="1">
      <c r="A359" s="491" t="s">
        <v>1163</v>
      </c>
      <c r="B359" s="551"/>
      <c r="C359" s="551"/>
      <c r="D359" s="551"/>
      <c r="E359" s="654" t="s">
        <v>304</v>
      </c>
      <c r="F359" s="643" t="s">
        <v>1151</v>
      </c>
      <c r="G359" s="643"/>
      <c r="H359" s="635"/>
      <c r="I359" s="635"/>
      <c r="J359" s="635"/>
      <c r="K359" s="471"/>
      <c r="L359" s="643">
        <v>41352</v>
      </c>
      <c r="M359" s="635">
        <v>9061</v>
      </c>
      <c r="N359" s="635">
        <v>32432.800573888093</v>
      </c>
      <c r="O359" s="610">
        <f t="shared" si="4"/>
        <v>293873606</v>
      </c>
      <c r="P359" s="635"/>
      <c r="Q359" s="635">
        <v>185750500</v>
      </c>
      <c r="R359" s="657">
        <v>108123106</v>
      </c>
      <c r="S359" s="650" t="s">
        <v>488</v>
      </c>
      <c r="T359" s="657" t="s">
        <v>1506</v>
      </c>
      <c r="U359" s="643"/>
      <c r="V359" s="643"/>
      <c r="W359" s="643"/>
      <c r="AD359" s="455"/>
    </row>
    <row r="360" spans="1:30" ht="14.25" customHeight="1">
      <c r="A360" s="491" t="s">
        <v>1163</v>
      </c>
      <c r="B360" s="551"/>
      <c r="C360" s="551"/>
      <c r="D360" s="551"/>
      <c r="E360" s="654" t="s">
        <v>304</v>
      </c>
      <c r="F360" s="643" t="s">
        <v>1151</v>
      </c>
      <c r="G360" s="643"/>
      <c r="H360" s="635"/>
      <c r="I360" s="635"/>
      <c r="J360" s="635"/>
      <c r="K360" s="471"/>
      <c r="L360" s="643">
        <v>41355</v>
      </c>
      <c r="M360" s="635">
        <v>12110</v>
      </c>
      <c r="N360" s="635">
        <v>31494.279933938895</v>
      </c>
      <c r="O360" s="610">
        <f t="shared" si="4"/>
        <v>381395730</v>
      </c>
      <c r="P360" s="635"/>
      <c r="Q360" s="635">
        <v>248255000</v>
      </c>
      <c r="R360" s="657">
        <v>133140730</v>
      </c>
      <c r="S360" s="650" t="s">
        <v>488</v>
      </c>
      <c r="T360" s="657" t="s">
        <v>1506</v>
      </c>
      <c r="U360" s="643"/>
      <c r="V360" s="643"/>
      <c r="W360" s="643"/>
      <c r="AD360" s="455"/>
    </row>
    <row r="361" spans="1:30" ht="14.25" customHeight="1">
      <c r="A361" s="491" t="s">
        <v>1163</v>
      </c>
      <c r="B361" s="551"/>
      <c r="C361" s="551"/>
      <c r="D361" s="551"/>
      <c r="E361" s="654" t="s">
        <v>304</v>
      </c>
      <c r="F361" s="643" t="s">
        <v>1151</v>
      </c>
      <c r="G361" s="643"/>
      <c r="H361" s="635"/>
      <c r="I361" s="635"/>
      <c r="J361" s="635"/>
      <c r="K361" s="471"/>
      <c r="L361" s="643">
        <v>41359</v>
      </c>
      <c r="M361" s="635">
        <v>4290</v>
      </c>
      <c r="N361" s="635">
        <v>31715.358275058275</v>
      </c>
      <c r="O361" s="610">
        <f t="shared" si="4"/>
        <v>136058887</v>
      </c>
      <c r="P361" s="635"/>
      <c r="Q361" s="635">
        <v>87945000</v>
      </c>
      <c r="R361" s="657">
        <v>48113887</v>
      </c>
      <c r="S361" s="650" t="s">
        <v>488</v>
      </c>
      <c r="T361" s="657" t="s">
        <v>1506</v>
      </c>
      <c r="U361" s="643"/>
      <c r="V361" s="643"/>
      <c r="W361" s="643"/>
      <c r="AD361" s="455"/>
    </row>
    <row r="362" spans="1:30" ht="14.25" customHeight="1">
      <c r="A362" s="491" t="s">
        <v>1163</v>
      </c>
      <c r="B362" s="551"/>
      <c r="C362" s="551"/>
      <c r="D362" s="551"/>
      <c r="E362" s="654" t="s">
        <v>304</v>
      </c>
      <c r="F362" s="643" t="s">
        <v>1151</v>
      </c>
      <c r="G362" s="643"/>
      <c r="H362" s="635"/>
      <c r="I362" s="635"/>
      <c r="J362" s="635"/>
      <c r="K362" s="471"/>
      <c r="L362" s="643">
        <v>41360</v>
      </c>
      <c r="M362" s="635">
        <v>734</v>
      </c>
      <c r="N362" s="635">
        <v>31647.905994550409</v>
      </c>
      <c r="O362" s="610">
        <f t="shared" si="4"/>
        <v>23229563</v>
      </c>
      <c r="P362" s="635"/>
      <c r="Q362" s="635">
        <v>15047000</v>
      </c>
      <c r="R362" s="657">
        <v>8182563</v>
      </c>
      <c r="S362" s="650" t="s">
        <v>488</v>
      </c>
      <c r="T362" s="657" t="s">
        <v>1506</v>
      </c>
      <c r="U362" s="643"/>
      <c r="V362" s="643"/>
      <c r="W362" s="643"/>
      <c r="AD362" s="455"/>
    </row>
    <row r="363" spans="1:30" ht="14.25" customHeight="1">
      <c r="A363" s="491" t="s">
        <v>1163</v>
      </c>
      <c r="B363" s="551"/>
      <c r="C363" s="551"/>
      <c r="D363" s="551"/>
      <c r="E363" s="654" t="s">
        <v>304</v>
      </c>
      <c r="F363" s="643" t="s">
        <v>1151</v>
      </c>
      <c r="G363" s="643"/>
      <c r="H363" s="635"/>
      <c r="I363" s="635"/>
      <c r="J363" s="635"/>
      <c r="K363" s="471"/>
      <c r="L363" s="643">
        <v>41362</v>
      </c>
      <c r="M363" s="635">
        <v>367</v>
      </c>
      <c r="N363" s="635">
        <v>31573.223433242507</v>
      </c>
      <c r="O363" s="610">
        <f t="shared" si="4"/>
        <v>11587373</v>
      </c>
      <c r="P363" s="635"/>
      <c r="Q363" s="635">
        <v>7523500</v>
      </c>
      <c r="R363" s="657">
        <v>4063873</v>
      </c>
      <c r="S363" s="650" t="s">
        <v>488</v>
      </c>
      <c r="T363" s="657" t="s">
        <v>1506</v>
      </c>
      <c r="U363" s="643"/>
      <c r="V363" s="643"/>
      <c r="W363" s="643"/>
      <c r="AD363" s="455"/>
    </row>
    <row r="364" spans="1:30" ht="14.25" customHeight="1">
      <c r="A364" s="491" t="s">
        <v>1163</v>
      </c>
      <c r="B364" s="551"/>
      <c r="C364" s="551"/>
      <c r="D364" s="551"/>
      <c r="E364" s="654" t="s">
        <v>304</v>
      </c>
      <c r="F364" s="643" t="s">
        <v>1151</v>
      </c>
      <c r="G364" s="643"/>
      <c r="H364" s="635"/>
      <c r="I364" s="635"/>
      <c r="J364" s="635"/>
      <c r="K364" s="471"/>
      <c r="L364" s="643">
        <v>41365</v>
      </c>
      <c r="M364" s="635">
        <v>4403</v>
      </c>
      <c r="N364" s="635">
        <v>31884.456961162843</v>
      </c>
      <c r="O364" s="610">
        <f t="shared" si="4"/>
        <v>140387264</v>
      </c>
      <c r="P364" s="635"/>
      <c r="Q364" s="635">
        <v>90261500</v>
      </c>
      <c r="R364" s="657">
        <v>50125764</v>
      </c>
      <c r="S364" s="650" t="s">
        <v>488</v>
      </c>
      <c r="T364" s="657" t="s">
        <v>1506</v>
      </c>
      <c r="U364" s="643"/>
      <c r="V364" s="643"/>
      <c r="W364" s="643"/>
      <c r="AD364" s="455"/>
    </row>
    <row r="365" spans="1:30" ht="14.25" customHeight="1">
      <c r="A365" s="491" t="s">
        <v>1163</v>
      </c>
      <c r="B365" s="551"/>
      <c r="C365" s="551"/>
      <c r="D365" s="551"/>
      <c r="E365" s="654" t="s">
        <v>304</v>
      </c>
      <c r="F365" s="643" t="s">
        <v>1151</v>
      </c>
      <c r="G365" s="643"/>
      <c r="H365" s="635"/>
      <c r="I365" s="635"/>
      <c r="J365" s="635"/>
      <c r="K365" s="471"/>
      <c r="L365" s="643">
        <v>41366</v>
      </c>
      <c r="M365" s="635">
        <v>3665</v>
      </c>
      <c r="N365" s="635">
        <v>32828.163437926327</v>
      </c>
      <c r="O365" s="610">
        <f t="shared" si="4"/>
        <v>120315219</v>
      </c>
      <c r="P365" s="635"/>
      <c r="Q365" s="635">
        <v>75132500</v>
      </c>
      <c r="R365" s="657">
        <v>45182719</v>
      </c>
      <c r="S365" s="650" t="s">
        <v>488</v>
      </c>
      <c r="T365" s="657" t="s">
        <v>1506</v>
      </c>
      <c r="U365" s="643"/>
      <c r="V365" s="643"/>
      <c r="W365" s="643"/>
      <c r="AD365" s="455"/>
    </row>
    <row r="366" spans="1:30" ht="14.25" customHeight="1">
      <c r="A366" s="491" t="s">
        <v>1163</v>
      </c>
      <c r="B366" s="551"/>
      <c r="C366" s="551"/>
      <c r="D366" s="551"/>
      <c r="E366" s="654" t="s">
        <v>304</v>
      </c>
      <c r="F366" s="643" t="s">
        <v>1151</v>
      </c>
      <c r="G366" s="643"/>
      <c r="H366" s="635"/>
      <c r="I366" s="635"/>
      <c r="J366" s="635"/>
      <c r="K366" s="471"/>
      <c r="L366" s="643">
        <v>41367</v>
      </c>
      <c r="M366" s="635">
        <v>2314</v>
      </c>
      <c r="N366" s="635">
        <v>33080.031114952464</v>
      </c>
      <c r="O366" s="610">
        <f t="shared" si="4"/>
        <v>76547192</v>
      </c>
      <c r="P366" s="635"/>
      <c r="Q366" s="635">
        <v>47437000</v>
      </c>
      <c r="R366" s="657">
        <v>29110192</v>
      </c>
      <c r="S366" s="650" t="s">
        <v>488</v>
      </c>
      <c r="T366" s="657" t="s">
        <v>1506</v>
      </c>
      <c r="U366" s="643"/>
      <c r="V366" s="643"/>
      <c r="W366" s="643"/>
      <c r="AD366" s="455"/>
    </row>
    <row r="367" spans="1:30" ht="14.25" customHeight="1">
      <c r="A367" s="491" t="s">
        <v>1163</v>
      </c>
      <c r="B367" s="551"/>
      <c r="C367" s="551"/>
      <c r="D367" s="551"/>
      <c r="E367" s="654" t="s">
        <v>304</v>
      </c>
      <c r="F367" s="643" t="s">
        <v>1151</v>
      </c>
      <c r="G367" s="643"/>
      <c r="H367" s="635"/>
      <c r="I367" s="635"/>
      <c r="J367" s="635"/>
      <c r="K367" s="471"/>
      <c r="L367" s="643">
        <v>41368</v>
      </c>
      <c r="M367" s="635">
        <v>400</v>
      </c>
      <c r="N367" s="635">
        <v>33316.199999999997</v>
      </c>
      <c r="O367" s="610">
        <f t="shared" si="4"/>
        <v>13326480</v>
      </c>
      <c r="P367" s="635"/>
      <c r="Q367" s="635">
        <v>8200000</v>
      </c>
      <c r="R367" s="657">
        <v>5126480</v>
      </c>
      <c r="S367" s="650" t="s">
        <v>488</v>
      </c>
      <c r="T367" s="657" t="s">
        <v>1506</v>
      </c>
      <c r="U367" s="643"/>
      <c r="V367" s="643"/>
      <c r="W367" s="643"/>
      <c r="AD367" s="455"/>
    </row>
    <row r="368" spans="1:30" ht="14.25" customHeight="1">
      <c r="A368" s="491" t="s">
        <v>1163</v>
      </c>
      <c r="B368" s="551"/>
      <c r="C368" s="551"/>
      <c r="D368" s="551"/>
      <c r="E368" s="654" t="s">
        <v>304</v>
      </c>
      <c r="F368" s="643" t="s">
        <v>1151</v>
      </c>
      <c r="G368" s="643"/>
      <c r="H368" s="635"/>
      <c r="I368" s="635"/>
      <c r="J368" s="635"/>
      <c r="K368" s="471"/>
      <c r="L368" s="643">
        <v>41369</v>
      </c>
      <c r="M368" s="635">
        <v>6968</v>
      </c>
      <c r="N368" s="635">
        <v>32889.144374282434</v>
      </c>
      <c r="O368" s="610">
        <f t="shared" si="4"/>
        <v>229171558</v>
      </c>
      <c r="P368" s="635"/>
      <c r="Q368" s="635">
        <v>142844000</v>
      </c>
      <c r="R368" s="657">
        <v>86327558</v>
      </c>
      <c r="S368" s="650" t="s">
        <v>488</v>
      </c>
      <c r="T368" s="657" t="s">
        <v>1506</v>
      </c>
      <c r="U368" s="643"/>
      <c r="V368" s="643"/>
      <c r="W368" s="643"/>
      <c r="AD368" s="455"/>
    </row>
    <row r="369" spans="1:30" ht="14.25" customHeight="1">
      <c r="A369" s="491" t="s">
        <v>1163</v>
      </c>
      <c r="B369" s="551"/>
      <c r="C369" s="551"/>
      <c r="D369" s="551"/>
      <c r="E369" s="654" t="s">
        <v>304</v>
      </c>
      <c r="F369" s="643" t="s">
        <v>1151</v>
      </c>
      <c r="G369" s="643"/>
      <c r="H369" s="635"/>
      <c r="I369" s="635"/>
      <c r="J369" s="635"/>
      <c r="K369" s="471"/>
      <c r="L369" s="643">
        <v>41379</v>
      </c>
      <c r="M369" s="635">
        <v>3301</v>
      </c>
      <c r="N369" s="635">
        <v>32541.545289306272</v>
      </c>
      <c r="O369" s="610">
        <f t="shared" si="4"/>
        <v>107419641</v>
      </c>
      <c r="P369" s="635"/>
      <c r="Q369" s="635">
        <v>67670500</v>
      </c>
      <c r="R369" s="657">
        <v>39749141</v>
      </c>
      <c r="S369" s="650" t="s">
        <v>488</v>
      </c>
      <c r="T369" s="657" t="s">
        <v>1506</v>
      </c>
      <c r="U369" s="643"/>
      <c r="V369" s="643"/>
      <c r="W369" s="643"/>
      <c r="AD369" s="455"/>
    </row>
    <row r="370" spans="1:30" ht="14.25" customHeight="1">
      <c r="A370" s="491" t="s">
        <v>1163</v>
      </c>
      <c r="B370" s="551"/>
      <c r="C370" s="551"/>
      <c r="D370" s="551"/>
      <c r="E370" s="654" t="s">
        <v>304</v>
      </c>
      <c r="F370" s="643" t="s">
        <v>1151</v>
      </c>
      <c r="G370" s="643"/>
      <c r="H370" s="635"/>
      <c r="I370" s="635"/>
      <c r="J370" s="635"/>
      <c r="K370" s="471"/>
      <c r="L370" s="643">
        <v>41380</v>
      </c>
      <c r="M370" s="635">
        <v>20532</v>
      </c>
      <c r="N370" s="635">
        <v>34203.761348139487</v>
      </c>
      <c r="O370" s="610">
        <f t="shared" si="4"/>
        <v>702271628</v>
      </c>
      <c r="P370" s="635"/>
      <c r="Q370" s="635">
        <v>420906000</v>
      </c>
      <c r="R370" s="657">
        <v>281365628</v>
      </c>
      <c r="S370" s="650" t="s">
        <v>488</v>
      </c>
      <c r="T370" s="657" t="s">
        <v>1506</v>
      </c>
      <c r="U370" s="643"/>
      <c r="V370" s="643"/>
      <c r="W370" s="643"/>
      <c r="AC370" s="639"/>
      <c r="AD370" s="455"/>
    </row>
    <row r="371" spans="1:30" ht="14.25" customHeight="1">
      <c r="A371" s="491" t="s">
        <v>1163</v>
      </c>
      <c r="B371" s="551"/>
      <c r="C371" s="551"/>
      <c r="D371" s="551"/>
      <c r="E371" s="654" t="s">
        <v>304</v>
      </c>
      <c r="F371" s="643" t="s">
        <v>1151</v>
      </c>
      <c r="G371" s="643"/>
      <c r="H371" s="635"/>
      <c r="I371" s="635"/>
      <c r="J371" s="635"/>
      <c r="K371" s="471"/>
      <c r="L371" s="643">
        <v>41396</v>
      </c>
      <c r="M371" s="635">
        <v>3667</v>
      </c>
      <c r="N371" s="635">
        <v>39202.569402781563</v>
      </c>
      <c r="O371" s="610">
        <f t="shared" si="4"/>
        <v>143755822</v>
      </c>
      <c r="P371" s="635"/>
      <c r="Q371" s="635">
        <v>75173500</v>
      </c>
      <c r="R371" s="657">
        <v>68582322</v>
      </c>
      <c r="S371" s="650" t="s">
        <v>488</v>
      </c>
      <c r="T371" s="657" t="s">
        <v>1506</v>
      </c>
      <c r="U371" s="643"/>
      <c r="V371" s="643"/>
      <c r="W371" s="643"/>
      <c r="AC371" s="639"/>
      <c r="AD371" s="455"/>
    </row>
    <row r="372" spans="1:30" ht="14.25" customHeight="1">
      <c r="A372" s="491" t="s">
        <v>1163</v>
      </c>
      <c r="B372" s="551"/>
      <c r="C372" s="551"/>
      <c r="D372" s="551"/>
      <c r="E372" s="654" t="s">
        <v>304</v>
      </c>
      <c r="F372" s="643" t="s">
        <v>1151</v>
      </c>
      <c r="G372" s="643"/>
      <c r="H372" s="635"/>
      <c r="I372" s="635"/>
      <c r="J372" s="635"/>
      <c r="K372" s="471"/>
      <c r="L372" s="643">
        <v>41415</v>
      </c>
      <c r="M372" s="635">
        <v>5499</v>
      </c>
      <c r="N372" s="635">
        <v>35935.627023095105</v>
      </c>
      <c r="O372" s="610">
        <f t="shared" si="4"/>
        <v>197610013</v>
      </c>
      <c r="P372" s="635"/>
      <c r="Q372" s="635">
        <v>112729500</v>
      </c>
      <c r="R372" s="657">
        <v>84880513</v>
      </c>
      <c r="S372" s="650" t="s">
        <v>488</v>
      </c>
      <c r="T372" s="657" t="s">
        <v>1506</v>
      </c>
      <c r="U372" s="643"/>
      <c r="V372" s="643"/>
      <c r="W372" s="643"/>
      <c r="AC372" s="639"/>
      <c r="AD372" s="455"/>
    </row>
    <row r="373" spans="1:30" ht="14.25" customHeight="1">
      <c r="A373" s="491" t="s">
        <v>1163</v>
      </c>
      <c r="B373" s="551"/>
      <c r="C373" s="551"/>
      <c r="D373" s="551"/>
      <c r="E373" s="654" t="s">
        <v>304</v>
      </c>
      <c r="F373" s="643" t="s">
        <v>1151</v>
      </c>
      <c r="G373" s="643"/>
      <c r="H373" s="635"/>
      <c r="I373" s="635"/>
      <c r="J373" s="635"/>
      <c r="K373" s="471"/>
      <c r="L373" s="643">
        <v>41421</v>
      </c>
      <c r="M373" s="635">
        <v>286</v>
      </c>
      <c r="N373" s="635">
        <v>34860</v>
      </c>
      <c r="O373" s="610">
        <f t="shared" si="4"/>
        <v>9969960</v>
      </c>
      <c r="P373" s="635"/>
      <c r="Q373" s="635">
        <v>5863000</v>
      </c>
      <c r="R373" s="657">
        <v>4106960</v>
      </c>
      <c r="S373" s="650" t="s">
        <v>488</v>
      </c>
      <c r="T373" s="657" t="s">
        <v>1506</v>
      </c>
      <c r="U373" s="643"/>
      <c r="V373" s="643"/>
      <c r="W373" s="643"/>
      <c r="AC373" s="639"/>
    </row>
    <row r="374" spans="1:30" ht="14.25" customHeight="1">
      <c r="A374" s="491" t="s">
        <v>1163</v>
      </c>
      <c r="B374" s="551"/>
      <c r="C374" s="551"/>
      <c r="D374" s="551"/>
      <c r="E374" s="654" t="s">
        <v>304</v>
      </c>
      <c r="F374" s="643" t="s">
        <v>1151</v>
      </c>
      <c r="G374" s="643"/>
      <c r="H374" s="635"/>
      <c r="I374" s="635"/>
      <c r="J374" s="635"/>
      <c r="K374" s="471"/>
      <c r="L374" s="643">
        <v>41422</v>
      </c>
      <c r="M374" s="635">
        <v>5646</v>
      </c>
      <c r="N374" s="635">
        <v>35284.219624512931</v>
      </c>
      <c r="O374" s="610">
        <f t="shared" si="4"/>
        <v>199214704</v>
      </c>
      <c r="P374" s="635"/>
      <c r="Q374" s="635">
        <v>115743000</v>
      </c>
      <c r="R374" s="657">
        <v>83471704</v>
      </c>
      <c r="S374" s="650" t="s">
        <v>488</v>
      </c>
      <c r="T374" s="657" t="s">
        <v>1506</v>
      </c>
      <c r="U374" s="643"/>
      <c r="V374" s="643"/>
      <c r="W374" s="643"/>
      <c r="AC374" s="639"/>
    </row>
    <row r="375" spans="1:30" ht="14.25" customHeight="1">
      <c r="A375" s="491" t="s">
        <v>1163</v>
      </c>
      <c r="B375" s="551"/>
      <c r="C375" s="551"/>
      <c r="D375" s="551"/>
      <c r="E375" s="654" t="s">
        <v>304</v>
      </c>
      <c r="F375" s="643" t="s">
        <v>1151</v>
      </c>
      <c r="G375" s="643"/>
      <c r="H375" s="635"/>
      <c r="I375" s="635"/>
      <c r="J375" s="635"/>
      <c r="K375" s="471"/>
      <c r="L375" s="643">
        <v>41425</v>
      </c>
      <c r="M375" s="635">
        <v>1247</v>
      </c>
      <c r="N375" s="635">
        <v>35929.288692862872</v>
      </c>
      <c r="O375" s="610">
        <f t="shared" si="4"/>
        <v>44803823</v>
      </c>
      <c r="P375" s="635"/>
      <c r="Q375" s="635">
        <v>25563500</v>
      </c>
      <c r="R375" s="657">
        <v>19240323</v>
      </c>
      <c r="S375" s="650" t="s">
        <v>488</v>
      </c>
      <c r="T375" s="657" t="s">
        <v>1506</v>
      </c>
      <c r="U375" s="643"/>
      <c r="V375" s="643"/>
      <c r="W375" s="643"/>
      <c r="AC375" s="639"/>
    </row>
    <row r="376" spans="1:30" ht="14.25" customHeight="1">
      <c r="A376" s="491" t="s">
        <v>1163</v>
      </c>
      <c r="B376" s="551"/>
      <c r="C376" s="551"/>
      <c r="D376" s="551"/>
      <c r="E376" s="654" t="s">
        <v>304</v>
      </c>
      <c r="F376" s="643" t="s">
        <v>1151</v>
      </c>
      <c r="G376" s="643"/>
      <c r="H376" s="635"/>
      <c r="I376" s="635"/>
      <c r="J376" s="635"/>
      <c r="K376" s="471"/>
      <c r="L376" s="643">
        <v>41444</v>
      </c>
      <c r="M376" s="635">
        <v>2934</v>
      </c>
      <c r="N376" s="635">
        <v>34940.71131561009</v>
      </c>
      <c r="O376" s="610">
        <f t="shared" si="4"/>
        <v>102516047</v>
      </c>
      <c r="P376" s="635"/>
      <c r="Q376" s="635">
        <v>60147000</v>
      </c>
      <c r="R376" s="657">
        <v>42369047</v>
      </c>
      <c r="S376" s="650" t="s">
        <v>488</v>
      </c>
      <c r="T376" s="657" t="s">
        <v>1506</v>
      </c>
      <c r="U376" s="643"/>
      <c r="V376" s="643"/>
      <c r="W376" s="643"/>
      <c r="AC376" s="639"/>
    </row>
    <row r="377" spans="1:30" ht="14.25" customHeight="1">
      <c r="A377" s="491" t="s">
        <v>1163</v>
      </c>
      <c r="B377" s="551"/>
      <c r="C377" s="551"/>
      <c r="D377" s="551"/>
      <c r="E377" s="654" t="s">
        <v>304</v>
      </c>
      <c r="F377" s="643" t="s">
        <v>1151</v>
      </c>
      <c r="G377" s="643"/>
      <c r="H377" s="635"/>
      <c r="I377" s="635"/>
      <c r="J377" s="635"/>
      <c r="K377" s="471"/>
      <c r="L377" s="643">
        <v>41445</v>
      </c>
      <c r="M377" s="635">
        <v>10049</v>
      </c>
      <c r="N377" s="635">
        <v>34800.12259926361</v>
      </c>
      <c r="O377" s="610">
        <f t="shared" si="4"/>
        <v>349706432</v>
      </c>
      <c r="P377" s="635"/>
      <c r="Q377" s="635">
        <v>206004500</v>
      </c>
      <c r="R377" s="657">
        <v>143701932</v>
      </c>
      <c r="S377" s="650" t="s">
        <v>488</v>
      </c>
      <c r="T377" s="657" t="s">
        <v>1506</v>
      </c>
      <c r="U377" s="643"/>
      <c r="V377" s="643"/>
      <c r="W377" s="643"/>
      <c r="AC377" s="639"/>
    </row>
    <row r="378" spans="1:30" ht="14.25" customHeight="1">
      <c r="A378" s="491" t="s">
        <v>1163</v>
      </c>
      <c r="B378" s="551"/>
      <c r="C378" s="551"/>
      <c r="D378" s="551"/>
      <c r="E378" s="654" t="s">
        <v>304</v>
      </c>
      <c r="F378" s="643" t="s">
        <v>1151</v>
      </c>
      <c r="G378" s="518"/>
      <c r="H378" s="452"/>
      <c r="I378" s="452"/>
      <c r="J378" s="452"/>
      <c r="K378" s="557"/>
      <c r="L378" s="518">
        <v>41446</v>
      </c>
      <c r="M378" s="452">
        <v>733</v>
      </c>
      <c r="N378" s="452">
        <v>34860.006821282404</v>
      </c>
      <c r="O378" s="610">
        <f t="shared" si="4"/>
        <v>25552385</v>
      </c>
      <c r="P378" s="452"/>
      <c r="Q378" s="452">
        <v>15026500</v>
      </c>
      <c r="R378" s="657">
        <v>10525885</v>
      </c>
      <c r="S378" s="650" t="s">
        <v>488</v>
      </c>
      <c r="T378" s="647" t="s">
        <v>1506</v>
      </c>
      <c r="U378" s="518"/>
      <c r="V378" s="518"/>
      <c r="W378" s="518"/>
      <c r="AC378" s="639"/>
    </row>
    <row r="379" spans="1:30" s="773" customFormat="1" ht="14.25" customHeight="1">
      <c r="A379" s="777" t="s">
        <v>1163</v>
      </c>
      <c r="B379" s="810"/>
      <c r="C379" s="810"/>
      <c r="D379" s="810"/>
      <c r="E379" s="778" t="s">
        <v>304</v>
      </c>
      <c r="F379" s="779" t="s">
        <v>1151</v>
      </c>
      <c r="G379" s="779"/>
      <c r="H379" s="780"/>
      <c r="I379" s="780"/>
      <c r="J379" s="780"/>
      <c r="K379" s="781"/>
      <c r="L379" s="779">
        <v>41456</v>
      </c>
      <c r="M379" s="780">
        <v>26780</v>
      </c>
      <c r="N379" s="780">
        <v>33779.310492905155</v>
      </c>
      <c r="O379" s="811">
        <f t="shared" si="4"/>
        <v>904609935</v>
      </c>
      <c r="P379" s="780">
        <f>SUM(O356:O379)</f>
        <v>5445089859</v>
      </c>
      <c r="Q379" s="780">
        <v>548990000</v>
      </c>
      <c r="R379" s="784">
        <v>355619935</v>
      </c>
      <c r="S379" s="781" t="s">
        <v>488</v>
      </c>
      <c r="T379" s="780" t="s">
        <v>1506</v>
      </c>
      <c r="U379" s="779"/>
      <c r="V379" s="779"/>
      <c r="W379" s="779"/>
      <c r="AC379" s="812"/>
      <c r="AD379" s="774"/>
    </row>
    <row r="380" spans="1:30" ht="14.25" customHeight="1">
      <c r="A380" s="491" t="s">
        <v>1163</v>
      </c>
      <c r="B380" s="551"/>
      <c r="C380" s="551"/>
      <c r="D380" s="551"/>
      <c r="E380" s="656" t="s">
        <v>487</v>
      </c>
      <c r="F380" s="656" t="s">
        <v>1164</v>
      </c>
      <c r="G380" s="642">
        <v>41089</v>
      </c>
      <c r="H380" s="610">
        <v>11741</v>
      </c>
      <c r="I380" s="610">
        <v>214000</v>
      </c>
      <c r="J380" s="610">
        <v>2512574000</v>
      </c>
      <c r="K380" s="612" t="s">
        <v>1165</v>
      </c>
      <c r="L380" s="642">
        <v>41381</v>
      </c>
      <c r="M380" s="610"/>
      <c r="N380" s="610"/>
      <c r="O380" s="610">
        <f t="shared" si="4"/>
        <v>35223000</v>
      </c>
      <c r="P380" s="644"/>
      <c r="Q380" s="610">
        <v>0</v>
      </c>
      <c r="R380" s="610">
        <v>35223000</v>
      </c>
      <c r="S380" s="612" t="s">
        <v>1116</v>
      </c>
      <c r="T380" s="610">
        <f>+J380-Q380</f>
        <v>2512574000</v>
      </c>
      <c r="U380" s="656"/>
      <c r="V380" s="656"/>
      <c r="W380" s="656"/>
      <c r="Y380" s="653" t="s">
        <v>1164</v>
      </c>
      <c r="Z380" s="645">
        <v>41089</v>
      </c>
      <c r="AA380" s="644">
        <v>11741</v>
      </c>
      <c r="AB380" s="644">
        <v>214000</v>
      </c>
      <c r="AC380" s="644">
        <v>-2512574000</v>
      </c>
    </row>
    <row r="381" spans="1:30" s="773" customFormat="1" ht="14.25" customHeight="1">
      <c r="A381" s="777" t="s">
        <v>1163</v>
      </c>
      <c r="B381" s="551"/>
      <c r="C381" s="551"/>
      <c r="D381" s="551"/>
      <c r="E381" s="813" t="s">
        <v>487</v>
      </c>
      <c r="F381" s="813" t="s">
        <v>1164</v>
      </c>
      <c r="G381" s="814"/>
      <c r="H381" s="815"/>
      <c r="I381" s="815"/>
      <c r="J381" s="815"/>
      <c r="K381" s="816"/>
      <c r="L381" s="814">
        <v>41747</v>
      </c>
      <c r="M381" s="815"/>
      <c r="N381" s="815"/>
      <c r="O381" s="610">
        <f t="shared" si="4"/>
        <v>35223000</v>
      </c>
      <c r="P381" s="669"/>
      <c r="Q381" s="815">
        <v>0</v>
      </c>
      <c r="R381" s="815">
        <v>35223000</v>
      </c>
      <c r="S381" s="816" t="s">
        <v>1508</v>
      </c>
      <c r="T381" s="815"/>
      <c r="U381" s="778"/>
      <c r="V381" s="778"/>
      <c r="W381" s="778"/>
      <c r="Z381" s="770"/>
      <c r="AA381" s="771"/>
      <c r="AB381" s="771"/>
      <c r="AC381" s="771"/>
      <c r="AD381" s="774"/>
    </row>
    <row r="382" spans="1:30" ht="14.25" customHeight="1">
      <c r="A382" s="817" t="s">
        <v>1163</v>
      </c>
      <c r="B382" s="818"/>
      <c r="C382" s="818"/>
      <c r="D382" s="819"/>
      <c r="E382" s="656" t="s">
        <v>487</v>
      </c>
      <c r="F382" s="656" t="s">
        <v>1166</v>
      </c>
      <c r="G382" s="642">
        <v>41089</v>
      </c>
      <c r="H382" s="610">
        <v>264478</v>
      </c>
      <c r="I382" s="610">
        <v>9000</v>
      </c>
      <c r="J382" s="610">
        <v>2380302000</v>
      </c>
      <c r="K382" s="612" t="s">
        <v>1165</v>
      </c>
      <c r="L382" s="642"/>
      <c r="M382" s="610"/>
      <c r="N382" s="610"/>
      <c r="O382" s="610">
        <f t="shared" si="4"/>
        <v>0</v>
      </c>
      <c r="P382" s="610"/>
      <c r="Q382" s="610"/>
      <c r="R382" s="610"/>
      <c r="S382" s="612"/>
      <c r="T382" s="610">
        <f>+SUM(J382:J385)-SUM(Q382:Q384)</f>
        <v>2842399552</v>
      </c>
      <c r="U382" s="653"/>
      <c r="V382" s="653"/>
      <c r="W382" s="653"/>
      <c r="Z382" s="645">
        <v>41381</v>
      </c>
      <c r="AA382" s="644"/>
      <c r="AB382" s="644"/>
      <c r="AC382" s="644">
        <v>35223000</v>
      </c>
    </row>
    <row r="383" spans="1:30" ht="14.25" customHeight="1">
      <c r="A383" s="820" t="s">
        <v>1163</v>
      </c>
      <c r="B383" s="821"/>
      <c r="C383" s="821"/>
      <c r="D383" s="822"/>
      <c r="E383" s="654" t="s">
        <v>487</v>
      </c>
      <c r="F383" s="506" t="s">
        <v>1166</v>
      </c>
      <c r="G383" s="630">
        <v>41827</v>
      </c>
      <c r="H383" s="657">
        <v>264478</v>
      </c>
      <c r="I383" s="657"/>
      <c r="J383" s="657"/>
      <c r="K383" s="650" t="s">
        <v>1523</v>
      </c>
      <c r="L383" s="652"/>
      <c r="M383" s="657"/>
      <c r="N383" s="657"/>
      <c r="O383" s="610">
        <f t="shared" si="4"/>
        <v>0</v>
      </c>
      <c r="P383" s="823"/>
      <c r="Q383" s="657"/>
      <c r="R383" s="657"/>
      <c r="S383" s="650"/>
      <c r="T383" s="657"/>
      <c r="U383" s="561"/>
      <c r="V383" s="653"/>
      <c r="W383" s="653"/>
      <c r="Z383" s="681"/>
      <c r="AA383" s="611"/>
      <c r="AB383" s="611"/>
      <c r="AC383" s="611"/>
    </row>
    <row r="384" spans="1:30" ht="14.25" customHeight="1">
      <c r="A384" s="820" t="s">
        <v>1163</v>
      </c>
      <c r="B384" s="821"/>
      <c r="C384" s="821"/>
      <c r="D384" s="822"/>
      <c r="E384" s="654" t="s">
        <v>487</v>
      </c>
      <c r="F384" s="506" t="s">
        <v>1524</v>
      </c>
      <c r="G384" s="630">
        <v>41677</v>
      </c>
      <c r="H384" s="657">
        <v>67568</v>
      </c>
      <c r="I384" s="657">
        <f>561097552/67568</f>
        <v>8304.1906227800137</v>
      </c>
      <c r="J384" s="657">
        <v>462097552</v>
      </c>
      <c r="K384" s="650" t="s">
        <v>1525</v>
      </c>
      <c r="L384" s="652"/>
      <c r="M384" s="657"/>
      <c r="N384" s="657"/>
      <c r="O384" s="610">
        <f t="shared" si="4"/>
        <v>0</v>
      </c>
      <c r="P384" s="823"/>
      <c r="Q384" s="657"/>
      <c r="R384" s="657"/>
      <c r="S384" s="650"/>
      <c r="T384" s="657"/>
      <c r="U384" s="561"/>
      <c r="V384" s="653"/>
      <c r="W384" s="653"/>
      <c r="Z384" s="681"/>
      <c r="AA384" s="611"/>
      <c r="AB384" s="611"/>
      <c r="AC384" s="611"/>
    </row>
    <row r="385" spans="1:31" ht="14.25" customHeight="1">
      <c r="A385" s="824" t="s">
        <v>1163</v>
      </c>
      <c r="B385" s="825"/>
      <c r="C385" s="825"/>
      <c r="D385" s="826"/>
      <c r="E385" s="655" t="s">
        <v>487</v>
      </c>
      <c r="F385" s="807" t="s">
        <v>1166</v>
      </c>
      <c r="G385" s="632">
        <v>41827</v>
      </c>
      <c r="H385" s="614">
        <v>67568</v>
      </c>
      <c r="I385" s="614"/>
      <c r="J385" s="614"/>
      <c r="K385" s="613" t="s">
        <v>1523</v>
      </c>
      <c r="L385" s="651"/>
      <c r="M385" s="614"/>
      <c r="N385" s="614"/>
      <c r="O385" s="641">
        <f t="shared" si="4"/>
        <v>0</v>
      </c>
      <c r="P385" s="808"/>
      <c r="Q385" s="614"/>
      <c r="R385" s="614"/>
      <c r="S385" s="613"/>
      <c r="T385" s="614"/>
      <c r="U385" s="561"/>
      <c r="V385" s="653"/>
      <c r="W385" s="653"/>
      <c r="Z385" s="681"/>
      <c r="AA385" s="611"/>
      <c r="AB385" s="611"/>
      <c r="AC385" s="611"/>
    </row>
    <row r="386" spans="1:31" s="773" customFormat="1" ht="14.25" customHeight="1">
      <c r="A386" s="777" t="s">
        <v>1163</v>
      </c>
      <c r="B386" s="551"/>
      <c r="C386" s="551"/>
      <c r="D386" s="551"/>
      <c r="E386" s="827" t="s">
        <v>487</v>
      </c>
      <c r="F386" s="827" t="s">
        <v>1167</v>
      </c>
      <c r="G386" s="828">
        <v>41089</v>
      </c>
      <c r="H386" s="829">
        <v>326187</v>
      </c>
      <c r="I386" s="829">
        <v>6459.8575050507834</v>
      </c>
      <c r="J386" s="829">
        <v>2107121540</v>
      </c>
      <c r="K386" s="830" t="s">
        <v>1165</v>
      </c>
      <c r="L386" s="828">
        <v>41750</v>
      </c>
      <c r="M386" s="829">
        <v>190275</v>
      </c>
      <c r="N386" s="829">
        <f>O386/M386</f>
        <v>6708.0600131388783</v>
      </c>
      <c r="O386" s="648">
        <f t="shared" si="4"/>
        <v>1276376119</v>
      </c>
      <c r="P386" s="648"/>
      <c r="Q386" s="829">
        <v>702371385</v>
      </c>
      <c r="R386" s="829">
        <v>574004734</v>
      </c>
      <c r="S386" s="830" t="s">
        <v>1526</v>
      </c>
      <c r="T386" s="829">
        <f>+J386-Q386</f>
        <v>1404750155</v>
      </c>
      <c r="U386" s="769"/>
      <c r="V386" s="769"/>
      <c r="W386" s="769"/>
      <c r="Z386" s="775">
        <v>41634</v>
      </c>
      <c r="AC386" s="812">
        <f>+-AC380</f>
        <v>2512574000</v>
      </c>
      <c r="AD386" s="774">
        <f>+XIRR(AC380:AC386,Z380:Z386)</f>
        <v>9.4280511140823371E-3</v>
      </c>
    </row>
    <row r="387" spans="1:31" s="608" customFormat="1" ht="14.25" customHeight="1">
      <c r="A387" s="491" t="s">
        <v>1163</v>
      </c>
      <c r="B387" s="551"/>
      <c r="C387" s="551"/>
      <c r="D387" s="551"/>
      <c r="E387" s="655" t="s">
        <v>487</v>
      </c>
      <c r="F387" s="655" t="s">
        <v>1167</v>
      </c>
      <c r="G387" s="651">
        <v>41327</v>
      </c>
      <c r="H387" s="614">
        <v>244640</v>
      </c>
      <c r="I387" s="614"/>
      <c r="J387" s="614"/>
      <c r="K387" s="613" t="s">
        <v>1527</v>
      </c>
      <c r="L387" s="651"/>
      <c r="M387" s="614"/>
      <c r="N387" s="614"/>
      <c r="O387" s="610">
        <f t="shared" si="4"/>
        <v>0</v>
      </c>
      <c r="P387" s="614"/>
      <c r="Q387" s="614"/>
      <c r="R387" s="614"/>
      <c r="S387" s="613"/>
      <c r="T387" s="614"/>
      <c r="U387" s="653"/>
      <c r="V387" s="653"/>
      <c r="W387" s="653"/>
      <c r="Z387" s="681"/>
      <c r="AC387" s="611"/>
      <c r="AD387" s="665"/>
    </row>
    <row r="388" spans="1:31" s="608" customFormat="1" ht="14.25" customHeight="1">
      <c r="A388" s="491" t="s">
        <v>1163</v>
      </c>
      <c r="B388" s="551"/>
      <c r="C388" s="551"/>
      <c r="D388" s="551" t="s">
        <v>793</v>
      </c>
      <c r="E388" s="656" t="s">
        <v>487</v>
      </c>
      <c r="F388" s="656" t="s">
        <v>1168</v>
      </c>
      <c r="G388" s="642">
        <v>41100</v>
      </c>
      <c r="H388" s="610">
        <v>1000000</v>
      </c>
      <c r="I388" s="610">
        <v>2635</v>
      </c>
      <c r="J388" s="610">
        <v>2635000000</v>
      </c>
      <c r="K388" s="612" t="s">
        <v>1145</v>
      </c>
      <c r="L388" s="642">
        <v>41380</v>
      </c>
      <c r="M388" s="610"/>
      <c r="N388" s="610"/>
      <c r="O388" s="610">
        <f t="shared" si="4"/>
        <v>35000000</v>
      </c>
      <c r="P388" s="641"/>
      <c r="Q388" s="610">
        <v>0</v>
      </c>
      <c r="R388" s="610">
        <v>35000000</v>
      </c>
      <c r="S388" s="612" t="s">
        <v>1116</v>
      </c>
      <c r="T388" s="610">
        <v>0</v>
      </c>
      <c r="U388" s="656"/>
      <c r="V388" s="656"/>
      <c r="W388" s="656"/>
      <c r="Y388" s="653" t="s">
        <v>1167</v>
      </c>
      <c r="Z388" s="645">
        <v>41089</v>
      </c>
      <c r="AA388" s="644">
        <v>570827</v>
      </c>
      <c r="AB388" s="644">
        <v>6459.8575050507834</v>
      </c>
      <c r="AC388" s="644">
        <v>-2107121540</v>
      </c>
      <c r="AD388" s="677"/>
    </row>
    <row r="389" spans="1:31" s="773" customFormat="1" ht="14.25" customHeight="1">
      <c r="A389" s="777" t="s">
        <v>1163</v>
      </c>
      <c r="B389" s="551"/>
      <c r="C389" s="551"/>
      <c r="D389" s="551"/>
      <c r="E389" s="778" t="s">
        <v>487</v>
      </c>
      <c r="F389" s="778" t="s">
        <v>1168</v>
      </c>
      <c r="G389" s="779"/>
      <c r="H389" s="780"/>
      <c r="I389" s="780"/>
      <c r="J389" s="780"/>
      <c r="K389" s="781"/>
      <c r="L389" s="779">
        <v>41740</v>
      </c>
      <c r="M389" s="780"/>
      <c r="N389" s="780"/>
      <c r="O389" s="610">
        <f t="shared" si="4"/>
        <v>40000000</v>
      </c>
      <c r="P389" s="669"/>
      <c r="Q389" s="780">
        <v>0</v>
      </c>
      <c r="R389" s="780">
        <v>40000000</v>
      </c>
      <c r="S389" s="781" t="s">
        <v>1508</v>
      </c>
      <c r="T389" s="831"/>
      <c r="U389" s="778"/>
      <c r="V389" s="778"/>
      <c r="W389" s="778"/>
      <c r="Z389" s="775"/>
      <c r="AA389" s="812"/>
      <c r="AB389" s="812"/>
      <c r="AC389" s="812"/>
      <c r="AD389" s="774"/>
    </row>
    <row r="390" spans="1:31" s="773" customFormat="1" ht="14.25" customHeight="1">
      <c r="A390" s="777" t="s">
        <v>1163</v>
      </c>
      <c r="B390" s="551"/>
      <c r="C390" s="551"/>
      <c r="D390" s="551"/>
      <c r="E390" s="778" t="s">
        <v>487</v>
      </c>
      <c r="F390" s="778" t="s">
        <v>1168</v>
      </c>
      <c r="G390" s="779"/>
      <c r="H390" s="780"/>
      <c r="I390" s="780"/>
      <c r="J390" s="780"/>
      <c r="K390" s="781"/>
      <c r="L390" s="779">
        <v>42034</v>
      </c>
      <c r="M390" s="780"/>
      <c r="N390" s="780"/>
      <c r="O390" s="610">
        <f>2635000000+155000000</f>
        <v>2790000000</v>
      </c>
      <c r="P390" s="669"/>
      <c r="Q390" s="780">
        <v>2635000000</v>
      </c>
      <c r="R390" s="780">
        <v>155000000</v>
      </c>
      <c r="S390" s="781" t="s">
        <v>1505</v>
      </c>
      <c r="T390" s="831"/>
      <c r="U390" s="778"/>
      <c r="V390" s="778"/>
      <c r="W390" s="778"/>
      <c r="Z390" s="775"/>
      <c r="AA390" s="812"/>
      <c r="AB390" s="812"/>
      <c r="AC390" s="812"/>
      <c r="AD390" s="774"/>
    </row>
    <row r="391" spans="1:31" s="608" customFormat="1" ht="14.25" customHeight="1">
      <c r="A391" s="491" t="s">
        <v>1163</v>
      </c>
      <c r="B391" s="551"/>
      <c r="C391" s="551"/>
      <c r="D391" s="551" t="s">
        <v>793</v>
      </c>
      <c r="E391" s="664" t="s">
        <v>1498</v>
      </c>
      <c r="F391" s="664" t="s">
        <v>1169</v>
      </c>
      <c r="G391" s="668">
        <v>41115</v>
      </c>
      <c r="H391" s="648">
        <v>0</v>
      </c>
      <c r="I391" s="648">
        <v>0</v>
      </c>
      <c r="J391" s="648">
        <v>5000000000</v>
      </c>
      <c r="K391" s="750" t="s">
        <v>1170</v>
      </c>
      <c r="L391" s="668">
        <v>41205</v>
      </c>
      <c r="M391" s="648">
        <v>0</v>
      </c>
      <c r="N391" s="648">
        <v>0</v>
      </c>
      <c r="O391" s="610">
        <f t="shared" si="4"/>
        <v>30000000</v>
      </c>
      <c r="P391" s="648"/>
      <c r="Q391" s="648">
        <v>0</v>
      </c>
      <c r="R391" s="648">
        <v>30000000</v>
      </c>
      <c r="S391" s="750" t="s">
        <v>1149</v>
      </c>
      <c r="T391" s="528">
        <f>+SUM(J391:J397)-SUM(Q391:Q397)</f>
        <v>5000000000</v>
      </c>
      <c r="U391" s="653"/>
      <c r="V391" s="653"/>
      <c r="W391" s="653"/>
      <c r="Z391" s="681">
        <v>41634</v>
      </c>
      <c r="AA391" s="528">
        <f>+AA388</f>
        <v>570827</v>
      </c>
      <c r="AB391" s="611">
        <v>5100</v>
      </c>
      <c r="AC391" s="611">
        <f>+AA391*AB391</f>
        <v>2911217700</v>
      </c>
      <c r="AD391" s="665">
        <f>+XIRR(AC388:AC391,Z388:Z391)</f>
        <v>0.24170770049095153</v>
      </c>
      <c r="AE391" s="603">
        <f>+AC391/AC388</f>
        <v>-1.3816088178757833</v>
      </c>
    </row>
    <row r="392" spans="1:31" s="608" customFormat="1" ht="14.25" customHeight="1">
      <c r="A392" s="491" t="s">
        <v>1163</v>
      </c>
      <c r="B392" s="551"/>
      <c r="C392" s="551"/>
      <c r="D392" s="551" t="s">
        <v>793</v>
      </c>
      <c r="E392" s="654" t="s">
        <v>1498</v>
      </c>
      <c r="F392" s="654" t="s">
        <v>1169</v>
      </c>
      <c r="G392" s="652"/>
      <c r="H392" s="657"/>
      <c r="I392" s="657"/>
      <c r="J392" s="657"/>
      <c r="K392" s="650"/>
      <c r="L392" s="652">
        <v>41207</v>
      </c>
      <c r="M392" s="657">
        <v>0</v>
      </c>
      <c r="N392" s="657">
        <v>0</v>
      </c>
      <c r="O392" s="610">
        <f t="shared" si="4"/>
        <v>12602740</v>
      </c>
      <c r="P392" s="657"/>
      <c r="Q392" s="657">
        <v>0</v>
      </c>
      <c r="R392" s="657">
        <v>12602740</v>
      </c>
      <c r="S392" s="650" t="s">
        <v>1096</v>
      </c>
      <c r="T392" s="657"/>
      <c r="U392" s="653"/>
      <c r="V392" s="653"/>
      <c r="W392" s="653"/>
      <c r="Y392" s="653" t="s">
        <v>1166</v>
      </c>
      <c r="Z392" s="645">
        <v>41089</v>
      </c>
      <c r="AA392" s="644">
        <v>264478</v>
      </c>
      <c r="AB392" s="644">
        <v>9000</v>
      </c>
      <c r="AC392" s="644">
        <v>-2380302000</v>
      </c>
      <c r="AD392" s="677"/>
    </row>
    <row r="393" spans="1:31" s="608" customFormat="1" ht="14.25" customHeight="1">
      <c r="A393" s="491" t="s">
        <v>1163</v>
      </c>
      <c r="B393" s="551"/>
      <c r="C393" s="551"/>
      <c r="D393" s="551" t="s">
        <v>793</v>
      </c>
      <c r="E393" s="654" t="s">
        <v>1498</v>
      </c>
      <c r="F393" s="654" t="s">
        <v>1169</v>
      </c>
      <c r="G393" s="652"/>
      <c r="H393" s="657"/>
      <c r="I393" s="657"/>
      <c r="J393" s="657"/>
      <c r="K393" s="650"/>
      <c r="L393" s="652">
        <v>41236</v>
      </c>
      <c r="M393" s="657">
        <v>0</v>
      </c>
      <c r="N393" s="657">
        <v>0</v>
      </c>
      <c r="O393" s="610">
        <f t="shared" si="4"/>
        <v>45000000</v>
      </c>
      <c r="P393" s="657"/>
      <c r="Q393" s="657">
        <v>0</v>
      </c>
      <c r="R393" s="657">
        <v>45000000</v>
      </c>
      <c r="S393" s="650" t="s">
        <v>1149</v>
      </c>
      <c r="T393" s="657"/>
      <c r="U393" s="664"/>
      <c r="V393" s="664"/>
      <c r="W393" s="664"/>
      <c r="Z393" s="681">
        <v>41603</v>
      </c>
      <c r="AC393" s="611">
        <f>+-AC392</f>
        <v>2380302000</v>
      </c>
      <c r="AD393" s="665">
        <f>+XIRR(AC392:AC393,Z392:Z393)</f>
        <v>2.9802322387695314E-9</v>
      </c>
    </row>
    <row r="394" spans="1:31" s="608" customFormat="1" ht="14.25" customHeight="1">
      <c r="A394" s="491" t="s">
        <v>1163</v>
      </c>
      <c r="B394" s="551"/>
      <c r="C394" s="551"/>
      <c r="D394" s="551" t="s">
        <v>793</v>
      </c>
      <c r="E394" s="654" t="s">
        <v>1498</v>
      </c>
      <c r="F394" s="654" t="s">
        <v>1169</v>
      </c>
      <c r="G394" s="652"/>
      <c r="H394" s="657"/>
      <c r="I394" s="657"/>
      <c r="J394" s="657"/>
      <c r="K394" s="650"/>
      <c r="L394" s="652">
        <v>41299</v>
      </c>
      <c r="M394" s="657">
        <v>0</v>
      </c>
      <c r="N394" s="657">
        <v>0</v>
      </c>
      <c r="O394" s="610">
        <f t="shared" si="4"/>
        <v>12602740</v>
      </c>
      <c r="P394" s="657"/>
      <c r="Q394" s="657">
        <v>0</v>
      </c>
      <c r="R394" s="657">
        <v>12602740</v>
      </c>
      <c r="S394" s="650" t="s">
        <v>1096</v>
      </c>
      <c r="T394" s="657"/>
      <c r="U394" s="654"/>
      <c r="V394" s="654"/>
      <c r="W394" s="654"/>
      <c r="Y394" s="653" t="s">
        <v>1168</v>
      </c>
      <c r="Z394" s="645">
        <v>41100</v>
      </c>
      <c r="AA394" s="644">
        <v>1000000</v>
      </c>
      <c r="AB394" s="644">
        <v>2635</v>
      </c>
      <c r="AC394" s="644">
        <v>-2635000000</v>
      </c>
      <c r="AD394" s="677"/>
    </row>
    <row r="395" spans="1:31" s="608" customFormat="1" ht="14.25" customHeight="1">
      <c r="A395" s="491" t="s">
        <v>1163</v>
      </c>
      <c r="B395" s="551"/>
      <c r="C395" s="551"/>
      <c r="D395" s="551" t="s">
        <v>793</v>
      </c>
      <c r="E395" s="654" t="s">
        <v>1498</v>
      </c>
      <c r="F395" s="654" t="s">
        <v>1169</v>
      </c>
      <c r="G395" s="652"/>
      <c r="H395" s="657"/>
      <c r="I395" s="657"/>
      <c r="J395" s="657"/>
      <c r="K395" s="650"/>
      <c r="L395" s="652">
        <v>41389</v>
      </c>
      <c r="M395" s="657">
        <v>0</v>
      </c>
      <c r="N395" s="657">
        <v>0</v>
      </c>
      <c r="O395" s="610">
        <f t="shared" si="4"/>
        <v>12328767</v>
      </c>
      <c r="P395" s="657"/>
      <c r="Q395" s="657">
        <v>0</v>
      </c>
      <c r="R395" s="657">
        <v>12328767</v>
      </c>
      <c r="S395" s="650" t="s">
        <v>1096</v>
      </c>
      <c r="T395" s="657"/>
      <c r="U395" s="654"/>
      <c r="V395" s="654"/>
      <c r="W395" s="654"/>
      <c r="Z395" s="645">
        <v>41380</v>
      </c>
      <c r="AA395" s="644"/>
      <c r="AB395" s="644"/>
      <c r="AC395" s="641">
        <v>35000000</v>
      </c>
      <c r="AD395" s="585"/>
      <c r="AE395" s="641">
        <v>0</v>
      </c>
    </row>
    <row r="396" spans="1:31" s="608" customFormat="1" ht="14.25" customHeight="1">
      <c r="A396" s="491" t="s">
        <v>1163</v>
      </c>
      <c r="B396" s="551"/>
      <c r="C396" s="551"/>
      <c r="D396" s="551" t="s">
        <v>793</v>
      </c>
      <c r="E396" s="654" t="s">
        <v>1498</v>
      </c>
      <c r="F396" s="654" t="s">
        <v>1169</v>
      </c>
      <c r="G396" s="652"/>
      <c r="H396" s="657"/>
      <c r="I396" s="657"/>
      <c r="J396" s="657"/>
      <c r="K396" s="650"/>
      <c r="L396" s="652">
        <v>41480</v>
      </c>
      <c r="M396" s="657">
        <v>0</v>
      </c>
      <c r="N396" s="657">
        <v>0</v>
      </c>
      <c r="O396" s="610">
        <f t="shared" si="4"/>
        <v>12465753</v>
      </c>
      <c r="P396" s="657"/>
      <c r="Q396" s="657">
        <v>0</v>
      </c>
      <c r="R396" s="657">
        <v>12465753</v>
      </c>
      <c r="S396" s="650" t="s">
        <v>1096</v>
      </c>
      <c r="T396" s="657"/>
      <c r="U396" s="655"/>
      <c r="V396" s="655"/>
      <c r="W396" s="655"/>
      <c r="Z396" s="681">
        <v>41634</v>
      </c>
      <c r="AC396" s="611">
        <f>+-AC394</f>
        <v>2635000000</v>
      </c>
      <c r="AD396" s="665">
        <f>+XIRR(AC394:AC396,Z394:Z396)</f>
        <v>9.1173321008682258E-3</v>
      </c>
    </row>
    <row r="397" spans="1:31" s="608" customFormat="1" ht="14.25" customHeight="1">
      <c r="A397" s="491" t="s">
        <v>1163</v>
      </c>
      <c r="B397" s="551"/>
      <c r="C397" s="551"/>
      <c r="D397" s="551" t="s">
        <v>793</v>
      </c>
      <c r="E397" s="654" t="s">
        <v>1498</v>
      </c>
      <c r="F397" s="654" t="s">
        <v>1169</v>
      </c>
      <c r="G397" s="652"/>
      <c r="H397" s="657"/>
      <c r="I397" s="657"/>
      <c r="J397" s="657"/>
      <c r="K397" s="650"/>
      <c r="L397" s="652">
        <v>41572</v>
      </c>
      <c r="M397" s="657"/>
      <c r="N397" s="657"/>
      <c r="O397" s="610">
        <f t="shared" si="4"/>
        <v>12602740</v>
      </c>
      <c r="P397" s="657"/>
      <c r="Q397" s="657">
        <v>0</v>
      </c>
      <c r="R397" s="657">
        <v>12602740</v>
      </c>
      <c r="S397" s="650" t="s">
        <v>1499</v>
      </c>
      <c r="T397" s="657"/>
      <c r="U397" s="491"/>
      <c r="V397" s="491"/>
      <c r="W397" s="491"/>
      <c r="Y397" s="664" t="s">
        <v>1169</v>
      </c>
      <c r="Z397" s="668">
        <v>41115</v>
      </c>
      <c r="AA397" s="648">
        <v>0</v>
      </c>
      <c r="AB397" s="648">
        <v>0</v>
      </c>
      <c r="AC397" s="648">
        <v>-5000000000</v>
      </c>
      <c r="AD397" s="677"/>
    </row>
    <row r="398" spans="1:31" s="773" customFormat="1" ht="14.25" customHeight="1">
      <c r="A398" s="827" t="s">
        <v>1163</v>
      </c>
      <c r="B398" s="697"/>
      <c r="C398" s="697"/>
      <c r="D398" s="697" t="s">
        <v>793</v>
      </c>
      <c r="E398" s="789" t="s">
        <v>1498</v>
      </c>
      <c r="F398" s="789" t="s">
        <v>1169</v>
      </c>
      <c r="G398" s="783"/>
      <c r="H398" s="784"/>
      <c r="I398" s="784"/>
      <c r="J398" s="784"/>
      <c r="K398" s="803"/>
      <c r="L398" s="783">
        <v>41666</v>
      </c>
      <c r="M398" s="784"/>
      <c r="N398" s="784"/>
      <c r="O398" s="610">
        <f t="shared" si="4"/>
        <v>12876712</v>
      </c>
      <c r="P398" s="657"/>
      <c r="Q398" s="784">
        <v>0</v>
      </c>
      <c r="R398" s="784">
        <v>12876712</v>
      </c>
      <c r="S398" s="803" t="s">
        <v>1499</v>
      </c>
      <c r="T398" s="784"/>
      <c r="U398" s="777"/>
      <c r="V398" s="777"/>
      <c r="W398" s="777"/>
      <c r="Z398" s="828"/>
      <c r="AA398" s="829"/>
      <c r="AB398" s="829"/>
      <c r="AC398" s="829"/>
      <c r="AD398" s="774"/>
    </row>
    <row r="399" spans="1:31" s="773" customFormat="1" ht="14.25" customHeight="1">
      <c r="A399" s="777" t="s">
        <v>1163</v>
      </c>
      <c r="B399" s="551"/>
      <c r="C399" s="551"/>
      <c r="D399" s="551" t="s">
        <v>793</v>
      </c>
      <c r="E399" s="769" t="s">
        <v>1498</v>
      </c>
      <c r="F399" s="769" t="s">
        <v>1169</v>
      </c>
      <c r="G399" s="770"/>
      <c r="H399" s="771"/>
      <c r="I399" s="771"/>
      <c r="J399" s="771"/>
      <c r="K399" s="766"/>
      <c r="L399" s="770">
        <v>41754</v>
      </c>
      <c r="M399" s="771"/>
      <c r="N399" s="771"/>
      <c r="O399" s="610">
        <f t="shared" si="4"/>
        <v>12054795</v>
      </c>
      <c r="P399" s="644"/>
      <c r="Q399" s="771">
        <v>0</v>
      </c>
      <c r="R399" s="771">
        <v>12054795</v>
      </c>
      <c r="S399" s="766" t="s">
        <v>1499</v>
      </c>
      <c r="T399" s="791"/>
      <c r="U399" s="777"/>
      <c r="V399" s="777"/>
      <c r="W399" s="777"/>
      <c r="Z399" s="828"/>
      <c r="AA399" s="829"/>
      <c r="AB399" s="829"/>
      <c r="AC399" s="829"/>
      <c r="AD399" s="774"/>
    </row>
    <row r="400" spans="1:31" s="773" customFormat="1" ht="14.25" customHeight="1">
      <c r="A400" s="777" t="s">
        <v>1163</v>
      </c>
      <c r="B400" s="551"/>
      <c r="C400" s="551"/>
      <c r="D400" s="551" t="s">
        <v>793</v>
      </c>
      <c r="E400" s="769" t="s">
        <v>1498</v>
      </c>
      <c r="F400" s="769" t="s">
        <v>1169</v>
      </c>
      <c r="G400" s="770"/>
      <c r="H400" s="771"/>
      <c r="I400" s="771"/>
      <c r="J400" s="771"/>
      <c r="K400" s="766"/>
      <c r="L400" s="770">
        <v>41845</v>
      </c>
      <c r="M400" s="771"/>
      <c r="N400" s="771"/>
      <c r="O400" s="610">
        <f t="shared" si="4"/>
        <v>12465753</v>
      </c>
      <c r="P400" s="644"/>
      <c r="Q400" s="771">
        <v>0</v>
      </c>
      <c r="R400" s="771">
        <v>12465753</v>
      </c>
      <c r="S400" s="766" t="s">
        <v>1499</v>
      </c>
      <c r="T400" s="791"/>
      <c r="U400" s="777"/>
      <c r="V400" s="777"/>
      <c r="W400" s="777"/>
      <c r="Z400" s="828"/>
      <c r="AA400" s="829"/>
      <c r="AB400" s="829"/>
      <c r="AC400" s="829"/>
      <c r="AD400" s="774"/>
    </row>
    <row r="401" spans="1:30" s="773" customFormat="1" ht="14.25" customHeight="1">
      <c r="A401" s="777" t="s">
        <v>1163</v>
      </c>
      <c r="B401" s="551"/>
      <c r="C401" s="551"/>
      <c r="D401" s="551" t="s">
        <v>793</v>
      </c>
      <c r="E401" s="777" t="s">
        <v>1498</v>
      </c>
      <c r="F401" s="777" t="s">
        <v>1169</v>
      </c>
      <c r="G401" s="790"/>
      <c r="H401" s="791"/>
      <c r="I401" s="791"/>
      <c r="J401" s="791"/>
      <c r="K401" s="792"/>
      <c r="L401" s="790">
        <v>41939</v>
      </c>
      <c r="M401" s="791"/>
      <c r="N401" s="791"/>
      <c r="O401" s="610">
        <f t="shared" si="4"/>
        <v>12876712</v>
      </c>
      <c r="P401" s="669"/>
      <c r="Q401" s="791">
        <v>0</v>
      </c>
      <c r="R401" s="791">
        <v>12876712</v>
      </c>
      <c r="S401" s="792" t="s">
        <v>1499</v>
      </c>
      <c r="T401" s="791"/>
      <c r="U401" s="777"/>
      <c r="V401" s="777"/>
      <c r="W401" s="777"/>
      <c r="Z401" s="828"/>
      <c r="AA401" s="829"/>
      <c r="AB401" s="829"/>
      <c r="AC401" s="829"/>
      <c r="AD401" s="774"/>
    </row>
    <row r="402" spans="1:30" s="608" customFormat="1" ht="14.25" customHeight="1">
      <c r="A402" s="656" t="s">
        <v>1163</v>
      </c>
      <c r="B402" s="656"/>
      <c r="C402" s="656"/>
      <c r="D402" s="656"/>
      <c r="E402" s="656" t="s">
        <v>487</v>
      </c>
      <c r="F402" s="656" t="s">
        <v>1097</v>
      </c>
      <c r="G402" s="642">
        <v>41270</v>
      </c>
      <c r="H402" s="610">
        <v>9918</v>
      </c>
      <c r="I402" s="610">
        <v>35000</v>
      </c>
      <c r="J402" s="610">
        <v>347130000</v>
      </c>
      <c r="K402" s="612" t="s">
        <v>1171</v>
      </c>
      <c r="L402" s="642"/>
      <c r="M402" s="610"/>
      <c r="N402" s="610"/>
      <c r="O402" s="610">
        <f t="shared" si="4"/>
        <v>0</v>
      </c>
      <c r="P402" s="610"/>
      <c r="Q402" s="610"/>
      <c r="R402" s="610"/>
      <c r="S402" s="612"/>
      <c r="T402" s="610">
        <f>+J402-Q402</f>
        <v>347130000</v>
      </c>
      <c r="U402" s="656"/>
      <c r="V402" s="656"/>
      <c r="W402" s="656"/>
      <c r="Z402" s="668">
        <v>41205</v>
      </c>
      <c r="AA402" s="648">
        <v>0</v>
      </c>
      <c r="AB402" s="648">
        <v>0</v>
      </c>
      <c r="AC402" s="648">
        <v>30000000</v>
      </c>
      <c r="AD402" s="677"/>
    </row>
    <row r="403" spans="1:30" s="608" customFormat="1" ht="14.25" customHeight="1">
      <c r="A403" s="654" t="s">
        <v>1163</v>
      </c>
      <c r="B403" s="654"/>
      <c r="C403" s="654"/>
      <c r="D403" s="654"/>
      <c r="E403" s="654" t="s">
        <v>1498</v>
      </c>
      <c r="F403" s="654" t="s">
        <v>1097</v>
      </c>
      <c r="G403" s="652">
        <v>41389</v>
      </c>
      <c r="H403" s="657"/>
      <c r="I403" s="657"/>
      <c r="J403" s="657">
        <v>999950000</v>
      </c>
      <c r="K403" s="650" t="s">
        <v>1170</v>
      </c>
      <c r="L403" s="652">
        <v>41572</v>
      </c>
      <c r="M403" s="657"/>
      <c r="N403" s="657"/>
      <c r="O403" s="610">
        <f t="shared" si="4"/>
        <v>4999750</v>
      </c>
      <c r="P403" s="657"/>
      <c r="Q403" s="657"/>
      <c r="R403" s="657">
        <v>4999750</v>
      </c>
      <c r="S403" s="650" t="s">
        <v>1499</v>
      </c>
      <c r="T403" s="657">
        <f>+J403:J405-Q403:Q405</f>
        <v>999950000</v>
      </c>
      <c r="U403" s="655"/>
      <c r="V403" s="655"/>
      <c r="W403" s="655"/>
      <c r="Z403" s="652">
        <v>41207</v>
      </c>
      <c r="AA403" s="657">
        <v>0</v>
      </c>
      <c r="AB403" s="657">
        <v>0</v>
      </c>
      <c r="AC403" s="657">
        <v>12602740</v>
      </c>
      <c r="AD403" s="677"/>
    </row>
    <row r="404" spans="1:30" s="608" customFormat="1" ht="14.25" customHeight="1">
      <c r="A404" s="654" t="s">
        <v>1163</v>
      </c>
      <c r="B404" s="654"/>
      <c r="C404" s="654"/>
      <c r="D404" s="654"/>
      <c r="E404" s="654" t="s">
        <v>1498</v>
      </c>
      <c r="F404" s="654" t="s">
        <v>1097</v>
      </c>
      <c r="G404" s="652"/>
      <c r="H404" s="657"/>
      <c r="I404" s="657"/>
      <c r="J404" s="657"/>
      <c r="K404" s="650"/>
      <c r="L404" s="652">
        <v>41754</v>
      </c>
      <c r="M404" s="657"/>
      <c r="N404" s="657"/>
      <c r="O404" s="610">
        <f t="shared" si="4"/>
        <v>4999750</v>
      </c>
      <c r="P404" s="657"/>
      <c r="Q404" s="657"/>
      <c r="R404" s="657">
        <v>4999750</v>
      </c>
      <c r="S404" s="650" t="s">
        <v>1499</v>
      </c>
      <c r="T404" s="657"/>
      <c r="U404" s="491"/>
      <c r="V404" s="491"/>
      <c r="W404" s="491"/>
      <c r="Z404" s="652"/>
      <c r="AA404" s="657"/>
      <c r="AB404" s="657"/>
      <c r="AC404" s="657"/>
      <c r="AD404" s="677"/>
    </row>
    <row r="405" spans="1:30" s="608" customFormat="1" ht="14.25" customHeight="1">
      <c r="A405" s="654" t="s">
        <v>1163</v>
      </c>
      <c r="B405" s="654"/>
      <c r="C405" s="654"/>
      <c r="D405" s="654"/>
      <c r="E405" s="654" t="s">
        <v>1498</v>
      </c>
      <c r="F405" s="654" t="s">
        <v>1097</v>
      </c>
      <c r="G405" s="652"/>
      <c r="H405" s="657"/>
      <c r="I405" s="657"/>
      <c r="J405" s="657"/>
      <c r="K405" s="650"/>
      <c r="L405" s="652">
        <v>41759</v>
      </c>
      <c r="M405" s="657"/>
      <c r="N405" s="657"/>
      <c r="O405" s="610">
        <f t="shared" si="4"/>
        <v>8998500</v>
      </c>
      <c r="P405" s="657"/>
      <c r="Q405" s="657"/>
      <c r="R405" s="657">
        <v>8998500</v>
      </c>
      <c r="S405" s="650" t="s">
        <v>1500</v>
      </c>
      <c r="T405" s="657"/>
      <c r="U405" s="491"/>
      <c r="V405" s="491"/>
      <c r="W405" s="491"/>
      <c r="Z405" s="652"/>
      <c r="AA405" s="657"/>
      <c r="AB405" s="657"/>
      <c r="AC405" s="657"/>
      <c r="AD405" s="677"/>
    </row>
    <row r="406" spans="1:30" s="608" customFormat="1" ht="14.25" customHeight="1">
      <c r="A406" s="655" t="s">
        <v>1163</v>
      </c>
      <c r="B406" s="655"/>
      <c r="C406" s="655"/>
      <c r="D406" s="655"/>
      <c r="E406" s="655" t="s">
        <v>1498</v>
      </c>
      <c r="F406" s="655" t="s">
        <v>1097</v>
      </c>
      <c r="G406" s="651"/>
      <c r="H406" s="614"/>
      <c r="I406" s="614"/>
      <c r="J406" s="614"/>
      <c r="K406" s="613"/>
      <c r="L406" s="651">
        <v>41939</v>
      </c>
      <c r="M406" s="614"/>
      <c r="N406" s="614"/>
      <c r="O406" s="610">
        <f t="shared" si="4"/>
        <v>4999750</v>
      </c>
      <c r="P406" s="614"/>
      <c r="Q406" s="614"/>
      <c r="R406" s="614">
        <v>4999750</v>
      </c>
      <c r="S406" s="613" t="s">
        <v>1528</v>
      </c>
      <c r="T406" s="614"/>
      <c r="U406" s="491"/>
      <c r="V406" s="491"/>
      <c r="W406" s="491"/>
      <c r="Z406" s="652"/>
      <c r="AA406" s="657"/>
      <c r="AB406" s="657"/>
      <c r="AC406" s="657"/>
      <c r="AD406" s="677"/>
    </row>
    <row r="407" spans="1:30" s="608" customFormat="1" ht="14.25" customHeight="1">
      <c r="A407" s="491" t="s">
        <v>1163</v>
      </c>
      <c r="B407" s="551"/>
      <c r="C407" s="551"/>
      <c r="D407" s="551"/>
      <c r="E407" s="664" t="s">
        <v>487</v>
      </c>
      <c r="F407" s="664" t="s">
        <v>1159</v>
      </c>
      <c r="G407" s="668">
        <v>41337</v>
      </c>
      <c r="H407" s="648">
        <v>150867</v>
      </c>
      <c r="I407" s="648">
        <v>5967</v>
      </c>
      <c r="J407" s="648">
        <v>900223389</v>
      </c>
      <c r="K407" s="750" t="s">
        <v>1145</v>
      </c>
      <c r="L407" s="668">
        <v>41393</v>
      </c>
      <c r="M407" s="648">
        <v>50417</v>
      </c>
      <c r="N407" s="699">
        <v>6048.0858043913759</v>
      </c>
      <c r="O407" s="610">
        <f t="shared" si="4"/>
        <v>304926342</v>
      </c>
      <c r="P407" s="644"/>
      <c r="Q407" s="648">
        <v>300838239</v>
      </c>
      <c r="R407" s="648">
        <v>4088103</v>
      </c>
      <c r="S407" s="750" t="s">
        <v>1137</v>
      </c>
      <c r="T407" s="648">
        <f>+J407-SUM(Q407:Q411)</f>
        <v>206249355</v>
      </c>
      <c r="U407" s="656"/>
      <c r="V407" s="656"/>
      <c r="W407" s="656"/>
      <c r="Z407" s="652">
        <v>41236</v>
      </c>
      <c r="AA407" s="657">
        <v>0</v>
      </c>
      <c r="AB407" s="657">
        <v>0</v>
      </c>
      <c r="AC407" s="657">
        <v>45000000</v>
      </c>
      <c r="AD407" s="677"/>
    </row>
    <row r="408" spans="1:30" s="773" customFormat="1" ht="14.25" customHeight="1">
      <c r="A408" s="777" t="s">
        <v>1163</v>
      </c>
      <c r="B408" s="551"/>
      <c r="C408" s="551"/>
      <c r="D408" s="551"/>
      <c r="E408" s="789" t="s">
        <v>487</v>
      </c>
      <c r="F408" s="789" t="s">
        <v>1159</v>
      </c>
      <c r="G408" s="783"/>
      <c r="H408" s="784"/>
      <c r="I408" s="784"/>
      <c r="J408" s="784"/>
      <c r="K408" s="803"/>
      <c r="L408" s="783">
        <v>41717</v>
      </c>
      <c r="M408" s="784">
        <v>31230</v>
      </c>
      <c r="N408" s="802">
        <f>O408/M408</f>
        <v>9017.9083253282097</v>
      </c>
      <c r="O408" s="610">
        <f t="shared" si="4"/>
        <v>281629277</v>
      </c>
      <c r="P408" s="669"/>
      <c r="Q408" s="784">
        <v>186886440</v>
      </c>
      <c r="R408" s="784">
        <v>94742837</v>
      </c>
      <c r="S408" s="803" t="s">
        <v>1520</v>
      </c>
      <c r="T408" s="784"/>
      <c r="U408" s="789"/>
      <c r="V408" s="789"/>
      <c r="W408" s="789"/>
      <c r="Z408" s="783"/>
      <c r="AA408" s="784"/>
      <c r="AB408" s="784"/>
      <c r="AC408" s="784"/>
      <c r="AD408" s="774"/>
    </row>
    <row r="409" spans="1:30" s="773" customFormat="1" ht="14.25" customHeight="1">
      <c r="A409" s="777" t="s">
        <v>1163</v>
      </c>
      <c r="B409" s="551"/>
      <c r="C409" s="551"/>
      <c r="D409" s="551"/>
      <c r="E409" s="789" t="s">
        <v>487</v>
      </c>
      <c r="F409" s="789" t="s">
        <v>1159</v>
      </c>
      <c r="G409" s="783"/>
      <c r="H409" s="784"/>
      <c r="I409" s="784"/>
      <c r="J409" s="784"/>
      <c r="K409" s="803"/>
      <c r="L409" s="783">
        <v>41738</v>
      </c>
      <c r="M409" s="784">
        <v>0</v>
      </c>
      <c r="N409" s="802">
        <v>0</v>
      </c>
      <c r="O409" s="610">
        <f t="shared" si="4"/>
        <v>5021500</v>
      </c>
      <c r="P409" s="669"/>
      <c r="Q409" s="784">
        <v>0</v>
      </c>
      <c r="R409" s="784">
        <v>5021500</v>
      </c>
      <c r="S409" s="803" t="s">
        <v>1508</v>
      </c>
      <c r="T409" s="784"/>
      <c r="U409" s="789"/>
      <c r="V409" s="789"/>
      <c r="W409" s="789"/>
      <c r="Z409" s="783"/>
      <c r="AA409" s="784"/>
      <c r="AB409" s="784"/>
      <c r="AC409" s="784"/>
      <c r="AD409" s="774"/>
    </row>
    <row r="410" spans="1:30" s="773" customFormat="1" ht="14.25" customHeight="1">
      <c r="A410" s="777" t="s">
        <v>1163</v>
      </c>
      <c r="B410" s="551"/>
      <c r="C410" s="551"/>
      <c r="D410" s="551"/>
      <c r="E410" s="789" t="s">
        <v>487</v>
      </c>
      <c r="F410" s="789" t="s">
        <v>1159</v>
      </c>
      <c r="G410" s="814"/>
      <c r="H410" s="815"/>
      <c r="I410" s="815"/>
      <c r="J410" s="815"/>
      <c r="K410" s="816"/>
      <c r="L410" s="814">
        <v>41752</v>
      </c>
      <c r="M410" s="815">
        <v>34565</v>
      </c>
      <c r="N410" s="802">
        <f>O410/M410</f>
        <v>10965.336467524952</v>
      </c>
      <c r="O410" s="610">
        <f t="shared" si="4"/>
        <v>379016855</v>
      </c>
      <c r="P410" s="669"/>
      <c r="Q410" s="815">
        <v>206249355</v>
      </c>
      <c r="R410" s="815">
        <v>172767500</v>
      </c>
      <c r="S410" s="816" t="s">
        <v>1520</v>
      </c>
      <c r="T410" s="815"/>
      <c r="U410" s="813"/>
      <c r="V410" s="813"/>
      <c r="W410" s="813"/>
      <c r="Z410" s="783"/>
      <c r="AA410" s="784"/>
      <c r="AB410" s="784"/>
      <c r="AC410" s="784"/>
      <c r="AD410" s="774"/>
    </row>
    <row r="411" spans="1:30" s="608" customFormat="1" ht="14.25" customHeight="1">
      <c r="A411" s="491" t="s">
        <v>1163</v>
      </c>
      <c r="B411" s="551"/>
      <c r="C411" s="551"/>
      <c r="D411" s="551"/>
      <c r="E411" s="655" t="s">
        <v>487</v>
      </c>
      <c r="F411" s="655" t="s">
        <v>1159</v>
      </c>
      <c r="G411" s="651"/>
      <c r="H411" s="614"/>
      <c r="I411" s="614"/>
      <c r="J411" s="614"/>
      <c r="K411" s="613"/>
      <c r="L411" s="651"/>
      <c r="M411" s="614"/>
      <c r="N411" s="695"/>
      <c r="O411" s="610">
        <f t="shared" si="4"/>
        <v>0</v>
      </c>
      <c r="P411" s="669"/>
      <c r="Q411" s="614"/>
      <c r="R411" s="614"/>
      <c r="S411" s="613"/>
      <c r="T411" s="614"/>
      <c r="U411" s="655"/>
      <c r="V411" s="655"/>
      <c r="W411" s="655"/>
      <c r="Z411" s="652"/>
      <c r="AA411" s="657"/>
      <c r="AB411" s="657"/>
      <c r="AC411" s="657"/>
      <c r="AD411" s="677"/>
    </row>
    <row r="412" spans="1:30" s="608" customFormat="1" ht="14.25" customHeight="1">
      <c r="A412" s="491" t="s">
        <v>1163</v>
      </c>
      <c r="B412" s="551"/>
      <c r="C412" s="551"/>
      <c r="D412" s="551"/>
      <c r="E412" s="656" t="s">
        <v>487</v>
      </c>
      <c r="F412" s="656" t="s">
        <v>1529</v>
      </c>
      <c r="G412" s="642">
        <v>41386</v>
      </c>
      <c r="H412" s="610">
        <v>52590</v>
      </c>
      <c r="I412" s="610">
        <v>26600</v>
      </c>
      <c r="J412" s="610">
        <v>1398894000</v>
      </c>
      <c r="K412" s="612" t="s">
        <v>1172</v>
      </c>
      <c r="L412" s="642">
        <v>41498</v>
      </c>
      <c r="M412" s="610">
        <v>28028</v>
      </c>
      <c r="N412" s="610">
        <v>44.250570857713711</v>
      </c>
      <c r="O412" s="610">
        <f t="shared" si="4"/>
        <v>1240255</v>
      </c>
      <c r="P412" s="610">
        <v>1240255</v>
      </c>
      <c r="Q412" s="610">
        <v>1240255</v>
      </c>
      <c r="R412" s="610">
        <v>0</v>
      </c>
      <c r="S412" s="612" t="s">
        <v>1137</v>
      </c>
      <c r="T412" s="610">
        <f t="shared" ref="T412:T418" si="5">+J412-Q412</f>
        <v>1397653745</v>
      </c>
      <c r="U412" s="656"/>
      <c r="V412" s="656"/>
      <c r="W412" s="656"/>
      <c r="Z412" s="652">
        <v>41299</v>
      </c>
      <c r="AA412" s="657">
        <v>0</v>
      </c>
      <c r="AB412" s="657">
        <v>0</v>
      </c>
      <c r="AC412" s="657">
        <v>12602740</v>
      </c>
      <c r="AD412" s="677"/>
    </row>
    <row r="413" spans="1:30" s="608" customFormat="1" ht="14.25" customHeight="1">
      <c r="A413" s="491" t="s">
        <v>1163</v>
      </c>
      <c r="B413" s="551"/>
      <c r="C413" s="551"/>
      <c r="D413" s="551"/>
      <c r="E413" s="655" t="s">
        <v>487</v>
      </c>
      <c r="F413" s="655" t="s">
        <v>1529</v>
      </c>
      <c r="G413" s="651">
        <v>41389</v>
      </c>
      <c r="H413" s="614">
        <v>86667</v>
      </c>
      <c r="I413" s="614">
        <v>30000</v>
      </c>
      <c r="J413" s="614">
        <v>2600010000</v>
      </c>
      <c r="K413" s="613" t="s">
        <v>1173</v>
      </c>
      <c r="L413" s="651">
        <v>41498</v>
      </c>
      <c r="M413" s="614">
        <v>46189</v>
      </c>
      <c r="N413" s="614">
        <v>49.907142393210506</v>
      </c>
      <c r="O413" s="610">
        <f t="shared" si="4"/>
        <v>2305161</v>
      </c>
      <c r="P413" s="614">
        <v>2305161</v>
      </c>
      <c r="Q413" s="614">
        <v>2305161</v>
      </c>
      <c r="R413" s="614">
        <v>0</v>
      </c>
      <c r="S413" s="613" t="s">
        <v>1137</v>
      </c>
      <c r="T413" s="614">
        <f t="shared" si="5"/>
        <v>2597704839</v>
      </c>
      <c r="U413" s="609"/>
      <c r="V413" s="609"/>
      <c r="W413" s="609"/>
      <c r="Z413" s="652">
        <v>41389</v>
      </c>
      <c r="AA413" s="657">
        <v>0</v>
      </c>
      <c r="AB413" s="657">
        <v>0</v>
      </c>
      <c r="AC413" s="657">
        <v>12328767</v>
      </c>
      <c r="AD413" s="677"/>
    </row>
    <row r="414" spans="1:30" s="608" customFormat="1" ht="14.25" customHeight="1">
      <c r="A414" s="491" t="s">
        <v>1163</v>
      </c>
      <c r="B414" s="551"/>
      <c r="C414" s="551"/>
      <c r="D414" s="551"/>
      <c r="E414" s="653" t="s">
        <v>487</v>
      </c>
      <c r="F414" s="653" t="s">
        <v>1174</v>
      </c>
      <c r="G414" s="645">
        <v>41414</v>
      </c>
      <c r="H414" s="644">
        <v>12500</v>
      </c>
      <c r="I414" s="644">
        <v>120000</v>
      </c>
      <c r="J414" s="644">
        <v>1500000000</v>
      </c>
      <c r="K414" s="747" t="s">
        <v>1172</v>
      </c>
      <c r="L414" s="645"/>
      <c r="M414" s="644"/>
      <c r="N414" s="644"/>
      <c r="O414" s="610">
        <f t="shared" si="4"/>
        <v>0</v>
      </c>
      <c r="P414" s="644"/>
      <c r="Q414" s="644"/>
      <c r="R414" s="644"/>
      <c r="S414" s="747"/>
      <c r="T414" s="644">
        <f t="shared" si="5"/>
        <v>1500000000</v>
      </c>
      <c r="U414" s="653"/>
      <c r="V414" s="653"/>
      <c r="W414" s="653"/>
      <c r="Z414" s="652">
        <v>41480</v>
      </c>
      <c r="AA414" s="657">
        <v>0</v>
      </c>
      <c r="AB414" s="657">
        <v>0</v>
      </c>
      <c r="AC414" s="657">
        <v>12465753</v>
      </c>
      <c r="AD414" s="677"/>
    </row>
    <row r="415" spans="1:30" s="608" customFormat="1" ht="14.25" customHeight="1">
      <c r="A415" s="491" t="s">
        <v>1163</v>
      </c>
      <c r="B415" s="551"/>
      <c r="C415" s="551"/>
      <c r="D415" s="551"/>
      <c r="E415" s="656" t="s">
        <v>1530</v>
      </c>
      <c r="F415" s="656" t="s">
        <v>1175</v>
      </c>
      <c r="G415" s="642">
        <v>41422</v>
      </c>
      <c r="H415" s="610">
        <v>100000</v>
      </c>
      <c r="I415" s="610">
        <v>6000</v>
      </c>
      <c r="J415" s="610">
        <v>600000000</v>
      </c>
      <c r="K415" s="612" t="s">
        <v>1145</v>
      </c>
      <c r="L415" s="642"/>
      <c r="M415" s="610"/>
      <c r="N415" s="610"/>
      <c r="O415" s="610">
        <f t="shared" si="4"/>
        <v>0</v>
      </c>
      <c r="P415" s="610"/>
      <c r="Q415" s="610"/>
      <c r="R415" s="610"/>
      <c r="S415" s="612"/>
      <c r="T415" s="610">
        <f t="shared" si="5"/>
        <v>600000000</v>
      </c>
      <c r="U415" s="656"/>
      <c r="V415" s="656"/>
      <c r="W415" s="656"/>
      <c r="Z415" s="651">
        <v>41572</v>
      </c>
      <c r="AA415" s="614"/>
      <c r="AB415" s="614"/>
      <c r="AC415" s="614">
        <v>12602740</v>
      </c>
      <c r="AD415" s="677"/>
    </row>
    <row r="416" spans="1:30" s="608" customFormat="1" ht="14.25" customHeight="1">
      <c r="A416" s="491" t="s">
        <v>1163</v>
      </c>
      <c r="B416" s="551"/>
      <c r="C416" s="551"/>
      <c r="D416" s="551"/>
      <c r="E416" s="655" t="s">
        <v>1530</v>
      </c>
      <c r="F416" s="655" t="s">
        <v>1175</v>
      </c>
      <c r="G416" s="651">
        <v>41422</v>
      </c>
      <c r="H416" s="614">
        <v>105263</v>
      </c>
      <c r="I416" s="614">
        <v>9500</v>
      </c>
      <c r="J416" s="614">
        <v>999998500</v>
      </c>
      <c r="K416" s="613" t="s">
        <v>1176</v>
      </c>
      <c r="L416" s="651"/>
      <c r="M416" s="614"/>
      <c r="N416" s="614"/>
      <c r="O416" s="610">
        <f t="shared" si="4"/>
        <v>0</v>
      </c>
      <c r="P416" s="614"/>
      <c r="Q416" s="614"/>
      <c r="R416" s="614"/>
      <c r="S416" s="613"/>
      <c r="T416" s="614">
        <f t="shared" si="5"/>
        <v>999998500</v>
      </c>
      <c r="U416" s="655"/>
      <c r="V416" s="655"/>
      <c r="W416" s="655"/>
      <c r="Z416" s="681">
        <v>41634</v>
      </c>
      <c r="AC416" s="611">
        <f>+-AC397</f>
        <v>5000000000</v>
      </c>
      <c r="AD416" s="665">
        <f>+XIRR(AC397:AC416,Z397:Z416)</f>
        <v>1.9622358679771423E-2</v>
      </c>
    </row>
    <row r="417" spans="1:30" s="608" customFormat="1" ht="14.25" customHeight="1">
      <c r="A417" s="491" t="s">
        <v>1163</v>
      </c>
      <c r="B417" s="551"/>
      <c r="C417" s="551"/>
      <c r="D417" s="551"/>
      <c r="E417" s="609" t="s">
        <v>1530</v>
      </c>
      <c r="F417" s="609" t="s">
        <v>1177</v>
      </c>
      <c r="G417" s="640">
        <v>41446</v>
      </c>
      <c r="H417" s="641">
        <v>24000</v>
      </c>
      <c r="I417" s="641">
        <v>100000</v>
      </c>
      <c r="J417" s="641">
        <v>2400000000</v>
      </c>
      <c r="K417" s="464" t="s">
        <v>1145</v>
      </c>
      <c r="L417" s="640"/>
      <c r="M417" s="641"/>
      <c r="N417" s="641"/>
      <c r="O417" s="610">
        <f t="shared" si="4"/>
        <v>0</v>
      </c>
      <c r="P417" s="641"/>
      <c r="Q417" s="641"/>
      <c r="R417" s="641"/>
      <c r="S417" s="464"/>
      <c r="T417" s="644">
        <f t="shared" si="5"/>
        <v>2400000000</v>
      </c>
      <c r="U417" s="609"/>
      <c r="V417" s="609"/>
      <c r="W417" s="609"/>
      <c r="Y417" s="656" t="s">
        <v>1097</v>
      </c>
      <c r="Z417" s="642">
        <v>41270</v>
      </c>
      <c r="AA417" s="610">
        <v>9918</v>
      </c>
      <c r="AB417" s="610">
        <v>35000</v>
      </c>
      <c r="AC417" s="610">
        <v>-347130000</v>
      </c>
      <c r="AD417" s="677"/>
    </row>
    <row r="418" spans="1:30" s="608" customFormat="1" ht="14.25" customHeight="1">
      <c r="A418" s="491" t="s">
        <v>1163</v>
      </c>
      <c r="B418" s="551"/>
      <c r="C418" s="551"/>
      <c r="D418" s="551"/>
      <c r="E418" s="656" t="s">
        <v>1498</v>
      </c>
      <c r="F418" s="656" t="s">
        <v>1178</v>
      </c>
      <c r="G418" s="642">
        <v>41452</v>
      </c>
      <c r="H418" s="610">
        <v>0</v>
      </c>
      <c r="I418" s="610">
        <v>0</v>
      </c>
      <c r="J418" s="610">
        <v>1000000000</v>
      </c>
      <c r="K418" s="612" t="s">
        <v>1179</v>
      </c>
      <c r="L418" s="642">
        <v>41544</v>
      </c>
      <c r="M418" s="610"/>
      <c r="N418" s="610"/>
      <c r="O418" s="610">
        <f t="shared" si="4"/>
        <v>2520548</v>
      </c>
      <c r="P418" s="610">
        <v>2520548</v>
      </c>
      <c r="Q418" s="610">
        <v>0</v>
      </c>
      <c r="R418" s="610">
        <v>2520548</v>
      </c>
      <c r="S418" s="612" t="s">
        <v>346</v>
      </c>
      <c r="T418" s="610">
        <f t="shared" si="5"/>
        <v>1000000000</v>
      </c>
      <c r="U418" s="609"/>
      <c r="V418" s="609"/>
      <c r="W418" s="609"/>
      <c r="Z418" s="681">
        <v>41603</v>
      </c>
      <c r="AA418" s="528">
        <v>0</v>
      </c>
      <c r="AB418" s="608">
        <v>5700</v>
      </c>
      <c r="AC418" s="611">
        <f>+-AC417</f>
        <v>347130000</v>
      </c>
      <c r="AD418" s="665">
        <f>+XIRR(AC417:AC418,Z417:Z418)</f>
        <v>2.9802322387695314E-9</v>
      </c>
    </row>
    <row r="419" spans="1:30" s="773" customFormat="1" ht="14.25" customHeight="1">
      <c r="A419" s="777" t="s">
        <v>1163</v>
      </c>
      <c r="B419" s="551"/>
      <c r="C419" s="551"/>
      <c r="D419" s="551"/>
      <c r="E419" s="789" t="s">
        <v>1498</v>
      </c>
      <c r="F419" s="789" t="s">
        <v>1178</v>
      </c>
      <c r="G419" s="783"/>
      <c r="H419" s="784"/>
      <c r="I419" s="784"/>
      <c r="J419" s="784"/>
      <c r="K419" s="803"/>
      <c r="L419" s="783">
        <v>41635</v>
      </c>
      <c r="M419" s="784"/>
      <c r="N419" s="784"/>
      <c r="O419" s="610">
        <f t="shared" si="4"/>
        <v>2493151</v>
      </c>
      <c r="P419" s="614"/>
      <c r="Q419" s="784">
        <v>0</v>
      </c>
      <c r="R419" s="784">
        <v>2493151</v>
      </c>
      <c r="S419" s="803" t="s">
        <v>346</v>
      </c>
      <c r="T419" s="784"/>
      <c r="U419" s="832"/>
      <c r="V419" s="832"/>
      <c r="W419" s="832"/>
      <c r="Z419" s="775"/>
      <c r="AA419" s="776"/>
      <c r="AC419" s="812"/>
      <c r="AD419" s="774"/>
    </row>
    <row r="420" spans="1:30" s="773" customFormat="1" ht="14.25" customHeight="1">
      <c r="A420" s="777" t="s">
        <v>1163</v>
      </c>
      <c r="B420" s="551"/>
      <c r="C420" s="551"/>
      <c r="D420" s="551"/>
      <c r="E420" s="789" t="s">
        <v>1498</v>
      </c>
      <c r="F420" s="789" t="s">
        <v>1178</v>
      </c>
      <c r="G420" s="814"/>
      <c r="H420" s="815"/>
      <c r="I420" s="815"/>
      <c r="J420" s="815"/>
      <c r="K420" s="816"/>
      <c r="L420" s="783">
        <v>41725</v>
      </c>
      <c r="M420" s="784"/>
      <c r="N420" s="784"/>
      <c r="O420" s="610">
        <f t="shared" ref="O420:O428" si="6">Q420+R420</f>
        <v>2465753</v>
      </c>
      <c r="P420" s="644"/>
      <c r="Q420" s="784"/>
      <c r="R420" s="784">
        <v>2465753</v>
      </c>
      <c r="S420" s="803" t="s">
        <v>1519</v>
      </c>
      <c r="T420" s="784"/>
      <c r="U420" s="777"/>
      <c r="V420" s="777"/>
      <c r="W420" s="777"/>
      <c r="Z420" s="775"/>
      <c r="AA420" s="776"/>
      <c r="AC420" s="812"/>
      <c r="AD420" s="774"/>
    </row>
    <row r="421" spans="1:30" s="773" customFormat="1" ht="14.25" customHeight="1">
      <c r="A421" s="777" t="s">
        <v>1163</v>
      </c>
      <c r="B421" s="551"/>
      <c r="C421" s="551"/>
      <c r="D421" s="551"/>
      <c r="E421" s="778" t="s">
        <v>1498</v>
      </c>
      <c r="F421" s="778" t="s">
        <v>1178</v>
      </c>
      <c r="G421" s="779"/>
      <c r="H421" s="780"/>
      <c r="I421" s="780"/>
      <c r="J421" s="780"/>
      <c r="K421" s="781"/>
      <c r="L421" s="779">
        <v>41817</v>
      </c>
      <c r="M421" s="780"/>
      <c r="N421" s="780"/>
      <c r="O421" s="610">
        <f t="shared" si="6"/>
        <v>2520548</v>
      </c>
      <c r="P421" s="644"/>
      <c r="Q421" s="780">
        <v>0</v>
      </c>
      <c r="R421" s="780">
        <v>2520548</v>
      </c>
      <c r="S421" s="781" t="s">
        <v>1519</v>
      </c>
      <c r="T421" s="780"/>
      <c r="U421" s="778"/>
      <c r="V421" s="778"/>
      <c r="W421" s="778"/>
      <c r="Z421" s="775"/>
      <c r="AA421" s="776"/>
      <c r="AC421" s="812"/>
      <c r="AD421" s="774"/>
    </row>
    <row r="422" spans="1:30" s="773" customFormat="1" ht="14.25" customHeight="1">
      <c r="A422" s="777" t="s">
        <v>1163</v>
      </c>
      <c r="B422" s="551"/>
      <c r="C422" s="551"/>
      <c r="D422" s="551"/>
      <c r="E422" s="778" t="s">
        <v>1498</v>
      </c>
      <c r="F422" s="778" t="s">
        <v>1178</v>
      </c>
      <c r="G422" s="779"/>
      <c r="H422" s="780"/>
      <c r="I422" s="780"/>
      <c r="J422" s="780"/>
      <c r="K422" s="781"/>
      <c r="L422" s="779">
        <v>41908</v>
      </c>
      <c r="M422" s="780"/>
      <c r="N422" s="780"/>
      <c r="O422" s="610">
        <f t="shared" si="6"/>
        <v>2520548</v>
      </c>
      <c r="P422" s="644"/>
      <c r="Q422" s="780">
        <v>0</v>
      </c>
      <c r="R422" s="780">
        <v>2520548</v>
      </c>
      <c r="S422" s="781" t="s">
        <v>1519</v>
      </c>
      <c r="T422" s="780"/>
      <c r="U422" s="778"/>
      <c r="V422" s="778"/>
      <c r="W422" s="778"/>
      <c r="Z422" s="775"/>
      <c r="AA422" s="776"/>
      <c r="AC422" s="812"/>
      <c r="AD422" s="774"/>
    </row>
    <row r="423" spans="1:30" s="773" customFormat="1" ht="14.25" customHeight="1">
      <c r="A423" s="777" t="s">
        <v>1163</v>
      </c>
      <c r="B423" s="551"/>
      <c r="C423" s="551"/>
      <c r="D423" s="551"/>
      <c r="E423" s="778" t="s">
        <v>1498</v>
      </c>
      <c r="F423" s="778" t="s">
        <v>1178</v>
      </c>
      <c r="G423" s="779"/>
      <c r="H423" s="780"/>
      <c r="I423" s="780"/>
      <c r="J423" s="780"/>
      <c r="K423" s="781"/>
      <c r="L423" s="779">
        <v>42002</v>
      </c>
      <c r="M423" s="780"/>
      <c r="N423" s="780"/>
      <c r="O423" s="610">
        <v>2493151</v>
      </c>
      <c r="P423" s="644"/>
      <c r="Q423" s="780">
        <v>0</v>
      </c>
      <c r="R423" s="780">
        <v>2520548</v>
      </c>
      <c r="S423" s="781" t="s">
        <v>1519</v>
      </c>
      <c r="T423" s="780"/>
      <c r="U423" s="778"/>
      <c r="V423" s="778"/>
      <c r="W423" s="778"/>
      <c r="Z423" s="775"/>
      <c r="AA423" s="776"/>
      <c r="AC423" s="812"/>
      <c r="AD423" s="774"/>
    </row>
    <row r="424" spans="1:30" s="773" customFormat="1" ht="14.25" customHeight="1">
      <c r="A424" s="777" t="s">
        <v>1163</v>
      </c>
      <c r="B424" s="551"/>
      <c r="C424" s="551"/>
      <c r="D424" s="551"/>
      <c r="E424" s="785" t="s">
        <v>1498</v>
      </c>
      <c r="F424" s="785" t="s">
        <v>1161</v>
      </c>
      <c r="G424" s="786">
        <v>41458</v>
      </c>
      <c r="H424" s="787">
        <v>0</v>
      </c>
      <c r="I424" s="787">
        <v>0</v>
      </c>
      <c r="J424" s="787">
        <v>5000000000</v>
      </c>
      <c r="K424" s="788" t="s">
        <v>1180</v>
      </c>
      <c r="L424" s="786">
        <v>41628</v>
      </c>
      <c r="M424" s="787"/>
      <c r="N424" s="787"/>
      <c r="O424" s="610">
        <f t="shared" si="6"/>
        <v>45000000</v>
      </c>
      <c r="P424" s="641"/>
      <c r="Q424" s="787">
        <v>0</v>
      </c>
      <c r="R424" s="787">
        <v>45000000</v>
      </c>
      <c r="S424" s="788" t="s">
        <v>1500</v>
      </c>
      <c r="T424" s="771">
        <f>+J424-Q424</f>
        <v>5000000000</v>
      </c>
      <c r="U424" s="785"/>
      <c r="V424" s="785"/>
      <c r="W424" s="785"/>
      <c r="AD424" s="774"/>
    </row>
    <row r="425" spans="1:30" s="608" customFormat="1" ht="14.25" customHeight="1">
      <c r="A425" s="491" t="s">
        <v>1163</v>
      </c>
      <c r="B425" s="551"/>
      <c r="C425" s="551"/>
      <c r="E425" s="656" t="s">
        <v>1494</v>
      </c>
      <c r="F425" s="757" t="s">
        <v>1531</v>
      </c>
      <c r="G425" s="628">
        <v>41694</v>
      </c>
      <c r="H425" s="610">
        <v>11470</v>
      </c>
      <c r="I425" s="610">
        <f>J425/H425</f>
        <v>167000</v>
      </c>
      <c r="J425" s="610">
        <v>1915490000</v>
      </c>
      <c r="K425" s="612" t="s">
        <v>1532</v>
      </c>
      <c r="L425" s="642"/>
      <c r="M425" s="610"/>
      <c r="N425" s="610"/>
      <c r="O425" s="610">
        <f t="shared" si="6"/>
        <v>0</v>
      </c>
      <c r="P425" s="833"/>
      <c r="Q425" s="610"/>
      <c r="R425" s="610"/>
      <c r="S425" s="612"/>
      <c r="T425" s="610">
        <f>SUM(J425:J426)</f>
        <v>5615490000</v>
      </c>
      <c r="U425" s="834"/>
      <c r="V425" s="656"/>
      <c r="W425" s="656"/>
      <c r="AD425" s="677"/>
    </row>
    <row r="426" spans="1:30" s="608" customFormat="1" ht="14.25" customHeight="1">
      <c r="A426" s="491" t="s">
        <v>1163</v>
      </c>
      <c r="B426" s="551"/>
      <c r="C426" s="551"/>
      <c r="E426" s="655" t="s">
        <v>1494</v>
      </c>
      <c r="F426" s="807" t="s">
        <v>1531</v>
      </c>
      <c r="G426" s="632">
        <v>41694</v>
      </c>
      <c r="H426" s="614">
        <v>20000</v>
      </c>
      <c r="I426" s="614">
        <f>J426/H426</f>
        <v>185000</v>
      </c>
      <c r="J426" s="614">
        <v>3700000000</v>
      </c>
      <c r="K426" s="613" t="s">
        <v>1533</v>
      </c>
      <c r="L426" s="651"/>
      <c r="M426" s="614"/>
      <c r="N426" s="614"/>
      <c r="O426" s="610">
        <f t="shared" si="6"/>
        <v>0</v>
      </c>
      <c r="P426" s="833"/>
      <c r="Q426" s="614"/>
      <c r="R426" s="614"/>
      <c r="S426" s="613"/>
      <c r="T426" s="614"/>
      <c r="U426" s="698"/>
      <c r="V426" s="655"/>
      <c r="W426" s="655"/>
      <c r="AD426" s="677"/>
    </row>
    <row r="427" spans="1:30" s="608" customFormat="1" ht="14.25" customHeight="1">
      <c r="A427" s="491" t="s">
        <v>1163</v>
      </c>
      <c r="B427" s="551"/>
      <c r="C427" s="551"/>
      <c r="E427" s="609" t="s">
        <v>1494</v>
      </c>
      <c r="F427" s="835" t="s">
        <v>1534</v>
      </c>
      <c r="G427" s="395">
        <v>41712</v>
      </c>
      <c r="H427" s="641">
        <v>17020</v>
      </c>
      <c r="I427" s="641">
        <f>J427/H427</f>
        <v>149522</v>
      </c>
      <c r="J427" s="641">
        <v>2544864440</v>
      </c>
      <c r="K427" s="464" t="s">
        <v>1533</v>
      </c>
      <c r="L427" s="640"/>
      <c r="M427" s="641"/>
      <c r="N427" s="641"/>
      <c r="O427" s="610">
        <f t="shared" si="6"/>
        <v>0</v>
      </c>
      <c r="P427" s="833"/>
      <c r="Q427" s="641"/>
      <c r="R427" s="641"/>
      <c r="S427" s="464"/>
      <c r="T427" s="644">
        <f>J427</f>
        <v>2544864440</v>
      </c>
      <c r="U427" s="836"/>
      <c r="V427" s="609"/>
      <c r="W427" s="609"/>
      <c r="AD427" s="677"/>
    </row>
    <row r="428" spans="1:30" s="608" customFormat="1" ht="14.25" customHeight="1">
      <c r="A428" s="491" t="s">
        <v>1163</v>
      </c>
      <c r="B428" s="551"/>
      <c r="C428" s="551"/>
      <c r="E428" s="656" t="s">
        <v>1498</v>
      </c>
      <c r="F428" s="835" t="s">
        <v>1535</v>
      </c>
      <c r="G428" s="395">
        <v>41768</v>
      </c>
      <c r="H428" s="641">
        <v>0</v>
      </c>
      <c r="I428" s="641">
        <v>0</v>
      </c>
      <c r="J428" s="641">
        <v>2683428148</v>
      </c>
      <c r="K428" s="464" t="s">
        <v>1536</v>
      </c>
      <c r="L428" s="640"/>
      <c r="M428" s="641"/>
      <c r="N428" s="641"/>
      <c r="O428" s="641">
        <f t="shared" si="6"/>
        <v>0</v>
      </c>
      <c r="P428" s="833"/>
      <c r="Q428" s="641"/>
      <c r="R428" s="641"/>
      <c r="S428" s="464"/>
      <c r="T428" s="644">
        <f>J428</f>
        <v>2683428148</v>
      </c>
      <c r="U428" s="836"/>
      <c r="V428" s="609"/>
      <c r="W428" s="609"/>
      <c r="AD428" s="677"/>
    </row>
    <row r="429" spans="1:30" ht="14.25" customHeight="1">
      <c r="A429" s="653" t="s">
        <v>1163</v>
      </c>
      <c r="B429" s="511"/>
      <c r="C429" s="511"/>
      <c r="D429" s="511" t="s">
        <v>1162</v>
      </c>
      <c r="E429" s="466" t="s">
        <v>1101</v>
      </c>
      <c r="F429" s="467"/>
      <c r="G429" s="543"/>
      <c r="H429" s="548"/>
      <c r="I429" s="548"/>
      <c r="J429" s="548">
        <f>SUM(J356:J428)</f>
        <v>47069583569</v>
      </c>
      <c r="K429" s="549"/>
      <c r="L429" s="544"/>
      <c r="M429" s="548"/>
      <c r="N429" s="548"/>
      <c r="O429" s="548">
        <f>SUM(O356:O428)</f>
        <v>10902939529</v>
      </c>
      <c r="P429" s="498">
        <f>SUM(P356:P428)</f>
        <v>5451155823</v>
      </c>
      <c r="Q429" s="548">
        <f>SUM(Q356:Q428)</f>
        <v>7417390835</v>
      </c>
      <c r="R429" s="548">
        <f>SUM(R356:R428)</f>
        <v>3485576091</v>
      </c>
      <c r="S429" s="548">
        <f>SUM(S356:S427)</f>
        <v>0</v>
      </c>
      <c r="T429" s="548">
        <f>SUM(T356:T428)</f>
        <v>39652192734</v>
      </c>
      <c r="U429" s="487">
        <f>O429-Q429-R429</f>
        <v>-27397</v>
      </c>
      <c r="V429" s="467"/>
      <c r="W429" s="467"/>
    </row>
    <row r="430" spans="1:30" s="608" customFormat="1" ht="14.25" customHeight="1">
      <c r="A430" s="817" t="s">
        <v>1233</v>
      </c>
      <c r="B430" s="818"/>
      <c r="C430" s="818"/>
      <c r="D430" s="818"/>
      <c r="E430" s="818" t="s">
        <v>1498</v>
      </c>
      <c r="F430" s="818" t="s">
        <v>1234</v>
      </c>
      <c r="G430" s="837">
        <v>41584</v>
      </c>
      <c r="H430" s="838">
        <v>0</v>
      </c>
      <c r="I430" s="838">
        <v>0</v>
      </c>
      <c r="J430" s="838">
        <v>2500000000</v>
      </c>
      <c r="K430" s="839" t="s">
        <v>1235</v>
      </c>
      <c r="L430" s="837"/>
      <c r="M430" s="838"/>
      <c r="N430" s="838"/>
      <c r="O430" s="838"/>
      <c r="P430" s="838"/>
      <c r="Q430" s="838"/>
      <c r="R430" s="838"/>
      <c r="S430" s="839"/>
      <c r="T430" s="840">
        <f>+J430-Q430</f>
        <v>2500000000</v>
      </c>
      <c r="U430" s="656"/>
      <c r="V430" s="656"/>
      <c r="W430" s="656"/>
      <c r="Y430" s="642">
        <v>41584</v>
      </c>
      <c r="Z430" s="610"/>
      <c r="AA430" s="610"/>
      <c r="AB430" s="610">
        <v>-2500000000</v>
      </c>
      <c r="AD430" s="677"/>
    </row>
    <row r="431" spans="1:30" s="608" customFormat="1" ht="14.25" customHeight="1">
      <c r="A431" s="820" t="s">
        <v>1537</v>
      </c>
      <c r="B431" s="821"/>
      <c r="C431" s="821"/>
      <c r="D431" s="821"/>
      <c r="E431" s="821" t="s">
        <v>1498</v>
      </c>
      <c r="F431" s="821" t="s">
        <v>1538</v>
      </c>
      <c r="G431" s="841">
        <v>41631</v>
      </c>
      <c r="H431" s="842">
        <v>0</v>
      </c>
      <c r="I431" s="842">
        <v>0</v>
      </c>
      <c r="J431" s="842">
        <v>1500000000</v>
      </c>
      <c r="K431" s="843" t="s">
        <v>1539</v>
      </c>
      <c r="L431" s="841">
        <v>41953</v>
      </c>
      <c r="M431" s="842"/>
      <c r="N431" s="842"/>
      <c r="O431" s="842">
        <v>22500000</v>
      </c>
      <c r="P431" s="842"/>
      <c r="Q431" s="842">
        <v>0</v>
      </c>
      <c r="R431" s="842">
        <f>O431</f>
        <v>22500000</v>
      </c>
      <c r="S431" s="843" t="s">
        <v>1500</v>
      </c>
      <c r="T431" s="844">
        <f>J431</f>
        <v>1500000000</v>
      </c>
      <c r="U431" s="502"/>
      <c r="V431" s="502"/>
      <c r="W431" s="502"/>
      <c r="Y431" s="624">
        <v>41603</v>
      </c>
      <c r="Z431" s="455"/>
      <c r="AA431" s="455"/>
      <c r="AB431" s="625">
        <f>+-AB430</f>
        <v>2500000000</v>
      </c>
      <c r="AC431" s="665">
        <f>+XIRR(AB430:AB431,Y430:Y431)</f>
        <v>2.9802322387695314E-9</v>
      </c>
      <c r="AD431" s="677"/>
    </row>
    <row r="432" spans="1:30" s="608" customFormat="1" ht="14.25" customHeight="1">
      <c r="A432" s="820" t="s">
        <v>1537</v>
      </c>
      <c r="B432" s="821"/>
      <c r="C432" s="821"/>
      <c r="D432" s="821"/>
      <c r="E432" s="821" t="s">
        <v>1494</v>
      </c>
      <c r="F432" s="821" t="s">
        <v>1538</v>
      </c>
      <c r="G432" s="841">
        <v>41631</v>
      </c>
      <c r="H432" s="842">
        <v>400000</v>
      </c>
      <c r="I432" s="842">
        <f>+J432/H432</f>
        <v>3750</v>
      </c>
      <c r="J432" s="842">
        <v>1500000000</v>
      </c>
      <c r="K432" s="843" t="s">
        <v>1540</v>
      </c>
      <c r="L432" s="841"/>
      <c r="M432" s="842"/>
      <c r="N432" s="842"/>
      <c r="O432" s="842"/>
      <c r="P432" s="842"/>
      <c r="Q432" s="842"/>
      <c r="R432" s="842"/>
      <c r="S432" s="843"/>
      <c r="T432" s="844">
        <f>+J432-Q432</f>
        <v>1500000000</v>
      </c>
      <c r="U432" s="502"/>
      <c r="V432" s="502"/>
      <c r="W432" s="502"/>
      <c r="Y432" s="681"/>
      <c r="Z432" s="611"/>
      <c r="AA432" s="611"/>
      <c r="AB432" s="611"/>
      <c r="AD432" s="677"/>
    </row>
    <row r="433" spans="1:30" s="608" customFormat="1" ht="14.25" customHeight="1">
      <c r="A433" s="820" t="s">
        <v>1537</v>
      </c>
      <c r="B433" s="821"/>
      <c r="C433" s="821"/>
      <c r="D433" s="822"/>
      <c r="E433" s="654" t="s">
        <v>1494</v>
      </c>
      <c r="F433" s="506" t="s">
        <v>1541</v>
      </c>
      <c r="G433" s="630">
        <v>41648</v>
      </c>
      <c r="H433" s="657">
        <v>400000</v>
      </c>
      <c r="I433" s="657">
        <f>+J433/H433</f>
        <v>5000</v>
      </c>
      <c r="J433" s="657">
        <v>2000000000</v>
      </c>
      <c r="K433" s="650" t="s">
        <v>1542</v>
      </c>
      <c r="L433" s="652"/>
      <c r="M433" s="657"/>
      <c r="N433" s="657"/>
      <c r="O433" s="657"/>
      <c r="P433" s="823"/>
      <c r="Q433" s="657"/>
      <c r="R433" s="657"/>
      <c r="S433" s="650"/>
      <c r="T433" s="504">
        <f t="shared" ref="T433:T441" si="7">J433</f>
        <v>2000000000</v>
      </c>
      <c r="U433" s="601"/>
      <c r="V433" s="502"/>
      <c r="W433" s="502"/>
      <c r="Y433" s="681"/>
      <c r="Z433" s="611"/>
      <c r="AA433" s="611"/>
      <c r="AB433" s="611"/>
      <c r="AD433" s="677"/>
    </row>
    <row r="434" spans="1:30" s="608" customFormat="1" ht="14.25" customHeight="1">
      <c r="A434" s="820" t="s">
        <v>1537</v>
      </c>
      <c r="B434" s="821"/>
      <c r="C434" s="821"/>
      <c r="D434" s="822"/>
      <c r="E434" s="654" t="s">
        <v>1498</v>
      </c>
      <c r="F434" s="506" t="s">
        <v>1543</v>
      </c>
      <c r="G434" s="630">
        <v>41752</v>
      </c>
      <c r="H434" s="657">
        <v>0</v>
      </c>
      <c r="I434" s="657">
        <v>0</v>
      </c>
      <c r="J434" s="657">
        <v>2000000000</v>
      </c>
      <c r="K434" s="650" t="s">
        <v>1544</v>
      </c>
      <c r="L434" s="652"/>
      <c r="M434" s="657"/>
      <c r="N434" s="657"/>
      <c r="O434" s="657"/>
      <c r="P434" s="823"/>
      <c r="Q434" s="657"/>
      <c r="R434" s="657"/>
      <c r="S434" s="650"/>
      <c r="T434" s="504">
        <f t="shared" si="7"/>
        <v>2000000000</v>
      </c>
      <c r="U434" s="601"/>
      <c r="V434" s="502"/>
      <c r="W434" s="502"/>
      <c r="Y434" s="681"/>
      <c r="Z434" s="611"/>
      <c r="AA434" s="611"/>
      <c r="AB434" s="611"/>
      <c r="AD434" s="677"/>
    </row>
    <row r="435" spans="1:30" s="608" customFormat="1" ht="14.25" customHeight="1">
      <c r="A435" s="820" t="s">
        <v>1537</v>
      </c>
      <c r="B435" s="821"/>
      <c r="C435" s="821"/>
      <c r="D435" s="822"/>
      <c r="E435" s="654" t="s">
        <v>1494</v>
      </c>
      <c r="F435" s="506" t="s">
        <v>1545</v>
      </c>
      <c r="G435" s="630">
        <v>41757</v>
      </c>
      <c r="H435" s="657">
        <v>1158</v>
      </c>
      <c r="I435" s="657">
        <v>863300</v>
      </c>
      <c r="J435" s="657">
        <v>999701400</v>
      </c>
      <c r="K435" s="650" t="s">
        <v>1540</v>
      </c>
      <c r="L435" s="652"/>
      <c r="M435" s="657"/>
      <c r="N435" s="657"/>
      <c r="O435" s="657"/>
      <c r="P435" s="823"/>
      <c r="Q435" s="657"/>
      <c r="R435" s="657"/>
      <c r="S435" s="650"/>
      <c r="T435" s="504">
        <f t="shared" si="7"/>
        <v>999701400</v>
      </c>
      <c r="U435" s="601"/>
      <c r="V435" s="502"/>
      <c r="W435" s="502"/>
      <c r="Y435" s="681"/>
      <c r="Z435" s="611"/>
      <c r="AA435" s="611"/>
      <c r="AB435" s="611"/>
      <c r="AD435" s="677"/>
    </row>
    <row r="436" spans="1:30" s="608" customFormat="1" ht="14.25" customHeight="1">
      <c r="A436" s="820" t="s">
        <v>1537</v>
      </c>
      <c r="B436" s="821" t="s">
        <v>1498</v>
      </c>
      <c r="C436" s="845"/>
      <c r="D436" s="846"/>
      <c r="E436" s="476" t="s">
        <v>1498</v>
      </c>
      <c r="F436" s="722" t="s">
        <v>1546</v>
      </c>
      <c r="G436" s="673">
        <v>41820</v>
      </c>
      <c r="H436" s="647">
        <v>0</v>
      </c>
      <c r="I436" s="647">
        <v>0</v>
      </c>
      <c r="J436" s="647">
        <v>3500000000</v>
      </c>
      <c r="K436" s="746" t="s">
        <v>1547</v>
      </c>
      <c r="L436" s="646"/>
      <c r="M436" s="647"/>
      <c r="N436" s="647"/>
      <c r="O436" s="647"/>
      <c r="P436" s="847"/>
      <c r="Q436" s="647"/>
      <c r="R436" s="647"/>
      <c r="S436" s="746"/>
      <c r="T436" s="756">
        <f t="shared" si="7"/>
        <v>3500000000</v>
      </c>
      <c r="U436" s="601"/>
      <c r="V436" s="502"/>
      <c r="W436" s="502"/>
      <c r="Y436" s="681"/>
      <c r="Z436" s="611"/>
      <c r="AA436" s="611"/>
      <c r="AB436" s="611"/>
      <c r="AD436" s="677"/>
    </row>
    <row r="437" spans="1:30" s="608" customFormat="1" ht="14.25" customHeight="1">
      <c r="A437" s="820" t="s">
        <v>1537</v>
      </c>
      <c r="B437" s="845"/>
      <c r="C437" s="845"/>
      <c r="D437" s="846"/>
      <c r="E437" s="476" t="s">
        <v>1494</v>
      </c>
      <c r="F437" s="722" t="s">
        <v>1548</v>
      </c>
      <c r="G437" s="673">
        <v>41863</v>
      </c>
      <c r="H437" s="647">
        <v>16930</v>
      </c>
      <c r="I437" s="647">
        <v>92073</v>
      </c>
      <c r="J437" s="647">
        <v>1558797921</v>
      </c>
      <c r="K437" s="746" t="s">
        <v>1522</v>
      </c>
      <c r="L437" s="646"/>
      <c r="M437" s="647"/>
      <c r="N437" s="647"/>
      <c r="O437" s="647"/>
      <c r="P437" s="847"/>
      <c r="Q437" s="647"/>
      <c r="R437" s="647"/>
      <c r="S437" s="746"/>
      <c r="T437" s="756">
        <f t="shared" si="7"/>
        <v>1558797921</v>
      </c>
      <c r="U437" s="601"/>
      <c r="V437" s="502"/>
      <c r="W437" s="502"/>
      <c r="Y437" s="681"/>
      <c r="Z437" s="611"/>
      <c r="AA437" s="611"/>
      <c r="AB437" s="611"/>
      <c r="AD437" s="677"/>
    </row>
    <row r="438" spans="1:30" s="608" customFormat="1" ht="14.25" customHeight="1">
      <c r="A438" s="820" t="s">
        <v>1537</v>
      </c>
      <c r="B438" s="845"/>
      <c r="C438" s="845"/>
      <c r="D438" s="846"/>
      <c r="E438" s="476" t="s">
        <v>1498</v>
      </c>
      <c r="F438" s="722" t="s">
        <v>1549</v>
      </c>
      <c r="G438" s="673">
        <v>41886</v>
      </c>
      <c r="H438" s="647" t="s">
        <v>1506</v>
      </c>
      <c r="I438" s="647" t="s">
        <v>1506</v>
      </c>
      <c r="J438" s="647">
        <v>1000000000</v>
      </c>
      <c r="K438" s="612" t="s">
        <v>1550</v>
      </c>
      <c r="L438" s="646"/>
      <c r="M438" s="647"/>
      <c r="N438" s="647"/>
      <c r="O438" s="669">
        <f>Q438+R438</f>
        <v>1178492</v>
      </c>
      <c r="P438" s="611"/>
      <c r="Q438" s="669">
        <v>27968</v>
      </c>
      <c r="R438" s="647">
        <v>1150524</v>
      </c>
      <c r="S438" s="613" t="s">
        <v>1551</v>
      </c>
      <c r="T438" s="756">
        <f>SUM(J438:J439)</f>
        <v>800000000</v>
      </c>
      <c r="U438" s="601"/>
      <c r="V438" s="502"/>
      <c r="W438" s="502"/>
      <c r="Y438" s="681"/>
      <c r="Z438" s="611"/>
      <c r="AA438" s="611"/>
      <c r="AB438" s="611"/>
      <c r="AD438" s="677"/>
    </row>
    <row r="439" spans="1:30" s="608" customFormat="1" ht="14.25" customHeight="1">
      <c r="A439" s="820" t="s">
        <v>1537</v>
      </c>
      <c r="B439" s="848"/>
      <c r="C439" s="848"/>
      <c r="D439" s="849"/>
      <c r="E439" s="476" t="s">
        <v>1498</v>
      </c>
      <c r="F439" s="722" t="s">
        <v>1549</v>
      </c>
      <c r="G439" s="673">
        <v>41990</v>
      </c>
      <c r="H439" s="647" t="s">
        <v>1506</v>
      </c>
      <c r="I439" s="647" t="s">
        <v>1506</v>
      </c>
      <c r="J439" s="647">
        <v>-200000000</v>
      </c>
      <c r="K439" s="750" t="s">
        <v>1523</v>
      </c>
      <c r="L439" s="660"/>
      <c r="M439" s="669"/>
      <c r="N439" s="669"/>
      <c r="O439" s="669"/>
      <c r="P439" s="611"/>
      <c r="Q439" s="669"/>
      <c r="R439" s="669"/>
      <c r="S439" s="521"/>
      <c r="T439" s="504"/>
      <c r="U439" s="601"/>
      <c r="V439" s="502"/>
      <c r="W439" s="502"/>
      <c r="Y439" s="681"/>
      <c r="Z439" s="611"/>
      <c r="AA439" s="611"/>
      <c r="AB439" s="611"/>
      <c r="AD439" s="677"/>
    </row>
    <row r="440" spans="1:30" s="608" customFormat="1" ht="14.25" customHeight="1">
      <c r="A440" s="820" t="s">
        <v>1537</v>
      </c>
      <c r="B440" s="848"/>
      <c r="C440" s="848"/>
      <c r="D440" s="849"/>
      <c r="E440" s="476" t="s">
        <v>1498</v>
      </c>
      <c r="F440" s="722" t="s">
        <v>1549</v>
      </c>
      <c r="G440" s="673">
        <v>41990</v>
      </c>
      <c r="H440" s="647">
        <v>5424</v>
      </c>
      <c r="I440" s="647">
        <v>36868</v>
      </c>
      <c r="J440" s="647">
        <f>H440*I440</f>
        <v>199972032</v>
      </c>
      <c r="K440" s="750" t="s">
        <v>1523</v>
      </c>
      <c r="L440" s="660"/>
      <c r="M440" s="669"/>
      <c r="N440" s="669"/>
      <c r="O440" s="669"/>
      <c r="P440" s="611"/>
      <c r="Q440" s="669"/>
      <c r="R440" s="669"/>
      <c r="S440" s="521"/>
      <c r="T440" s="504">
        <f>J440</f>
        <v>199972032</v>
      </c>
      <c r="U440" s="601"/>
      <c r="V440" s="502"/>
      <c r="W440" s="502"/>
      <c r="Y440" s="681"/>
      <c r="Z440" s="611"/>
      <c r="AA440" s="611"/>
      <c r="AB440" s="611"/>
      <c r="AD440" s="677"/>
    </row>
    <row r="441" spans="1:30" s="608" customFormat="1" ht="14.25" customHeight="1">
      <c r="A441" s="820" t="s">
        <v>1537</v>
      </c>
      <c r="B441" s="845"/>
      <c r="C441" s="845"/>
      <c r="D441" s="846"/>
      <c r="E441" s="476" t="s">
        <v>1498</v>
      </c>
      <c r="F441" s="722" t="s">
        <v>1552</v>
      </c>
      <c r="G441" s="632">
        <v>41985</v>
      </c>
      <c r="H441" s="614" t="s">
        <v>1506</v>
      </c>
      <c r="I441" s="614" t="s">
        <v>1506</v>
      </c>
      <c r="J441" s="614">
        <v>1250000000</v>
      </c>
      <c r="K441" s="464" t="s">
        <v>1544</v>
      </c>
      <c r="L441" s="651"/>
      <c r="M441" s="614"/>
      <c r="N441" s="614"/>
      <c r="O441" s="614"/>
      <c r="P441" s="847"/>
      <c r="Q441" s="614"/>
      <c r="R441" s="614"/>
      <c r="S441" s="613"/>
      <c r="T441" s="497">
        <f t="shared" si="7"/>
        <v>1250000000</v>
      </c>
      <c r="U441" s="601"/>
      <c r="V441" s="502"/>
      <c r="W441" s="502"/>
      <c r="Y441" s="681"/>
      <c r="Z441" s="611"/>
      <c r="AA441" s="611"/>
      <c r="AB441" s="611"/>
      <c r="AD441" s="677"/>
    </row>
    <row r="442" spans="1:30" s="608" customFormat="1" ht="14.25" customHeight="1">
      <c r="A442" s="820" t="s">
        <v>1537</v>
      </c>
      <c r="B442" s="845"/>
      <c r="C442" s="845"/>
      <c r="D442" s="846"/>
      <c r="E442" s="722"/>
      <c r="F442" s="722" t="s">
        <v>1568</v>
      </c>
      <c r="G442" s="907">
        <v>42048</v>
      </c>
      <c r="H442" s="908">
        <v>2691</v>
      </c>
      <c r="I442" s="908">
        <f>J442/H442</f>
        <v>278670</v>
      </c>
      <c r="J442" s="908">
        <v>749900970</v>
      </c>
      <c r="K442" s="909" t="s">
        <v>1569</v>
      </c>
      <c r="L442" s="910"/>
      <c r="M442" s="908"/>
      <c r="N442" s="908"/>
      <c r="O442" s="908"/>
      <c r="P442" s="847"/>
      <c r="Q442" s="908"/>
      <c r="R442" s="908"/>
      <c r="S442" s="909"/>
      <c r="T442" s="911">
        <f>J442</f>
        <v>749900970</v>
      </c>
      <c r="U442" s="601"/>
      <c r="V442" s="502"/>
      <c r="W442" s="502"/>
      <c r="Y442" s="681"/>
      <c r="Z442" s="611"/>
      <c r="AA442" s="611"/>
      <c r="AB442" s="611"/>
      <c r="AD442" s="677"/>
    </row>
    <row r="443" spans="1:30" s="608" customFormat="1" ht="14.25" customHeight="1">
      <c r="A443" s="820" t="s">
        <v>1537</v>
      </c>
      <c r="B443" s="845"/>
      <c r="C443" s="845"/>
      <c r="D443" s="846"/>
      <c r="E443" s="722"/>
      <c r="F443" s="722" t="s">
        <v>1566</v>
      </c>
      <c r="G443" s="907">
        <v>42052</v>
      </c>
      <c r="H443" s="908">
        <v>20000</v>
      </c>
      <c r="I443" s="908">
        <f t="shared" ref="I443:I444" si="8">J443/H443</f>
        <v>100000</v>
      </c>
      <c r="J443" s="908">
        <v>2000000000</v>
      </c>
      <c r="K443" s="909" t="s">
        <v>1569</v>
      </c>
      <c r="L443" s="910"/>
      <c r="M443" s="908"/>
      <c r="N443" s="908"/>
      <c r="O443" s="908"/>
      <c r="P443" s="847"/>
      <c r="Q443" s="908"/>
      <c r="R443" s="908"/>
      <c r="S443" s="909"/>
      <c r="T443" s="911">
        <f t="shared" ref="T443:T444" si="9">J443</f>
        <v>2000000000</v>
      </c>
      <c r="U443" s="601"/>
      <c r="V443" s="502"/>
      <c r="W443" s="502"/>
      <c r="Y443" s="681"/>
      <c r="Z443" s="611"/>
      <c r="AA443" s="611"/>
      <c r="AB443" s="611"/>
      <c r="AD443" s="677"/>
    </row>
    <row r="444" spans="1:30" s="608" customFormat="1" ht="14.25" customHeight="1">
      <c r="A444" s="820" t="s">
        <v>1537</v>
      </c>
      <c r="B444" s="845"/>
      <c r="C444" s="845"/>
      <c r="D444" s="846"/>
      <c r="E444" s="722"/>
      <c r="F444" s="722" t="s">
        <v>1567</v>
      </c>
      <c r="G444" s="907">
        <v>42052</v>
      </c>
      <c r="H444" s="908">
        <v>2857</v>
      </c>
      <c r="I444" s="908">
        <f t="shared" si="8"/>
        <v>175000</v>
      </c>
      <c r="J444" s="908">
        <v>499975000</v>
      </c>
      <c r="K444" s="909" t="s">
        <v>1569</v>
      </c>
      <c r="L444" s="910"/>
      <c r="M444" s="908"/>
      <c r="N444" s="908"/>
      <c r="O444" s="908"/>
      <c r="P444" s="847"/>
      <c r="Q444" s="908"/>
      <c r="R444" s="908"/>
      <c r="S444" s="909"/>
      <c r="T444" s="911">
        <f t="shared" si="9"/>
        <v>499975000</v>
      </c>
      <c r="U444" s="601"/>
      <c r="V444" s="502"/>
      <c r="W444" s="502"/>
      <c r="Y444" s="681"/>
      <c r="Z444" s="611"/>
      <c r="AA444" s="611"/>
      <c r="AB444" s="611"/>
      <c r="AD444" s="677"/>
    </row>
    <row r="445" spans="1:30" ht="14.25" customHeight="1">
      <c r="A445" s="824" t="s">
        <v>1233</v>
      </c>
      <c r="B445" s="850"/>
      <c r="C445" s="850"/>
      <c r="D445" s="850"/>
      <c r="E445" s="851" t="s">
        <v>1101</v>
      </c>
      <c r="F445" s="851"/>
      <c r="G445" s="852"/>
      <c r="H445" s="853"/>
      <c r="I445" s="853"/>
      <c r="J445" s="853">
        <f>SUM(J430:J444)</f>
        <v>21058347323</v>
      </c>
      <c r="K445" s="854"/>
      <c r="L445" s="855"/>
      <c r="M445" s="853"/>
      <c r="N445" s="853"/>
      <c r="O445" s="853">
        <f>SUM(O430:O444)</f>
        <v>23678492</v>
      </c>
      <c r="P445" s="856">
        <f>SUM(P430:P434)</f>
        <v>0</v>
      </c>
      <c r="Q445" s="853">
        <f>SUM(Q430:Q444)</f>
        <v>27968</v>
      </c>
      <c r="R445" s="853">
        <f>SUM(R430:R444)</f>
        <v>23650524</v>
      </c>
      <c r="S445" s="853">
        <f>SUM(S430:S434)</f>
        <v>0</v>
      </c>
      <c r="T445" s="857">
        <f>SUM(T430:T444)</f>
        <v>21058347323</v>
      </c>
      <c r="U445" s="467"/>
      <c r="V445" s="467"/>
      <c r="W445" s="467"/>
    </row>
    <row r="446" spans="1:30" s="608" customFormat="1" ht="14.25" customHeight="1">
      <c r="A446" s="817" t="s">
        <v>1553</v>
      </c>
      <c r="B446" s="818"/>
      <c r="C446" s="818"/>
      <c r="D446" s="819"/>
      <c r="E446" s="656" t="s">
        <v>1498</v>
      </c>
      <c r="F446" s="757" t="s">
        <v>1543</v>
      </c>
      <c r="G446" s="628">
        <v>41752</v>
      </c>
      <c r="H446" s="610">
        <v>0</v>
      </c>
      <c r="I446" s="610">
        <v>0</v>
      </c>
      <c r="J446" s="610">
        <v>5000000000</v>
      </c>
      <c r="K446" s="612" t="s">
        <v>1554</v>
      </c>
      <c r="L446" s="642"/>
      <c r="M446" s="610"/>
      <c r="N446" s="610"/>
      <c r="O446" s="610"/>
      <c r="P446" s="806"/>
      <c r="Q446" s="610"/>
      <c r="R446" s="610"/>
      <c r="S446" s="612"/>
      <c r="T446" s="503">
        <f>J446</f>
        <v>5000000000</v>
      </c>
      <c r="U446" s="601"/>
      <c r="V446" s="502"/>
      <c r="W446" s="502"/>
      <c r="Y446" s="681"/>
      <c r="Z446" s="611"/>
      <c r="AA446" s="611"/>
      <c r="AB446" s="611"/>
      <c r="AD446" s="677"/>
    </row>
    <row r="447" spans="1:30" s="608" customFormat="1" ht="14.25" customHeight="1">
      <c r="A447" s="820" t="s">
        <v>1553</v>
      </c>
      <c r="B447" s="848"/>
      <c r="C447" s="848"/>
      <c r="D447" s="849"/>
      <c r="E447" s="476" t="s">
        <v>1494</v>
      </c>
      <c r="F447" s="722" t="s">
        <v>1548</v>
      </c>
      <c r="G447" s="673">
        <v>41863</v>
      </c>
      <c r="H447" s="647">
        <v>16930</v>
      </c>
      <c r="I447" s="647">
        <v>92073</v>
      </c>
      <c r="J447" s="647">
        <v>1558797921</v>
      </c>
      <c r="K447" s="650" t="s">
        <v>1522</v>
      </c>
      <c r="L447" s="660"/>
      <c r="M447" s="669"/>
      <c r="N447" s="669"/>
      <c r="O447" s="669"/>
      <c r="P447" s="611"/>
      <c r="Q447" s="669"/>
      <c r="R447" s="669"/>
      <c r="S447" s="521"/>
      <c r="T447" s="504">
        <f>J447</f>
        <v>1558797921</v>
      </c>
      <c r="U447" s="601"/>
      <c r="V447" s="502"/>
      <c r="W447" s="502"/>
      <c r="Y447" s="681"/>
      <c r="Z447" s="611"/>
      <c r="AA447" s="611"/>
      <c r="AB447" s="611"/>
      <c r="AD447" s="677"/>
    </row>
    <row r="448" spans="1:30" s="608" customFormat="1" ht="14.25" customHeight="1">
      <c r="A448" s="820" t="s">
        <v>1553</v>
      </c>
      <c r="B448" s="848"/>
      <c r="C448" s="848"/>
      <c r="D448" s="849"/>
      <c r="E448" s="476" t="s">
        <v>1498</v>
      </c>
      <c r="F448" s="722" t="s">
        <v>1549</v>
      </c>
      <c r="G448" s="673">
        <v>41886</v>
      </c>
      <c r="H448" s="647" t="s">
        <v>1506</v>
      </c>
      <c r="I448" s="647" t="s">
        <v>1506</v>
      </c>
      <c r="J448" s="647">
        <v>1000000000</v>
      </c>
      <c r="K448" s="750" t="s">
        <v>1555</v>
      </c>
      <c r="L448" s="660"/>
      <c r="M448" s="669"/>
      <c r="N448" s="669"/>
      <c r="O448" s="669">
        <f>Q448+R448</f>
        <v>1178492</v>
      </c>
      <c r="P448" s="611"/>
      <c r="Q448" s="669">
        <v>27968</v>
      </c>
      <c r="R448" s="647">
        <v>1150524</v>
      </c>
      <c r="S448" s="613" t="s">
        <v>1551</v>
      </c>
      <c r="T448" s="504">
        <f>SUM(J448:J449)</f>
        <v>800000000</v>
      </c>
      <c r="U448" s="601"/>
      <c r="V448" s="502"/>
      <c r="W448" s="502"/>
      <c r="Y448" s="681"/>
      <c r="Z448" s="611"/>
      <c r="AA448" s="611"/>
      <c r="AB448" s="611"/>
      <c r="AD448" s="677"/>
    </row>
    <row r="449" spans="1:30" s="608" customFormat="1" ht="14.25" customHeight="1">
      <c r="A449" s="820" t="s">
        <v>1553</v>
      </c>
      <c r="B449" s="848"/>
      <c r="C449" s="848"/>
      <c r="D449" s="849"/>
      <c r="E449" s="476" t="s">
        <v>1498</v>
      </c>
      <c r="F449" s="722" t="s">
        <v>1549</v>
      </c>
      <c r="G449" s="673">
        <v>41990</v>
      </c>
      <c r="H449" s="647" t="s">
        <v>1506</v>
      </c>
      <c r="I449" s="647" t="s">
        <v>1506</v>
      </c>
      <c r="J449" s="647">
        <v>-200000000</v>
      </c>
      <c r="K449" s="750" t="s">
        <v>1523</v>
      </c>
      <c r="L449" s="660"/>
      <c r="M449" s="669"/>
      <c r="N449" s="669"/>
      <c r="O449" s="669"/>
      <c r="P449" s="611"/>
      <c r="Q449" s="669"/>
      <c r="R449" s="669"/>
      <c r="S449" s="521"/>
      <c r="T449" s="504"/>
      <c r="U449" s="601"/>
      <c r="V449" s="502"/>
      <c r="W449" s="502"/>
      <c r="Y449" s="681"/>
      <c r="Z449" s="611"/>
      <c r="AA449" s="611"/>
      <c r="AB449" s="611"/>
      <c r="AD449" s="677"/>
    </row>
    <row r="450" spans="1:30" s="608" customFormat="1" ht="14.25" customHeight="1">
      <c r="A450" s="820" t="s">
        <v>1553</v>
      </c>
      <c r="B450" s="848"/>
      <c r="C450" s="848"/>
      <c r="D450" s="849"/>
      <c r="E450" s="476" t="s">
        <v>1498</v>
      </c>
      <c r="F450" s="722" t="s">
        <v>1549</v>
      </c>
      <c r="G450" s="673">
        <v>41990</v>
      </c>
      <c r="H450" s="647">
        <v>5424</v>
      </c>
      <c r="I450" s="647">
        <v>36868</v>
      </c>
      <c r="J450" s="647">
        <f>H450*I450</f>
        <v>199972032</v>
      </c>
      <c r="K450" s="750" t="s">
        <v>1523</v>
      </c>
      <c r="L450" s="660"/>
      <c r="M450" s="669"/>
      <c r="N450" s="669"/>
      <c r="O450" s="669"/>
      <c r="P450" s="611"/>
      <c r="Q450" s="669"/>
      <c r="R450" s="669"/>
      <c r="S450" s="521"/>
      <c r="T450" s="504">
        <f>J450</f>
        <v>199972032</v>
      </c>
      <c r="U450" s="601"/>
      <c r="V450" s="502"/>
      <c r="W450" s="502"/>
      <c r="Y450" s="681"/>
      <c r="Z450" s="611"/>
      <c r="AA450" s="611"/>
      <c r="AB450" s="611"/>
      <c r="AD450" s="677"/>
    </row>
    <row r="451" spans="1:30" s="608" customFormat="1" ht="14.25" customHeight="1">
      <c r="A451" s="820" t="s">
        <v>1553</v>
      </c>
      <c r="B451" s="845"/>
      <c r="C451" s="845"/>
      <c r="D451" s="846"/>
      <c r="E451" s="476" t="s">
        <v>1498</v>
      </c>
      <c r="F451" s="722" t="s">
        <v>1552</v>
      </c>
      <c r="G451" s="632">
        <v>41985</v>
      </c>
      <c r="H451" s="614" t="s">
        <v>1506</v>
      </c>
      <c r="I451" s="614" t="s">
        <v>1506</v>
      </c>
      <c r="J451" s="614">
        <v>1250000000</v>
      </c>
      <c r="K451" s="464" t="s">
        <v>1544</v>
      </c>
      <c r="L451" s="651"/>
      <c r="M451" s="614"/>
      <c r="N451" s="614"/>
      <c r="O451" s="614"/>
      <c r="P451" s="847"/>
      <c r="Q451" s="614"/>
      <c r="R451" s="614"/>
      <c r="S451" s="613"/>
      <c r="T451" s="497">
        <f t="shared" ref="T451:T453" si="10">J451</f>
        <v>1250000000</v>
      </c>
      <c r="U451" s="601"/>
      <c r="V451" s="502"/>
      <c r="W451" s="502"/>
      <c r="Y451" s="681"/>
      <c r="Z451" s="611"/>
      <c r="AA451" s="611"/>
      <c r="AB451" s="611"/>
      <c r="AD451" s="677"/>
    </row>
    <row r="452" spans="1:30" s="608" customFormat="1" ht="14.25" customHeight="1">
      <c r="A452" s="820" t="s">
        <v>1553</v>
      </c>
      <c r="B452" s="845"/>
      <c r="C452" s="845"/>
      <c r="D452" s="846"/>
      <c r="E452" s="722"/>
      <c r="F452" s="722" t="s">
        <v>1568</v>
      </c>
      <c r="G452" s="907">
        <v>42048</v>
      </c>
      <c r="H452" s="908">
        <v>2691</v>
      </c>
      <c r="I452" s="908">
        <f>J452/H452</f>
        <v>278670</v>
      </c>
      <c r="J452" s="908">
        <v>749900970</v>
      </c>
      <c r="K452" s="909" t="s">
        <v>1569</v>
      </c>
      <c r="L452" s="910"/>
      <c r="M452" s="908"/>
      <c r="N452" s="908"/>
      <c r="O452" s="908"/>
      <c r="P452" s="847"/>
      <c r="Q452" s="908"/>
      <c r="R452" s="908"/>
      <c r="S452" s="909"/>
      <c r="T452" s="497">
        <f t="shared" si="10"/>
        <v>749900970</v>
      </c>
      <c r="U452" s="601"/>
      <c r="V452" s="502"/>
      <c r="W452" s="502"/>
      <c r="Y452" s="681"/>
      <c r="Z452" s="611"/>
      <c r="AA452" s="611"/>
      <c r="AB452" s="611"/>
      <c r="AD452" s="677"/>
    </row>
    <row r="453" spans="1:30" s="608" customFormat="1" ht="14.25" customHeight="1">
      <c r="A453" s="820" t="s">
        <v>1553</v>
      </c>
      <c r="B453" s="845"/>
      <c r="C453" s="845"/>
      <c r="D453" s="846"/>
      <c r="E453" s="722"/>
      <c r="F453" s="722" t="s">
        <v>1567</v>
      </c>
      <c r="G453" s="907">
        <v>42052</v>
      </c>
      <c r="H453" s="908">
        <v>2857</v>
      </c>
      <c r="I453" s="908">
        <f>J453/H453</f>
        <v>175000</v>
      </c>
      <c r="J453" s="908">
        <v>499975000</v>
      </c>
      <c r="K453" s="909" t="s">
        <v>1569</v>
      </c>
      <c r="L453" s="910"/>
      <c r="M453" s="908"/>
      <c r="N453" s="908"/>
      <c r="O453" s="908"/>
      <c r="P453" s="847"/>
      <c r="Q453" s="908"/>
      <c r="R453" s="908"/>
      <c r="S453" s="909"/>
      <c r="T453" s="497">
        <f t="shared" si="10"/>
        <v>499975000</v>
      </c>
      <c r="U453" s="601"/>
      <c r="V453" s="502"/>
      <c r="W453" s="502"/>
      <c r="Y453" s="681"/>
      <c r="Z453" s="611"/>
      <c r="AA453" s="611"/>
      <c r="AB453" s="611"/>
      <c r="AD453" s="677"/>
    </row>
    <row r="454" spans="1:30" ht="14.25" customHeight="1">
      <c r="A454" s="824" t="s">
        <v>1553</v>
      </c>
      <c r="B454" s="850"/>
      <c r="C454" s="850"/>
      <c r="D454" s="850"/>
      <c r="E454" s="851" t="s">
        <v>1101</v>
      </c>
      <c r="F454" s="851"/>
      <c r="G454" s="852"/>
      <c r="H454" s="853"/>
      <c r="I454" s="853"/>
      <c r="J454" s="853">
        <f>SUM(J446:J453)</f>
        <v>10058645923</v>
      </c>
      <c r="K454" s="854"/>
      <c r="L454" s="855"/>
      <c r="M454" s="853"/>
      <c r="N454" s="853"/>
      <c r="O454" s="853">
        <f>SUM(O446:O453)</f>
        <v>1178492</v>
      </c>
      <c r="P454" s="856">
        <f>SUM(P446:P448)</f>
        <v>0</v>
      </c>
      <c r="Q454" s="853">
        <f t="shared" ref="Q454:T454" si="11">SUM(Q446:Q453)</f>
        <v>27968</v>
      </c>
      <c r="R454" s="853">
        <f t="shared" si="11"/>
        <v>1150524</v>
      </c>
      <c r="S454" s="853">
        <f t="shared" si="11"/>
        <v>0</v>
      </c>
      <c r="T454" s="853">
        <f t="shared" si="11"/>
        <v>10058645923</v>
      </c>
      <c r="U454" s="467"/>
      <c r="V454" s="467"/>
      <c r="W454" s="467"/>
      <c r="AD454" s="455"/>
    </row>
    <row r="455" spans="1:30" ht="14.25" customHeight="1">
      <c r="A455" s="817" t="s">
        <v>1556</v>
      </c>
      <c r="B455" s="818"/>
      <c r="C455" s="818"/>
      <c r="D455" s="819"/>
      <c r="E455" s="656" t="s">
        <v>1530</v>
      </c>
      <c r="F455" s="757" t="s">
        <v>1557</v>
      </c>
      <c r="G455" s="628">
        <v>41705</v>
      </c>
      <c r="H455" s="610">
        <v>101730</v>
      </c>
      <c r="I455" s="610">
        <f>J455/H455</f>
        <v>16769.389560601594</v>
      </c>
      <c r="J455" s="610">
        <v>1705950000</v>
      </c>
      <c r="K455" s="612" t="s">
        <v>1522</v>
      </c>
      <c r="L455" s="642"/>
      <c r="M455" s="610"/>
      <c r="N455" s="610"/>
      <c r="O455" s="610"/>
      <c r="P455" s="806"/>
      <c r="Q455" s="610"/>
      <c r="R455" s="610"/>
      <c r="S455" s="612"/>
      <c r="T455" s="503">
        <f>SUM(J455:J461)</f>
        <v>4260990000</v>
      </c>
      <c r="U455" s="834"/>
      <c r="V455" s="656"/>
      <c r="W455" s="656"/>
      <c r="AD455" s="455"/>
    </row>
    <row r="456" spans="1:30" ht="14.25" customHeight="1">
      <c r="A456" s="820" t="s">
        <v>1556</v>
      </c>
      <c r="B456" s="821"/>
      <c r="C456" s="821"/>
      <c r="D456" s="822"/>
      <c r="E456" s="654" t="s">
        <v>1530</v>
      </c>
      <c r="F456" s="506" t="s">
        <v>1557</v>
      </c>
      <c r="G456" s="630">
        <v>41715</v>
      </c>
      <c r="H456" s="657">
        <v>45736</v>
      </c>
      <c r="I456" s="657">
        <v>15000</v>
      </c>
      <c r="J456" s="657">
        <v>686040000</v>
      </c>
      <c r="K456" s="650" t="s">
        <v>1522</v>
      </c>
      <c r="L456" s="652"/>
      <c r="M456" s="657"/>
      <c r="N456" s="657"/>
      <c r="O456" s="657"/>
      <c r="P456" s="823"/>
      <c r="Q456" s="657"/>
      <c r="R456" s="657"/>
      <c r="S456" s="650"/>
      <c r="T456" s="504"/>
      <c r="U456" s="602"/>
      <c r="V456" s="654"/>
      <c r="W456" s="654"/>
      <c r="AD456" s="455"/>
    </row>
    <row r="457" spans="1:30" ht="14.25" customHeight="1">
      <c r="A457" s="820" t="s">
        <v>1556</v>
      </c>
      <c r="B457" s="821"/>
      <c r="C457" s="821"/>
      <c r="D457" s="822"/>
      <c r="E457" s="654" t="s">
        <v>1530</v>
      </c>
      <c r="F457" s="506" t="s">
        <v>1557</v>
      </c>
      <c r="G457" s="630">
        <v>41715</v>
      </c>
      <c r="H457" s="657">
        <v>20000</v>
      </c>
      <c r="I457" s="657">
        <v>15000</v>
      </c>
      <c r="J457" s="657">
        <v>300000000</v>
      </c>
      <c r="K457" s="650" t="s">
        <v>1522</v>
      </c>
      <c r="L457" s="652"/>
      <c r="M457" s="657"/>
      <c r="N457" s="657"/>
      <c r="O457" s="657"/>
      <c r="P457" s="823"/>
      <c r="Q457" s="657"/>
      <c r="R457" s="657"/>
      <c r="S457" s="650"/>
      <c r="T457" s="504"/>
      <c r="U457" s="602"/>
      <c r="V457" s="654"/>
      <c r="W457" s="654"/>
      <c r="AD457" s="455"/>
    </row>
    <row r="458" spans="1:30" ht="14.25" customHeight="1">
      <c r="A458" s="820" t="s">
        <v>1556</v>
      </c>
      <c r="B458" s="821"/>
      <c r="C458" s="821"/>
      <c r="D458" s="822"/>
      <c r="E458" s="654" t="s">
        <v>1530</v>
      </c>
      <c r="F458" s="506" t="s">
        <v>1557</v>
      </c>
      <c r="G458" s="630">
        <v>41715</v>
      </c>
      <c r="H458" s="657">
        <v>20000</v>
      </c>
      <c r="I458" s="657">
        <v>15000</v>
      </c>
      <c r="J458" s="657">
        <v>300000000</v>
      </c>
      <c r="K458" s="650" t="s">
        <v>1522</v>
      </c>
      <c r="L458" s="652"/>
      <c r="M458" s="657"/>
      <c r="N458" s="657"/>
      <c r="O458" s="657"/>
      <c r="P458" s="823"/>
      <c r="Q458" s="657"/>
      <c r="R458" s="657"/>
      <c r="S458" s="650"/>
      <c r="T458" s="504"/>
      <c r="U458" s="602"/>
      <c r="V458" s="654"/>
      <c r="W458" s="654"/>
      <c r="AD458" s="455"/>
    </row>
    <row r="459" spans="1:30" ht="14.25" customHeight="1">
      <c r="A459" s="820" t="s">
        <v>1556</v>
      </c>
      <c r="B459" s="821"/>
      <c r="C459" s="821"/>
      <c r="D459" s="822"/>
      <c r="E459" s="654" t="s">
        <v>1530</v>
      </c>
      <c r="F459" s="506" t="s">
        <v>1557</v>
      </c>
      <c r="G459" s="630">
        <v>41717</v>
      </c>
      <c r="H459" s="657">
        <v>4000</v>
      </c>
      <c r="I459" s="657">
        <v>15000</v>
      </c>
      <c r="J459" s="657">
        <v>60000000</v>
      </c>
      <c r="K459" s="650" t="s">
        <v>1522</v>
      </c>
      <c r="L459" s="652"/>
      <c r="M459" s="657"/>
      <c r="N459" s="657"/>
      <c r="O459" s="657"/>
      <c r="P459" s="823"/>
      <c r="Q459" s="657"/>
      <c r="R459" s="657"/>
      <c r="S459" s="650"/>
      <c r="T459" s="504"/>
      <c r="U459" s="602"/>
      <c r="V459" s="654"/>
      <c r="W459" s="654"/>
      <c r="AD459" s="455"/>
    </row>
    <row r="460" spans="1:30" ht="14.25" customHeight="1">
      <c r="A460" s="820" t="s">
        <v>1556</v>
      </c>
      <c r="B460" s="821"/>
      <c r="C460" s="821"/>
      <c r="D460" s="822"/>
      <c r="E460" s="654" t="s">
        <v>1530</v>
      </c>
      <c r="F460" s="506" t="s">
        <v>1557</v>
      </c>
      <c r="G460" s="630">
        <v>41717</v>
      </c>
      <c r="H460" s="657">
        <v>600</v>
      </c>
      <c r="I460" s="657">
        <v>15000</v>
      </c>
      <c r="J460" s="657">
        <v>9000000</v>
      </c>
      <c r="K460" s="650" t="s">
        <v>1522</v>
      </c>
      <c r="L460" s="652"/>
      <c r="M460" s="657"/>
      <c r="N460" s="657"/>
      <c r="O460" s="657"/>
      <c r="P460" s="823"/>
      <c r="Q460" s="657"/>
      <c r="R460" s="657"/>
      <c r="S460" s="650"/>
      <c r="T460" s="504"/>
      <c r="U460" s="698"/>
      <c r="V460" s="655"/>
      <c r="W460" s="655"/>
      <c r="AD460" s="455"/>
    </row>
    <row r="461" spans="1:30" ht="14.25" customHeight="1">
      <c r="A461" s="820" t="s">
        <v>1556</v>
      </c>
      <c r="B461" s="821"/>
      <c r="C461" s="821"/>
      <c r="D461" s="822"/>
      <c r="E461" s="654" t="s">
        <v>1530</v>
      </c>
      <c r="F461" s="506" t="s">
        <v>1557</v>
      </c>
      <c r="G461" s="632">
        <v>41957</v>
      </c>
      <c r="H461" s="614"/>
      <c r="I461" s="614"/>
      <c r="J461" s="614">
        <v>1200000000</v>
      </c>
      <c r="K461" s="613" t="s">
        <v>1558</v>
      </c>
      <c r="L461" s="651"/>
      <c r="M461" s="614"/>
      <c r="N461" s="614"/>
      <c r="O461" s="614"/>
      <c r="P461" s="823"/>
      <c r="Q461" s="614"/>
      <c r="R461" s="614"/>
      <c r="S461" s="613"/>
      <c r="T461" s="497"/>
      <c r="U461" s="698"/>
      <c r="V461" s="655"/>
      <c r="W461" s="655"/>
      <c r="AD461" s="455"/>
    </row>
    <row r="462" spans="1:30" ht="14.25" customHeight="1">
      <c r="A462" s="858" t="s">
        <v>1556</v>
      </c>
      <c r="B462" s="859"/>
      <c r="C462" s="859"/>
      <c r="D462" s="859"/>
      <c r="E462" s="860" t="s">
        <v>1101</v>
      </c>
      <c r="F462" s="860"/>
      <c r="G462" s="861"/>
      <c r="H462" s="862"/>
      <c r="I462" s="862"/>
      <c r="J462" s="862">
        <f>SUM(J455:J461)</f>
        <v>4260990000</v>
      </c>
      <c r="K462" s="863"/>
      <c r="L462" s="864"/>
      <c r="M462" s="862"/>
      <c r="N462" s="862"/>
      <c r="O462" s="862">
        <f t="shared" ref="O462:S462" si="12">SUM(O455:O460)</f>
        <v>0</v>
      </c>
      <c r="P462" s="865">
        <f t="shared" si="12"/>
        <v>0</v>
      </c>
      <c r="Q462" s="862">
        <f t="shared" si="12"/>
        <v>0</v>
      </c>
      <c r="R462" s="862">
        <f t="shared" si="12"/>
        <v>0</v>
      </c>
      <c r="S462" s="862">
        <f t="shared" si="12"/>
        <v>0</v>
      </c>
      <c r="T462" s="866">
        <f>SUM(T455:T461)</f>
        <v>4260990000</v>
      </c>
      <c r="U462" s="467"/>
      <c r="V462" s="467"/>
      <c r="W462" s="467"/>
      <c r="Y462" s="624"/>
      <c r="AB462" s="625"/>
      <c r="AC462" s="665"/>
      <c r="AD462" s="455"/>
    </row>
    <row r="463" spans="1:30" ht="14.25" customHeight="1">
      <c r="A463" s="867" t="s">
        <v>1559</v>
      </c>
      <c r="B463" s="868"/>
      <c r="C463" s="868"/>
      <c r="D463" s="869"/>
      <c r="E463" s="870" t="s">
        <v>1494</v>
      </c>
      <c r="F463" s="871" t="s">
        <v>1560</v>
      </c>
      <c r="G463" s="872">
        <v>41880</v>
      </c>
      <c r="H463" s="873">
        <v>500000</v>
      </c>
      <c r="I463" s="873">
        <v>4700</v>
      </c>
      <c r="J463" s="873">
        <v>2350000000</v>
      </c>
      <c r="K463" s="874" t="s">
        <v>1561</v>
      </c>
      <c r="L463" s="875"/>
      <c r="M463" s="873"/>
      <c r="N463" s="873"/>
      <c r="O463" s="873"/>
      <c r="P463" s="876"/>
      <c r="Q463" s="873"/>
      <c r="R463" s="873"/>
      <c r="S463" s="873"/>
      <c r="T463" s="873">
        <f>J463</f>
        <v>2350000000</v>
      </c>
      <c r="U463" s="615"/>
      <c r="V463" s="615"/>
      <c r="W463" s="615"/>
      <c r="Y463" s="624"/>
      <c r="AB463" s="625"/>
      <c r="AC463" s="665"/>
      <c r="AD463" s="455"/>
    </row>
    <row r="464" spans="1:30" ht="14.25" customHeight="1">
      <c r="A464" s="867" t="s">
        <v>1559</v>
      </c>
      <c r="B464" s="877"/>
      <c r="C464" s="877"/>
      <c r="D464" s="878"/>
      <c r="E464" s="879" t="s">
        <v>1498</v>
      </c>
      <c r="F464" s="880" t="s">
        <v>1562</v>
      </c>
      <c r="G464" s="881">
        <v>41906</v>
      </c>
      <c r="H464" s="882" t="s">
        <v>1506</v>
      </c>
      <c r="I464" s="882" t="s">
        <v>1506</v>
      </c>
      <c r="J464" s="882">
        <v>4000000000</v>
      </c>
      <c r="K464" s="883" t="s">
        <v>1563</v>
      </c>
      <c r="L464" s="884"/>
      <c r="M464" s="882"/>
      <c r="N464" s="882"/>
      <c r="O464" s="882"/>
      <c r="P464" s="885"/>
      <c r="Q464" s="882"/>
      <c r="R464" s="882"/>
      <c r="S464" s="882"/>
      <c r="T464" s="882">
        <f>J464</f>
        <v>4000000000</v>
      </c>
      <c r="U464" s="615"/>
      <c r="V464" s="615"/>
      <c r="W464" s="615"/>
      <c r="Y464" s="624"/>
      <c r="AB464" s="625"/>
      <c r="AC464" s="665"/>
      <c r="AD464" s="455"/>
    </row>
    <row r="465" spans="1:30" ht="14.25" customHeight="1">
      <c r="A465" s="824" t="s">
        <v>1559</v>
      </c>
      <c r="B465" s="850"/>
      <c r="C465" s="850"/>
      <c r="D465" s="850"/>
      <c r="E465" s="851" t="s">
        <v>1564</v>
      </c>
      <c r="F465" s="851"/>
      <c r="G465" s="852"/>
      <c r="H465" s="853"/>
      <c r="I465" s="853"/>
      <c r="J465" s="853">
        <f>SUM(J463:J464)</f>
        <v>6350000000</v>
      </c>
      <c r="K465" s="854"/>
      <c r="L465" s="855"/>
      <c r="M465" s="853"/>
      <c r="N465" s="853"/>
      <c r="O465" s="853">
        <f>SUM(O463:O464)</f>
        <v>0</v>
      </c>
      <c r="P465" s="856"/>
      <c r="Q465" s="853">
        <f>SUM(Q463:Q464)</f>
        <v>0</v>
      </c>
      <c r="R465" s="853">
        <f>SUM(R463:R464)</f>
        <v>0</v>
      </c>
      <c r="S465" s="853">
        <f>SUM(S463:S464)</f>
        <v>0</v>
      </c>
      <c r="T465" s="853">
        <f>SUM(T463:T464)</f>
        <v>6350000000</v>
      </c>
      <c r="U465" s="615"/>
      <c r="V465" s="615"/>
      <c r="W465" s="615"/>
      <c r="Y465" s="624"/>
      <c r="AB465" s="625"/>
      <c r="AC465" s="665"/>
      <c r="AD465" s="455"/>
    </row>
    <row r="466" spans="1:30" ht="14.25" customHeight="1">
      <c r="A466" s="580"/>
      <c r="B466" s="580"/>
      <c r="C466" s="580"/>
      <c r="D466" s="580"/>
      <c r="E466" s="886"/>
      <c r="F466" s="608"/>
      <c r="G466" s="362"/>
      <c r="H466" s="669"/>
      <c r="I466" s="669"/>
      <c r="J466" s="669"/>
      <c r="K466" s="521"/>
      <c r="L466" s="886"/>
      <c r="M466" s="886"/>
      <c r="N466" s="886"/>
      <c r="O466" s="886"/>
      <c r="P466" s="580"/>
      <c r="Q466" s="886"/>
      <c r="R466" s="886"/>
      <c r="S466" s="886"/>
      <c r="T466" s="886"/>
      <c r="U466" s="580"/>
      <c r="V466" s="580"/>
      <c r="W466" s="580"/>
      <c r="AD466" s="455"/>
    </row>
    <row r="467" spans="1:30" ht="14.25" customHeight="1">
      <c r="G467" s="362"/>
      <c r="AD467" s="455"/>
    </row>
    <row r="468" spans="1:30" ht="14.25" customHeight="1">
      <c r="F468" s="577"/>
      <c r="G468" s="362"/>
      <c r="I468" s="637" t="s">
        <v>1565</v>
      </c>
      <c r="J468" s="637">
        <f>+J445+J429+J355+J289+J249+J219+J202+J183+J454+J462</f>
        <v>165439133319</v>
      </c>
      <c r="K468" s="752"/>
      <c r="Y468" s="653" t="s">
        <v>1159</v>
      </c>
      <c r="Z468" s="645">
        <v>41337</v>
      </c>
      <c r="AA468" s="644">
        <v>150867</v>
      </c>
      <c r="AB468" s="644">
        <v>5967</v>
      </c>
      <c r="AC468" s="644">
        <v>-900223389</v>
      </c>
      <c r="AD468" s="455"/>
    </row>
    <row r="469" spans="1:30" ht="14.25" customHeight="1">
      <c r="F469" s="577"/>
      <c r="G469" s="753"/>
      <c r="H469" s="752"/>
      <c r="I469" s="752"/>
      <c r="J469" s="888"/>
      <c r="K469" s="889"/>
      <c r="Z469" s="645">
        <v>41393</v>
      </c>
      <c r="AA469" s="644">
        <v>50417</v>
      </c>
      <c r="AB469" s="671">
        <v>6048.0858043913759</v>
      </c>
      <c r="AC469" s="644">
        <v>304926342</v>
      </c>
      <c r="AD469" s="455"/>
    </row>
    <row r="470" spans="1:30" ht="14.25" customHeight="1">
      <c r="E470" s="455"/>
      <c r="G470" s="890"/>
      <c r="Z470" s="624">
        <v>41634</v>
      </c>
      <c r="AA470" s="625">
        <f>+AA468-AA469</f>
        <v>100450</v>
      </c>
      <c r="AB470" s="639">
        <v>4335</v>
      </c>
      <c r="AC470" s="625">
        <f>+AA470*AB470</f>
        <v>435450750</v>
      </c>
      <c r="AD470" s="665">
        <f>+XIRR(AC468:AC470,Z468:Z470)</f>
        <v>-0.29469997659325603</v>
      </c>
    </row>
    <row r="471" spans="1:30" ht="14.25" customHeight="1">
      <c r="E471" s="455"/>
      <c r="G471" s="436"/>
      <c r="H471" s="662"/>
      <c r="I471" s="662"/>
      <c r="J471" s="662"/>
      <c r="Y471" s="656" t="s">
        <v>1529</v>
      </c>
      <c r="Z471" s="642">
        <v>41386</v>
      </c>
      <c r="AA471" s="610">
        <v>52590</v>
      </c>
      <c r="AB471" s="610">
        <v>26600</v>
      </c>
      <c r="AC471" s="610">
        <v>-1398894000</v>
      </c>
    </row>
    <row r="472" spans="1:30" ht="14.25" customHeight="1">
      <c r="E472" s="455"/>
      <c r="G472" s="438"/>
      <c r="H472" s="635"/>
      <c r="I472" s="635"/>
      <c r="J472" s="635"/>
      <c r="Z472" s="642">
        <v>41498</v>
      </c>
      <c r="AA472" s="610">
        <v>28028</v>
      </c>
      <c r="AB472" s="610">
        <v>44.250570857713711</v>
      </c>
      <c r="AC472" s="610">
        <v>1240255</v>
      </c>
    </row>
    <row r="473" spans="1:30" ht="14.25" customHeight="1">
      <c r="E473" s="455"/>
      <c r="F473" s="891" t="s">
        <v>301</v>
      </c>
      <c r="G473" s="730">
        <v>39548</v>
      </c>
      <c r="H473" s="752"/>
      <c r="I473" s="752"/>
      <c r="J473" s="637">
        <v>-3790000000</v>
      </c>
      <c r="K473" s="752"/>
      <c r="Z473" s="624">
        <v>41634</v>
      </c>
      <c r="AC473" s="625">
        <f>+T412</f>
        <v>1397653745</v>
      </c>
      <c r="AD473" s="665">
        <f>+XIRR(AC471:AC473,Z471:Z473)</f>
        <v>2.9802322387695314E-9</v>
      </c>
    </row>
    <row r="474" spans="1:30" ht="14.25" customHeight="1">
      <c r="E474" s="455"/>
      <c r="F474" s="574"/>
      <c r="G474" s="437">
        <v>39639</v>
      </c>
      <c r="H474" s="634">
        <v>0</v>
      </c>
      <c r="I474" s="634"/>
      <c r="J474" s="634">
        <v>9449041</v>
      </c>
      <c r="K474" s="752"/>
      <c r="Q474" s="638">
        <v>41026</v>
      </c>
      <c r="R474" s="634">
        <v>60000</v>
      </c>
      <c r="S474" s="634">
        <v>20500</v>
      </c>
      <c r="T474" s="634">
        <v>-1230000000</v>
      </c>
      <c r="Y474" s="655" t="s">
        <v>1529</v>
      </c>
      <c r="Z474" s="651">
        <v>41389</v>
      </c>
      <c r="AA474" s="614">
        <v>86667</v>
      </c>
      <c r="AB474" s="614">
        <v>30000</v>
      </c>
      <c r="AC474" s="614">
        <v>-2600010000</v>
      </c>
    </row>
    <row r="475" spans="1:30" ht="14.25" customHeight="1">
      <c r="E475" s="455"/>
      <c r="F475" s="574"/>
      <c r="G475" s="438">
        <v>39731</v>
      </c>
      <c r="H475" s="635">
        <v>0</v>
      </c>
      <c r="I475" s="635"/>
      <c r="J475" s="635">
        <v>9552877</v>
      </c>
      <c r="K475" s="752"/>
      <c r="Q475" s="642">
        <v>41026</v>
      </c>
      <c r="R475" s="610">
        <v>165000</v>
      </c>
      <c r="S475" s="610">
        <v>20500</v>
      </c>
      <c r="T475" s="610">
        <v>-3382500000</v>
      </c>
      <c r="Z475" s="651">
        <v>41498</v>
      </c>
      <c r="AA475" s="614">
        <v>46189</v>
      </c>
      <c r="AB475" s="614">
        <v>49.907142393210506</v>
      </c>
      <c r="AC475" s="614">
        <v>2305161</v>
      </c>
    </row>
    <row r="476" spans="1:30" ht="14.25" customHeight="1">
      <c r="E476" s="455"/>
      <c r="F476" s="574"/>
      <c r="G476" s="438">
        <v>39825</v>
      </c>
      <c r="H476" s="635">
        <v>0</v>
      </c>
      <c r="I476" s="635"/>
      <c r="J476" s="635">
        <v>9552877</v>
      </c>
      <c r="K476" s="752"/>
      <c r="Q476" s="642">
        <v>41347</v>
      </c>
      <c r="R476" s="610">
        <v>6000</v>
      </c>
      <c r="S476" s="610">
        <v>29880</v>
      </c>
      <c r="T476" s="610">
        <v>179280000</v>
      </c>
      <c r="Z476" s="624">
        <v>41634</v>
      </c>
      <c r="AC476" s="625">
        <f>+T413</f>
        <v>2597704839</v>
      </c>
      <c r="AD476" s="665">
        <f>+XIRR(AC474:AC476,Z474:Z476)</f>
        <v>2.9802322387695314E-9</v>
      </c>
    </row>
    <row r="477" spans="1:30" ht="14.25" customHeight="1">
      <c r="E477" s="455"/>
      <c r="F477" s="574"/>
      <c r="G477" s="438">
        <v>39913</v>
      </c>
      <c r="H477" s="635">
        <v>0</v>
      </c>
      <c r="I477" s="635"/>
      <c r="J477" s="635">
        <v>9345205</v>
      </c>
      <c r="K477" s="752"/>
      <c r="Q477" s="643">
        <v>41348</v>
      </c>
      <c r="R477" s="635">
        <v>7600</v>
      </c>
      <c r="S477" s="635">
        <v>31422.595921052631</v>
      </c>
      <c r="T477" s="657">
        <v>238811729</v>
      </c>
    </row>
    <row r="478" spans="1:30" ht="14.25" customHeight="1">
      <c r="E478" s="455"/>
      <c r="F478" s="574"/>
      <c r="G478" s="438">
        <v>39913</v>
      </c>
      <c r="H478" s="635">
        <v>0</v>
      </c>
      <c r="I478" s="635"/>
      <c r="J478" s="635">
        <v>426000000</v>
      </c>
      <c r="K478" s="752"/>
      <c r="Q478" s="643">
        <v>41351</v>
      </c>
      <c r="R478" s="635">
        <v>799</v>
      </c>
      <c r="S478" s="635">
        <v>31930.102628285356</v>
      </c>
      <c r="T478" s="657">
        <v>25512152</v>
      </c>
      <c r="Y478" s="655" t="s">
        <v>1097</v>
      </c>
      <c r="Z478" s="651">
        <v>41389</v>
      </c>
      <c r="AA478" s="614"/>
      <c r="AB478" s="614"/>
      <c r="AC478" s="614">
        <v>-999950000</v>
      </c>
    </row>
    <row r="479" spans="1:30" ht="14.25" customHeight="1">
      <c r="E479" s="455"/>
      <c r="F479" s="574"/>
      <c r="G479" s="438">
        <v>39974</v>
      </c>
      <c r="H479" s="635">
        <v>0</v>
      </c>
      <c r="I479" s="635"/>
      <c r="J479" s="635">
        <v>215614358</v>
      </c>
      <c r="K479" s="752"/>
      <c r="Q479" s="643">
        <v>41352</v>
      </c>
      <c r="R479" s="635">
        <v>3289</v>
      </c>
      <c r="S479" s="635">
        <v>32445.849194283976</v>
      </c>
      <c r="T479" s="657">
        <v>106714398</v>
      </c>
      <c r="Z479" s="651">
        <v>41572</v>
      </c>
      <c r="AA479" s="614"/>
      <c r="AB479" s="614"/>
      <c r="AC479" s="614">
        <v>4999750</v>
      </c>
    </row>
    <row r="480" spans="1:30" ht="14.25" customHeight="1">
      <c r="E480" s="455"/>
      <c r="F480" s="574"/>
      <c r="G480" s="438">
        <v>40004</v>
      </c>
      <c r="H480" s="635">
        <v>0</v>
      </c>
      <c r="I480" s="635" t="s">
        <v>1224</v>
      </c>
      <c r="J480" s="635">
        <v>8287397</v>
      </c>
      <c r="K480" s="752"/>
      <c r="Q480" s="643">
        <v>41355</v>
      </c>
      <c r="R480" s="635">
        <v>4400</v>
      </c>
      <c r="S480" s="635">
        <v>31496.874772727271</v>
      </c>
      <c r="T480" s="657">
        <v>138586249</v>
      </c>
      <c r="Z480" s="624">
        <v>41634</v>
      </c>
      <c r="AC480" s="625">
        <f>+-AC478</f>
        <v>999950000</v>
      </c>
      <c r="AD480" s="665">
        <f>+XIRR(AC478:AC480,Z478:Z480)</f>
        <v>7.4675351381301878E-3</v>
      </c>
    </row>
    <row r="481" spans="5:30" ht="14.25" customHeight="1">
      <c r="E481" s="455"/>
      <c r="F481" s="574"/>
      <c r="G481" s="438">
        <v>40035</v>
      </c>
      <c r="H481" s="635">
        <v>0</v>
      </c>
      <c r="I481" s="635" t="s">
        <v>1224</v>
      </c>
      <c r="J481" s="635">
        <v>217761875</v>
      </c>
      <c r="K481" s="752"/>
      <c r="Q481" s="643">
        <v>41359</v>
      </c>
      <c r="R481" s="635">
        <v>1560</v>
      </c>
      <c r="S481" s="635">
        <v>31715.394871794873</v>
      </c>
      <c r="T481" s="657">
        <v>49476016</v>
      </c>
    </row>
    <row r="482" spans="5:30" ht="14.25" customHeight="1">
      <c r="E482" s="455"/>
      <c r="F482" s="574"/>
      <c r="G482" s="438">
        <v>40098</v>
      </c>
      <c r="H482" s="635"/>
      <c r="I482" s="635"/>
      <c r="J482" s="635">
        <v>7706301</v>
      </c>
      <c r="K482" s="752"/>
      <c r="Q482" s="643">
        <v>41360</v>
      </c>
      <c r="R482" s="635">
        <v>266</v>
      </c>
      <c r="S482" s="635">
        <v>31647.913533834588</v>
      </c>
      <c r="T482" s="657">
        <v>8418345</v>
      </c>
      <c r="Y482" s="609" t="s">
        <v>1178</v>
      </c>
      <c r="Z482" s="640">
        <v>41452</v>
      </c>
      <c r="AA482" s="641">
        <v>0</v>
      </c>
      <c r="AB482" s="641">
        <v>0</v>
      </c>
      <c r="AC482" s="641">
        <v>-1000000000</v>
      </c>
    </row>
    <row r="483" spans="5:30" ht="14.25" customHeight="1">
      <c r="E483" s="455"/>
      <c r="G483" s="438">
        <v>40190</v>
      </c>
      <c r="H483" s="635"/>
      <c r="I483" s="635"/>
      <c r="J483" s="635">
        <v>7540361</v>
      </c>
      <c r="K483" s="752"/>
      <c r="L483" s="752"/>
      <c r="M483" s="752"/>
      <c r="N483" s="752"/>
      <c r="Q483" s="643">
        <v>41362</v>
      </c>
      <c r="R483" s="635">
        <v>133</v>
      </c>
      <c r="S483" s="635">
        <v>31573.263157894737</v>
      </c>
      <c r="T483" s="657">
        <v>4199244</v>
      </c>
      <c r="Z483" s="640">
        <v>41544</v>
      </c>
      <c r="AA483" s="641"/>
      <c r="AB483" s="641"/>
      <c r="AC483" s="641">
        <v>2520548</v>
      </c>
    </row>
    <row r="484" spans="5:30" ht="14.25" customHeight="1">
      <c r="E484" s="455"/>
      <c r="G484" s="438">
        <v>40280</v>
      </c>
      <c r="H484" s="635"/>
      <c r="I484" s="635"/>
      <c r="J484" s="635">
        <v>7372603</v>
      </c>
      <c r="K484" s="752"/>
      <c r="L484" s="752"/>
      <c r="M484" s="752"/>
      <c r="N484" s="752"/>
      <c r="Q484" s="643">
        <v>41365</v>
      </c>
      <c r="R484" s="635">
        <v>1597</v>
      </c>
      <c r="S484" s="635">
        <v>31885.137758296805</v>
      </c>
      <c r="T484" s="657">
        <v>50920565</v>
      </c>
      <c r="Z484" s="624">
        <v>41634</v>
      </c>
      <c r="AC484" s="625">
        <f>+-AC482</f>
        <v>1000000000</v>
      </c>
      <c r="AD484" s="665">
        <f>+XIRR(AC482:AC484,Z482:Z484)</f>
        <v>5.0676733255386359E-3</v>
      </c>
    </row>
    <row r="485" spans="5:30" ht="14.25" customHeight="1">
      <c r="E485" s="455"/>
      <c r="G485" s="438">
        <v>40371</v>
      </c>
      <c r="H485" s="635"/>
      <c r="I485" s="635"/>
      <c r="J485" s="635">
        <v>7454521</v>
      </c>
      <c r="K485" s="752"/>
      <c r="L485" s="752"/>
      <c r="M485" s="752"/>
      <c r="N485" s="752"/>
      <c r="Q485" s="643">
        <v>41366</v>
      </c>
      <c r="R485" s="635">
        <v>1335</v>
      </c>
      <c r="S485" s="635">
        <v>32828.161797752808</v>
      </c>
      <c r="T485" s="657">
        <v>43825596</v>
      </c>
    </row>
    <row r="486" spans="5:30" ht="14.25" customHeight="1">
      <c r="E486" s="455"/>
      <c r="G486" s="438">
        <v>40462</v>
      </c>
      <c r="H486" s="635"/>
      <c r="I486" s="635"/>
      <c r="J486" s="635">
        <v>7178371</v>
      </c>
      <c r="K486" s="892"/>
      <c r="L486" s="752"/>
      <c r="M486" s="752"/>
      <c r="N486" s="752"/>
      <c r="Q486" s="643">
        <v>41367</v>
      </c>
      <c r="R486" s="635">
        <v>986</v>
      </c>
      <c r="S486" s="635">
        <v>33067.41480730223</v>
      </c>
      <c r="T486" s="657">
        <v>32604471</v>
      </c>
      <c r="Y486" s="609" t="s">
        <v>1161</v>
      </c>
      <c r="Z486" s="640">
        <v>41458</v>
      </c>
      <c r="AA486" s="641">
        <v>0</v>
      </c>
      <c r="AB486" s="641">
        <v>0</v>
      </c>
      <c r="AC486" s="641">
        <v>-5000000000</v>
      </c>
    </row>
    <row r="487" spans="5:30" ht="14.25" customHeight="1">
      <c r="E487" s="455"/>
      <c r="G487" s="438">
        <v>40553</v>
      </c>
      <c r="H487" s="635"/>
      <c r="I487" s="635"/>
      <c r="J487" s="635">
        <v>7536438</v>
      </c>
      <c r="K487" s="892"/>
      <c r="L487" s="752"/>
      <c r="M487" s="752"/>
      <c r="N487" s="752"/>
      <c r="Q487" s="643">
        <v>41369</v>
      </c>
      <c r="R487" s="635">
        <v>2532</v>
      </c>
      <c r="S487" s="635">
        <v>32900.460505529227</v>
      </c>
      <c r="T487" s="657">
        <v>83303966</v>
      </c>
      <c r="Z487" s="640">
        <v>41628</v>
      </c>
      <c r="AA487" s="641"/>
      <c r="AB487" s="641"/>
      <c r="AC487" s="641">
        <v>45000000</v>
      </c>
    </row>
    <row r="488" spans="5:30" ht="14.25" customHeight="1">
      <c r="E488" s="455"/>
      <c r="G488" s="443">
        <v>40644</v>
      </c>
      <c r="H488" s="636"/>
      <c r="I488" s="636"/>
      <c r="J488" s="636">
        <v>3632140259</v>
      </c>
      <c r="K488" s="892">
        <v>7.5830748677253743E-2</v>
      </c>
      <c r="L488" s="474" t="s">
        <v>1200</v>
      </c>
      <c r="M488" s="752"/>
      <c r="N488" s="752"/>
      <c r="Q488" s="643">
        <v>41379</v>
      </c>
      <c r="R488" s="635">
        <v>1199</v>
      </c>
      <c r="S488" s="635">
        <v>32541.683069224353</v>
      </c>
      <c r="T488" s="657">
        <v>39017478</v>
      </c>
      <c r="Z488" s="624">
        <v>41634</v>
      </c>
      <c r="AC488" s="625">
        <f>+-AC486</f>
        <v>5000000000</v>
      </c>
      <c r="AD488" s="665">
        <f>+XIRR(AC486:AC488,Z486:Z488)</f>
        <v>1.876074969768524E-2</v>
      </c>
    </row>
    <row r="489" spans="5:30" ht="14.25" customHeight="1">
      <c r="E489" s="455"/>
      <c r="G489" s="753"/>
      <c r="H489" s="752"/>
      <c r="I489" s="752"/>
      <c r="J489" s="637">
        <v>792492484</v>
      </c>
      <c r="K489" s="892">
        <v>-83.870149785570831</v>
      </c>
      <c r="L489" s="474" t="s">
        <v>1236</v>
      </c>
      <c r="M489" s="752"/>
      <c r="N489" s="752"/>
      <c r="Q489" s="643">
        <v>41380</v>
      </c>
      <c r="R489" s="635">
        <v>7468</v>
      </c>
      <c r="S489" s="635">
        <v>34203.585698982322</v>
      </c>
      <c r="T489" s="657">
        <v>255432378</v>
      </c>
    </row>
    <row r="490" spans="5:30" ht="14.25" customHeight="1">
      <c r="E490" s="455"/>
      <c r="G490" s="753"/>
      <c r="H490" s="752"/>
      <c r="I490" s="752"/>
      <c r="J490" s="752"/>
      <c r="K490" s="892"/>
      <c r="L490" s="752"/>
      <c r="M490" s="752"/>
      <c r="N490" s="752"/>
      <c r="Q490" s="643">
        <v>41396</v>
      </c>
      <c r="R490" s="635">
        <v>1333</v>
      </c>
      <c r="S490" s="635">
        <v>39202.543885971492</v>
      </c>
      <c r="T490" s="657">
        <v>52256991</v>
      </c>
    </row>
    <row r="491" spans="5:30" ht="14.25" customHeight="1">
      <c r="E491" s="455"/>
      <c r="G491" s="753"/>
      <c r="H491" s="752"/>
      <c r="I491" s="752"/>
      <c r="J491" s="752"/>
      <c r="K491" s="892"/>
      <c r="L491" s="752"/>
      <c r="M491" s="752"/>
      <c r="N491" s="752"/>
      <c r="Q491" s="643">
        <v>41414</v>
      </c>
      <c r="R491" s="635">
        <v>266</v>
      </c>
      <c r="S491" s="635">
        <v>35880.92105263158</v>
      </c>
      <c r="T491" s="657">
        <v>9544325</v>
      </c>
    </row>
    <row r="492" spans="5:30" ht="14.25" customHeight="1">
      <c r="E492" s="455"/>
      <c r="G492" s="513"/>
      <c r="H492" s="489"/>
      <c r="I492" s="490"/>
      <c r="J492" s="489"/>
      <c r="K492" s="893"/>
      <c r="L492" s="894"/>
      <c r="M492" s="895"/>
      <c r="Q492" s="643">
        <v>41415</v>
      </c>
      <c r="R492" s="635">
        <v>1767</v>
      </c>
      <c r="S492" s="635">
        <v>35995.904357668362</v>
      </c>
      <c r="T492" s="657">
        <v>63604763</v>
      </c>
    </row>
    <row r="493" spans="5:30" ht="14.25" customHeight="1">
      <c r="E493" s="455"/>
      <c r="G493" s="513"/>
      <c r="H493" s="489"/>
      <c r="I493" s="490"/>
      <c r="J493" s="489"/>
      <c r="K493" s="893"/>
      <c r="L493" s="894"/>
      <c r="M493" s="895"/>
      <c r="Q493" s="643">
        <v>41421</v>
      </c>
      <c r="R493" s="635">
        <v>133</v>
      </c>
      <c r="S493" s="635">
        <v>34860.037593984962</v>
      </c>
      <c r="T493" s="657">
        <v>4636385</v>
      </c>
    </row>
    <row r="494" spans="5:30" ht="14.25" customHeight="1">
      <c r="E494" s="455"/>
      <c r="G494" s="513"/>
      <c r="H494" s="489"/>
      <c r="I494" s="490"/>
      <c r="J494" s="489"/>
      <c r="K494" s="893"/>
      <c r="L494" s="894"/>
      <c r="M494" s="895"/>
      <c r="Q494" s="643">
        <v>41422</v>
      </c>
      <c r="R494" s="635">
        <v>2079</v>
      </c>
      <c r="S494" s="635">
        <v>35291.752765752768</v>
      </c>
      <c r="T494" s="657">
        <v>73371554</v>
      </c>
    </row>
    <row r="495" spans="5:30" ht="14.25" customHeight="1">
      <c r="E495" s="455"/>
      <c r="G495" s="513"/>
      <c r="H495" s="489"/>
      <c r="I495" s="490"/>
      <c r="J495" s="489"/>
      <c r="K495" s="893"/>
      <c r="L495" s="894"/>
      <c r="M495" s="895"/>
      <c r="Q495" s="643">
        <v>41425</v>
      </c>
      <c r="R495" s="635">
        <v>453</v>
      </c>
      <c r="S495" s="635">
        <v>35929.116997792495</v>
      </c>
      <c r="T495" s="657">
        <v>16275890</v>
      </c>
    </row>
    <row r="496" spans="5:30" ht="14.25" customHeight="1">
      <c r="E496" s="455"/>
      <c r="H496" s="887"/>
      <c r="I496" s="887"/>
      <c r="J496" s="887"/>
      <c r="K496" s="752"/>
      <c r="L496" s="508"/>
      <c r="M496" s="887"/>
      <c r="N496" s="887"/>
      <c r="Q496" s="643">
        <v>41444</v>
      </c>
      <c r="R496" s="635">
        <v>1066</v>
      </c>
      <c r="S496" s="635">
        <v>35021.924953095688</v>
      </c>
      <c r="T496" s="657">
        <v>37333372</v>
      </c>
    </row>
    <row r="497" spans="5:30" ht="14.25" customHeight="1">
      <c r="E497" s="455"/>
      <c r="G497" s="513" t="s">
        <v>1237</v>
      </c>
      <c r="H497" s="514" t="s">
        <v>1238</v>
      </c>
      <c r="I497" s="514" t="s">
        <v>1239</v>
      </c>
      <c r="J497" s="514" t="s">
        <v>1240</v>
      </c>
      <c r="K497" s="514" t="s">
        <v>1241</v>
      </c>
      <c r="L497" s="515" t="s">
        <v>1236</v>
      </c>
      <c r="M497" s="514" t="s">
        <v>1242</v>
      </c>
      <c r="N497" s="887"/>
      <c r="Q497" s="643">
        <v>41445</v>
      </c>
      <c r="R497" s="635">
        <v>3651</v>
      </c>
      <c r="S497" s="635">
        <v>34834.442344563133</v>
      </c>
      <c r="T497" s="657">
        <v>127180549</v>
      </c>
    </row>
    <row r="498" spans="5:30" ht="14.25" customHeight="1">
      <c r="E498" s="455"/>
      <c r="G498" s="488">
        <v>39548</v>
      </c>
      <c r="H498" s="489">
        <v>3790000000</v>
      </c>
      <c r="I498" s="490">
        <v>39639</v>
      </c>
      <c r="J498" s="489">
        <v>9449041</v>
      </c>
      <c r="K498" s="896"/>
      <c r="L498" s="897"/>
      <c r="M498" s="896"/>
      <c r="N498" s="887"/>
      <c r="Q498" s="518">
        <v>41446</v>
      </c>
      <c r="R498" s="452">
        <v>267</v>
      </c>
      <c r="S498" s="452">
        <v>34860.018726591763</v>
      </c>
      <c r="T498" s="647">
        <v>9307625</v>
      </c>
    </row>
    <row r="499" spans="5:30" ht="14.25" customHeight="1">
      <c r="E499" s="455"/>
      <c r="G499" s="513"/>
      <c r="H499" s="489"/>
      <c r="I499" s="490">
        <v>39731</v>
      </c>
      <c r="J499" s="489">
        <v>9552877</v>
      </c>
      <c r="K499" s="893"/>
      <c r="L499" s="898"/>
      <c r="M499" s="893"/>
      <c r="N499" s="887"/>
      <c r="Q499" s="457">
        <v>41456</v>
      </c>
      <c r="R499" s="636">
        <v>9821</v>
      </c>
      <c r="S499" s="636">
        <v>33789.674167600038</v>
      </c>
      <c r="T499" s="614">
        <v>331848390</v>
      </c>
    </row>
    <row r="500" spans="5:30" ht="14.25" customHeight="1">
      <c r="E500" s="455"/>
      <c r="G500" s="513"/>
      <c r="H500" s="489"/>
      <c r="I500" s="490">
        <v>39825</v>
      </c>
      <c r="J500" s="489">
        <v>9552877</v>
      </c>
      <c r="K500" s="893"/>
      <c r="L500" s="894"/>
      <c r="M500" s="895"/>
      <c r="N500" s="752"/>
      <c r="Q500" s="642">
        <v>41347</v>
      </c>
      <c r="R500" s="610">
        <v>19528</v>
      </c>
      <c r="S500" s="610">
        <v>30034.439573945103</v>
      </c>
      <c r="T500" s="610">
        <v>586512536</v>
      </c>
    </row>
    <row r="501" spans="5:30" ht="14.25" customHeight="1">
      <c r="E501" s="455"/>
      <c r="G501" s="513"/>
      <c r="H501" s="489"/>
      <c r="I501" s="490">
        <v>39913</v>
      </c>
      <c r="J501" s="489">
        <v>9345205</v>
      </c>
      <c r="K501" s="893"/>
      <c r="L501" s="894"/>
      <c r="M501" s="895"/>
      <c r="N501" s="752"/>
      <c r="Q501" s="643">
        <v>41348</v>
      </c>
      <c r="R501" s="635">
        <v>18183</v>
      </c>
      <c r="S501" s="635">
        <v>31443.660727052742</v>
      </c>
      <c r="T501" s="635">
        <v>571740083</v>
      </c>
    </row>
    <row r="502" spans="5:30" ht="14.25" customHeight="1">
      <c r="E502" s="455"/>
      <c r="G502" s="513"/>
      <c r="H502" s="489"/>
      <c r="I502" s="490">
        <v>39913</v>
      </c>
      <c r="J502" s="489">
        <v>426000000</v>
      </c>
      <c r="K502" s="893"/>
      <c r="L502" s="894"/>
      <c r="M502" s="895"/>
      <c r="N502" s="752"/>
      <c r="Q502" s="643">
        <v>41351</v>
      </c>
      <c r="R502" s="635">
        <v>2303</v>
      </c>
      <c r="S502" s="635">
        <v>31920.963091619626</v>
      </c>
      <c r="T502" s="635">
        <v>73513978</v>
      </c>
      <c r="V502" s="455"/>
      <c r="W502" s="455"/>
      <c r="AD502" s="455"/>
    </row>
    <row r="503" spans="5:30" ht="14.25" customHeight="1">
      <c r="E503" s="455"/>
      <c r="G503" s="513"/>
      <c r="H503" s="489"/>
      <c r="I503" s="490">
        <v>39974</v>
      </c>
      <c r="J503" s="489">
        <v>215614358</v>
      </c>
      <c r="K503" s="893"/>
      <c r="L503" s="894"/>
      <c r="M503" s="895"/>
      <c r="N503" s="752"/>
      <c r="Q503" s="643">
        <v>41352</v>
      </c>
      <c r="R503" s="635">
        <v>9061</v>
      </c>
      <c r="S503" s="635">
        <v>32432.800573888093</v>
      </c>
      <c r="T503" s="635">
        <v>293873606</v>
      </c>
      <c r="V503" s="455"/>
      <c r="W503" s="455"/>
      <c r="AD503" s="455"/>
    </row>
    <row r="504" spans="5:30" ht="14.25" customHeight="1">
      <c r="E504" s="455"/>
      <c r="G504" s="513"/>
      <c r="H504" s="489"/>
      <c r="I504" s="490">
        <v>40004</v>
      </c>
      <c r="J504" s="489">
        <v>8287397</v>
      </c>
      <c r="K504" s="893"/>
      <c r="L504" s="894"/>
      <c r="M504" s="895"/>
      <c r="N504" s="752"/>
      <c r="Q504" s="643">
        <v>41355</v>
      </c>
      <c r="R504" s="635">
        <v>12110</v>
      </c>
      <c r="S504" s="635">
        <v>31494.279933938895</v>
      </c>
      <c r="T504" s="635">
        <v>381395730</v>
      </c>
      <c r="V504" s="455"/>
      <c r="W504" s="455"/>
      <c r="AD504" s="455"/>
    </row>
    <row r="505" spans="5:30" ht="14.25" customHeight="1">
      <c r="E505" s="455"/>
      <c r="G505" s="513"/>
      <c r="H505" s="489"/>
      <c r="I505" s="490">
        <v>40035</v>
      </c>
      <c r="J505" s="489">
        <v>217761875</v>
      </c>
      <c r="K505" s="893"/>
      <c r="L505" s="894"/>
      <c r="M505" s="895"/>
      <c r="N505" s="752"/>
      <c r="Q505" s="643">
        <v>41359</v>
      </c>
      <c r="R505" s="635">
        <v>4290</v>
      </c>
      <c r="S505" s="635">
        <v>31715.358275058275</v>
      </c>
      <c r="T505" s="635">
        <v>136058887</v>
      </c>
      <c r="V505" s="455"/>
      <c r="W505" s="455"/>
      <c r="AD505" s="455"/>
    </row>
    <row r="506" spans="5:30" ht="14.25" customHeight="1">
      <c r="E506" s="455"/>
      <c r="G506" s="513"/>
      <c r="H506" s="489"/>
      <c r="I506" s="490">
        <v>40098</v>
      </c>
      <c r="J506" s="489">
        <v>7706301</v>
      </c>
      <c r="K506" s="893"/>
      <c r="L506" s="894"/>
      <c r="M506" s="895"/>
      <c r="N506" s="752"/>
      <c r="Q506" s="643">
        <v>41360</v>
      </c>
      <c r="R506" s="635">
        <v>734</v>
      </c>
      <c r="S506" s="635">
        <v>31647.905994550409</v>
      </c>
      <c r="T506" s="635">
        <v>23229563</v>
      </c>
      <c r="V506" s="455"/>
      <c r="W506" s="455"/>
      <c r="AD506" s="455"/>
    </row>
    <row r="507" spans="5:30" ht="14.25" customHeight="1">
      <c r="E507" s="455"/>
      <c r="G507" s="513"/>
      <c r="H507" s="489"/>
      <c r="I507" s="490">
        <v>40190</v>
      </c>
      <c r="J507" s="489">
        <v>7540361</v>
      </c>
      <c r="K507" s="893"/>
      <c r="L507" s="894"/>
      <c r="M507" s="895"/>
      <c r="N507" s="752"/>
      <c r="Q507" s="643">
        <v>41362</v>
      </c>
      <c r="R507" s="635">
        <v>367</v>
      </c>
      <c r="S507" s="635">
        <v>31573.223433242507</v>
      </c>
      <c r="T507" s="635">
        <v>11587373</v>
      </c>
      <c r="V507" s="455"/>
      <c r="W507" s="455"/>
      <c r="AD507" s="455"/>
    </row>
    <row r="508" spans="5:30" ht="14.25" customHeight="1">
      <c r="E508" s="455"/>
      <c r="F508" s="757"/>
      <c r="G508" s="513"/>
      <c r="H508" s="489"/>
      <c r="I508" s="490">
        <v>40280</v>
      </c>
      <c r="J508" s="489">
        <v>7372603</v>
      </c>
      <c r="K508" s="893"/>
      <c r="L508" s="894"/>
      <c r="M508" s="895"/>
      <c r="N508" s="752"/>
      <c r="Q508" s="643">
        <v>41365</v>
      </c>
      <c r="R508" s="635">
        <v>4403</v>
      </c>
      <c r="S508" s="635">
        <v>31884.456961162843</v>
      </c>
      <c r="T508" s="635">
        <v>140387264</v>
      </c>
      <c r="V508" s="455"/>
      <c r="W508" s="455"/>
      <c r="AD508" s="455"/>
    </row>
    <row r="509" spans="5:30" ht="14.25" customHeight="1">
      <c r="E509" s="455"/>
      <c r="F509" s="506"/>
      <c r="G509" s="513"/>
      <c r="H509" s="489"/>
      <c r="I509" s="490">
        <v>40371</v>
      </c>
      <c r="J509" s="489">
        <v>7454521</v>
      </c>
      <c r="K509" s="893"/>
      <c r="L509" s="894"/>
      <c r="M509" s="895"/>
      <c r="N509" s="752"/>
      <c r="Q509" s="643">
        <v>41366</v>
      </c>
      <c r="R509" s="635">
        <v>3665</v>
      </c>
      <c r="S509" s="635">
        <v>32828.163437926327</v>
      </c>
      <c r="T509" s="635">
        <v>120315219</v>
      </c>
      <c r="V509" s="455"/>
      <c r="W509" s="455"/>
      <c r="AD509" s="455"/>
    </row>
    <row r="510" spans="5:30" ht="14.25" customHeight="1">
      <c r="E510" s="455"/>
      <c r="F510" s="506"/>
      <c r="G510" s="513"/>
      <c r="H510" s="489"/>
      <c r="I510" s="490">
        <v>40462</v>
      </c>
      <c r="J510" s="489">
        <v>7178371</v>
      </c>
      <c r="K510" s="893"/>
      <c r="L510" s="894"/>
      <c r="M510" s="895"/>
      <c r="N510" s="752"/>
      <c r="Q510" s="643">
        <v>41367</v>
      </c>
      <c r="R510" s="635">
        <v>2314</v>
      </c>
      <c r="S510" s="635">
        <v>33080.031114952464</v>
      </c>
      <c r="T510" s="635">
        <v>76547192</v>
      </c>
      <c r="V510" s="455"/>
      <c r="W510" s="455"/>
      <c r="AD510" s="455"/>
    </row>
    <row r="511" spans="5:30" ht="14.25" customHeight="1">
      <c r="E511" s="455"/>
      <c r="F511" s="506"/>
      <c r="G511" s="513"/>
      <c r="H511" s="489"/>
      <c r="I511" s="490">
        <v>40553</v>
      </c>
      <c r="J511" s="489">
        <v>7536438</v>
      </c>
      <c r="K511" s="893"/>
      <c r="L511" s="894"/>
      <c r="M511" s="895"/>
      <c r="N511" s="752"/>
      <c r="Q511" s="643">
        <v>41368</v>
      </c>
      <c r="R511" s="635">
        <v>400</v>
      </c>
      <c r="S511" s="635">
        <v>33316.199999999997</v>
      </c>
      <c r="T511" s="635">
        <v>13326480</v>
      </c>
      <c r="V511" s="455"/>
      <c r="W511" s="455"/>
      <c r="AD511" s="455"/>
    </row>
    <row r="512" spans="5:30" ht="14.25" customHeight="1">
      <c r="E512" s="455"/>
      <c r="F512" s="506"/>
      <c r="G512" s="513"/>
      <c r="H512" s="489"/>
      <c r="I512" s="490">
        <v>40644</v>
      </c>
      <c r="J512" s="489">
        <v>3632140259</v>
      </c>
      <c r="K512" s="893"/>
      <c r="L512" s="894"/>
      <c r="M512" s="895"/>
      <c r="N512" s="752"/>
      <c r="Q512" s="643">
        <v>41369</v>
      </c>
      <c r="R512" s="635">
        <v>6968</v>
      </c>
      <c r="S512" s="635">
        <v>32889.144374282434</v>
      </c>
      <c r="T512" s="635">
        <v>229171558</v>
      </c>
      <c r="V512" s="455"/>
      <c r="W512" s="455"/>
      <c r="AD512" s="455"/>
    </row>
    <row r="513" spans="5:30" ht="14.25" customHeight="1">
      <c r="E513" s="455"/>
      <c r="F513" s="506"/>
      <c r="G513" s="513" t="s">
        <v>1243</v>
      </c>
      <c r="H513" s="489">
        <v>3790000000</v>
      </c>
      <c r="I513" s="514" t="s">
        <v>1244</v>
      </c>
      <c r="J513" s="489">
        <v>4582492484</v>
      </c>
      <c r="K513" s="514">
        <v>792492484</v>
      </c>
      <c r="L513" s="516">
        <v>0.20910091926121371</v>
      </c>
      <c r="M513" s="517">
        <v>7.5999999999999998E-2</v>
      </c>
      <c r="N513" s="752"/>
      <c r="Q513" s="643">
        <v>41379</v>
      </c>
      <c r="R513" s="635">
        <v>3301</v>
      </c>
      <c r="S513" s="635">
        <v>32541.545289306272</v>
      </c>
      <c r="T513" s="635">
        <v>107419641</v>
      </c>
      <c r="V513" s="455"/>
      <c r="W513" s="455"/>
      <c r="AD513" s="455"/>
    </row>
    <row r="514" spans="5:30" ht="14.25" customHeight="1">
      <c r="E514" s="455"/>
      <c r="F514" s="506"/>
      <c r="G514" s="440"/>
      <c r="H514" s="657"/>
      <c r="I514" s="657"/>
      <c r="J514" s="657"/>
      <c r="K514" s="650"/>
      <c r="Q514" s="643">
        <v>41380</v>
      </c>
      <c r="R514" s="635">
        <v>20532</v>
      </c>
      <c r="S514" s="635">
        <v>34203.761348139487</v>
      </c>
      <c r="T514" s="635">
        <v>702271628</v>
      </c>
      <c r="V514" s="455"/>
      <c r="W514" s="455"/>
      <c r="AD514" s="455"/>
    </row>
    <row r="515" spans="5:30" ht="14.25" customHeight="1">
      <c r="E515" s="455"/>
      <c r="F515" s="506"/>
      <c r="G515" s="440"/>
      <c r="H515" s="657"/>
      <c r="I515" s="657"/>
      <c r="J515" s="657"/>
      <c r="K515" s="650"/>
      <c r="Q515" s="643">
        <v>41396</v>
      </c>
      <c r="R515" s="635">
        <v>3667</v>
      </c>
      <c r="S515" s="635">
        <v>39202.569402781563</v>
      </c>
      <c r="T515" s="635">
        <v>143755822</v>
      </c>
      <c r="V515" s="455"/>
      <c r="W515" s="455"/>
      <c r="AD515" s="455"/>
    </row>
    <row r="516" spans="5:30" ht="14.25" customHeight="1">
      <c r="E516" s="455"/>
      <c r="F516" s="757" t="s">
        <v>496</v>
      </c>
      <c r="G516" s="605">
        <v>38729</v>
      </c>
      <c r="H516" s="610">
        <v>0</v>
      </c>
      <c r="I516" s="610"/>
      <c r="J516" s="610">
        <v>-500000000</v>
      </c>
      <c r="K516" s="612" t="s">
        <v>1214</v>
      </c>
      <c r="Q516" s="643">
        <v>41415</v>
      </c>
      <c r="R516" s="635">
        <v>5499</v>
      </c>
      <c r="S516" s="635">
        <v>35935.627023095105</v>
      </c>
      <c r="T516" s="635">
        <v>197610013</v>
      </c>
      <c r="V516" s="455"/>
      <c r="W516" s="455"/>
      <c r="AD516" s="455"/>
    </row>
    <row r="517" spans="5:30" ht="14.25" customHeight="1">
      <c r="E517" s="455"/>
      <c r="F517" s="506" t="s">
        <v>496</v>
      </c>
      <c r="G517" s="605">
        <v>38832</v>
      </c>
      <c r="H517" s="610">
        <v>0</v>
      </c>
      <c r="I517" s="610"/>
      <c r="J517" s="610">
        <v>4232877</v>
      </c>
      <c r="K517" s="650" t="s">
        <v>1215</v>
      </c>
      <c r="Q517" s="643">
        <v>41421</v>
      </c>
      <c r="R517" s="635">
        <v>286</v>
      </c>
      <c r="S517" s="635">
        <v>34860</v>
      </c>
      <c r="T517" s="635">
        <v>9969960</v>
      </c>
      <c r="V517" s="455"/>
      <c r="W517" s="455"/>
      <c r="AD517" s="455"/>
    </row>
    <row r="518" spans="5:30" ht="14.25" customHeight="1">
      <c r="E518" s="455"/>
      <c r="F518" s="506" t="s">
        <v>496</v>
      </c>
      <c r="G518" s="627">
        <v>38923</v>
      </c>
      <c r="H518" s="657">
        <v>0</v>
      </c>
      <c r="I518" s="657"/>
      <c r="J518" s="657">
        <v>3739726</v>
      </c>
      <c r="K518" s="650" t="s">
        <v>1139</v>
      </c>
      <c r="Q518" s="643">
        <v>41422</v>
      </c>
      <c r="R518" s="635">
        <v>5646</v>
      </c>
      <c r="S518" s="635">
        <v>35284.219624512931</v>
      </c>
      <c r="T518" s="635">
        <v>199214704</v>
      </c>
      <c r="V518" s="455"/>
      <c r="W518" s="455"/>
      <c r="AD518" s="455"/>
    </row>
    <row r="519" spans="5:30" ht="14.25" customHeight="1">
      <c r="E519" s="455"/>
      <c r="F519" s="506" t="s">
        <v>496</v>
      </c>
      <c r="G519" s="627">
        <v>39015</v>
      </c>
      <c r="H519" s="657">
        <v>0</v>
      </c>
      <c r="I519" s="657"/>
      <c r="J519" s="657">
        <v>3780822</v>
      </c>
      <c r="K519" s="650"/>
      <c r="Q519" s="643">
        <v>41425</v>
      </c>
      <c r="R519" s="635">
        <v>1247</v>
      </c>
      <c r="S519" s="635">
        <v>35929.288692862872</v>
      </c>
      <c r="T519" s="635">
        <v>44803823</v>
      </c>
      <c r="V519" s="455"/>
      <c r="W519" s="455"/>
      <c r="AD519" s="455"/>
    </row>
    <row r="520" spans="5:30" ht="14.25" customHeight="1">
      <c r="E520" s="455"/>
      <c r="F520" s="506" t="s">
        <v>496</v>
      </c>
      <c r="G520" s="440">
        <v>39107</v>
      </c>
      <c r="H520" s="657">
        <v>0</v>
      </c>
      <c r="I520" s="657"/>
      <c r="J520" s="657">
        <v>3780822</v>
      </c>
      <c r="K520" s="650"/>
      <c r="Q520" s="643">
        <v>41444</v>
      </c>
      <c r="R520" s="635">
        <v>2934</v>
      </c>
      <c r="S520" s="635">
        <v>34940.71131561009</v>
      </c>
      <c r="T520" s="635">
        <v>102516047</v>
      </c>
      <c r="V520" s="455"/>
      <c r="W520" s="455"/>
      <c r="AD520" s="455"/>
    </row>
    <row r="521" spans="5:30" ht="14.25" customHeight="1">
      <c r="E521" s="455"/>
      <c r="F521" s="506" t="s">
        <v>496</v>
      </c>
      <c r="G521" s="440">
        <v>39197</v>
      </c>
      <c r="H521" s="657">
        <v>0</v>
      </c>
      <c r="I521" s="657"/>
      <c r="J521" s="657">
        <v>3698630</v>
      </c>
      <c r="K521" s="650"/>
      <c r="Q521" s="643">
        <v>41445</v>
      </c>
      <c r="R521" s="635">
        <v>10049</v>
      </c>
      <c r="S521" s="635">
        <v>34800.12259926361</v>
      </c>
      <c r="T521" s="635">
        <v>349706432</v>
      </c>
      <c r="V521" s="455"/>
      <c r="W521" s="455"/>
      <c r="AD521" s="455"/>
    </row>
    <row r="522" spans="5:30" ht="14.25" customHeight="1">
      <c r="E522" s="455"/>
      <c r="F522" s="506" t="s">
        <v>496</v>
      </c>
      <c r="G522" s="440">
        <v>39286</v>
      </c>
      <c r="H522" s="657">
        <v>0</v>
      </c>
      <c r="I522" s="657"/>
      <c r="J522" s="657">
        <v>3739726</v>
      </c>
      <c r="K522" s="650"/>
      <c r="Q522" s="518">
        <v>41446</v>
      </c>
      <c r="R522" s="452">
        <v>733</v>
      </c>
      <c r="S522" s="452">
        <v>34860.006821282404</v>
      </c>
      <c r="T522" s="452">
        <v>25552385</v>
      </c>
      <c r="V522" s="455"/>
      <c r="W522" s="455"/>
      <c r="AD522" s="455"/>
    </row>
    <row r="523" spans="5:30" ht="14.25" customHeight="1">
      <c r="E523" s="455"/>
      <c r="F523" s="506" t="s">
        <v>496</v>
      </c>
      <c r="G523" s="440">
        <v>39380</v>
      </c>
      <c r="H523" s="657">
        <v>0</v>
      </c>
      <c r="I523" s="657"/>
      <c r="J523" s="657">
        <v>3780822</v>
      </c>
      <c r="K523" s="650"/>
      <c r="Q523" s="457">
        <v>41456</v>
      </c>
      <c r="R523" s="636">
        <v>26780</v>
      </c>
      <c r="S523" s="636">
        <v>33779.310492905155</v>
      </c>
      <c r="T523" s="636">
        <v>904609935</v>
      </c>
      <c r="U523" s="665">
        <f>+XIRR(T474:T523,Q474:Q523)</f>
        <v>0.61576413512229944</v>
      </c>
      <c r="V523" s="455"/>
      <c r="W523" s="455"/>
      <c r="AD523" s="455"/>
    </row>
    <row r="524" spans="5:30" ht="14.25" customHeight="1">
      <c r="E524" s="455"/>
      <c r="F524" s="506" t="s">
        <v>496</v>
      </c>
      <c r="G524" s="440">
        <v>39472</v>
      </c>
      <c r="H524" s="657">
        <v>0</v>
      </c>
      <c r="I524" s="657"/>
      <c r="J524" s="657">
        <v>3780822</v>
      </c>
      <c r="K524" s="650"/>
      <c r="V524" s="455"/>
      <c r="W524" s="455"/>
      <c r="AD524" s="455"/>
    </row>
    <row r="525" spans="5:30" ht="14.25" customHeight="1">
      <c r="E525" s="455"/>
      <c r="F525" s="506" t="s">
        <v>496</v>
      </c>
      <c r="G525" s="440">
        <v>39563</v>
      </c>
      <c r="H525" s="657">
        <v>0</v>
      </c>
      <c r="I525" s="657"/>
      <c r="J525" s="657">
        <v>3739726</v>
      </c>
      <c r="K525" s="650"/>
      <c r="V525" s="455"/>
      <c r="W525" s="455"/>
      <c r="AD525" s="455"/>
    </row>
    <row r="526" spans="5:30" ht="14.25" customHeight="1">
      <c r="E526" s="455"/>
      <c r="F526" s="506" t="s">
        <v>496</v>
      </c>
      <c r="G526" s="440">
        <v>39653</v>
      </c>
      <c r="H526" s="657">
        <v>0</v>
      </c>
      <c r="I526" s="657"/>
      <c r="J526" s="657">
        <v>3739726</v>
      </c>
      <c r="K526" s="650"/>
      <c r="V526" s="455"/>
      <c r="W526" s="455"/>
      <c r="AD526" s="455"/>
    </row>
    <row r="527" spans="5:30" ht="14.25" customHeight="1">
      <c r="E527" s="455"/>
      <c r="F527" s="506" t="s">
        <v>496</v>
      </c>
      <c r="G527" s="440">
        <v>39748</v>
      </c>
      <c r="H527" s="657">
        <v>0</v>
      </c>
      <c r="I527" s="657"/>
      <c r="J527" s="657">
        <v>3780822</v>
      </c>
      <c r="K527" s="650"/>
      <c r="V527" s="455"/>
      <c r="W527" s="455"/>
      <c r="AD527" s="455"/>
    </row>
    <row r="528" spans="5:30" ht="14.25" customHeight="1">
      <c r="E528" s="455"/>
      <c r="F528" s="506" t="s">
        <v>496</v>
      </c>
      <c r="G528" s="440">
        <v>39825</v>
      </c>
      <c r="H528" s="657">
        <v>0</v>
      </c>
      <c r="I528" s="657"/>
      <c r="J528" s="657">
        <v>3082192</v>
      </c>
      <c r="K528" s="650"/>
      <c r="V528" s="455"/>
      <c r="W528" s="455"/>
      <c r="AD528" s="455"/>
    </row>
    <row r="529" spans="5:30" ht="14.25" customHeight="1">
      <c r="E529" s="455"/>
      <c r="F529" s="506" t="s">
        <v>496</v>
      </c>
      <c r="G529" s="627">
        <v>40840</v>
      </c>
      <c r="H529" s="657">
        <v>50000</v>
      </c>
      <c r="I529" s="657">
        <v>12300</v>
      </c>
      <c r="J529" s="657">
        <v>615000000</v>
      </c>
      <c r="K529" s="650"/>
      <c r="V529" s="455"/>
      <c r="W529" s="455"/>
      <c r="AD529" s="455"/>
    </row>
    <row r="530" spans="5:30" ht="14.25" customHeight="1">
      <c r="E530" s="455"/>
      <c r="F530" s="506" t="s">
        <v>496</v>
      </c>
      <c r="G530" s="627">
        <v>40842</v>
      </c>
      <c r="H530" s="657">
        <v>65060</v>
      </c>
      <c r="I530" s="657">
        <v>12000</v>
      </c>
      <c r="J530" s="657">
        <v>780720000</v>
      </c>
      <c r="K530" s="650"/>
      <c r="V530" s="455"/>
      <c r="W530" s="455"/>
      <c r="AD530" s="455"/>
    </row>
    <row r="531" spans="5:30" ht="14.25" customHeight="1">
      <c r="E531" s="455"/>
      <c r="F531" s="807" t="s">
        <v>496</v>
      </c>
      <c r="G531" s="606">
        <v>40847</v>
      </c>
      <c r="H531" s="614">
        <v>200000</v>
      </c>
      <c r="I531" s="614">
        <v>12300</v>
      </c>
      <c r="J531" s="614">
        <v>2460000000</v>
      </c>
      <c r="K531" s="534">
        <v>0.43570647835731502</v>
      </c>
      <c r="V531" s="455"/>
      <c r="W531" s="455"/>
      <c r="AD531" s="455"/>
    </row>
    <row r="532" spans="5:30" ht="14.25" customHeight="1">
      <c r="E532" s="455"/>
      <c r="F532" s="899" t="s">
        <v>496</v>
      </c>
      <c r="G532" s="445">
        <v>39421</v>
      </c>
      <c r="H532" s="634">
        <v>26666</v>
      </c>
      <c r="I532" s="634">
        <v>6000</v>
      </c>
      <c r="J532" s="634">
        <v>-1999950000</v>
      </c>
      <c r="K532" s="469" t="s">
        <v>499</v>
      </c>
      <c r="V532" s="455"/>
      <c r="W532" s="455"/>
      <c r="AD532" s="455"/>
    </row>
    <row r="533" spans="5:30" ht="14.25" customHeight="1">
      <c r="E533" s="455"/>
      <c r="F533" s="506" t="s">
        <v>496</v>
      </c>
      <c r="G533" s="566">
        <v>40911</v>
      </c>
      <c r="H533" s="562">
        <v>6000</v>
      </c>
      <c r="I533" s="567">
        <v>18980.271666666667</v>
      </c>
      <c r="J533" s="568">
        <v>113881630</v>
      </c>
      <c r="K533" s="471" t="s">
        <v>1139</v>
      </c>
      <c r="V533" s="455"/>
      <c r="W533" s="455"/>
      <c r="AD533" s="455"/>
    </row>
    <row r="534" spans="5:30" ht="14.25" customHeight="1">
      <c r="E534" s="455"/>
      <c r="F534" s="506" t="s">
        <v>496</v>
      </c>
      <c r="G534" s="569">
        <v>40912</v>
      </c>
      <c r="H534" s="567">
        <v>242400</v>
      </c>
      <c r="I534" s="567">
        <v>19510.069108910891</v>
      </c>
      <c r="J534" s="570">
        <v>4729240752</v>
      </c>
      <c r="K534" s="471"/>
      <c r="M534" s="474"/>
      <c r="N534" s="474"/>
      <c r="O534" s="474"/>
      <c r="P534" s="455"/>
      <c r="Q534" s="474"/>
      <c r="R534" s="474"/>
      <c r="T534" s="474"/>
      <c r="V534" s="455"/>
      <c r="W534" s="455"/>
      <c r="AD534" s="455"/>
    </row>
    <row r="535" spans="5:30" ht="14.25" customHeight="1">
      <c r="E535" s="455"/>
      <c r="F535" s="506" t="s">
        <v>496</v>
      </c>
      <c r="G535" s="569">
        <v>40913</v>
      </c>
      <c r="H535" s="567">
        <v>7000</v>
      </c>
      <c r="I535" s="567">
        <v>21030.231428571427</v>
      </c>
      <c r="J535" s="570">
        <v>147211620</v>
      </c>
      <c r="K535" s="471"/>
      <c r="M535" s="474"/>
      <c r="N535" s="474"/>
      <c r="O535" s="474"/>
      <c r="P535" s="455"/>
      <c r="Q535" s="474"/>
      <c r="R535" s="474"/>
      <c r="T535" s="474"/>
      <c r="V535" s="455"/>
      <c r="W535" s="455"/>
      <c r="AD535" s="455"/>
    </row>
    <row r="536" spans="5:30" ht="14.25" customHeight="1">
      <c r="E536" s="455"/>
      <c r="F536" s="900" t="s">
        <v>496</v>
      </c>
      <c r="G536" s="569">
        <v>40914</v>
      </c>
      <c r="H536" s="567">
        <v>4000</v>
      </c>
      <c r="I536" s="567">
        <v>21112.325000000001</v>
      </c>
      <c r="J536" s="570">
        <v>84449300</v>
      </c>
      <c r="K536" s="471"/>
      <c r="M536" s="474"/>
      <c r="N536" s="474"/>
      <c r="O536" s="474"/>
      <c r="P536" s="455"/>
      <c r="Q536" s="474"/>
      <c r="R536" s="474"/>
      <c r="T536" s="474"/>
      <c r="V536" s="455"/>
      <c r="W536" s="455"/>
      <c r="AD536" s="455"/>
    </row>
    <row r="537" spans="5:30" ht="14.25" customHeight="1">
      <c r="E537" s="455"/>
      <c r="F537" s="900" t="s">
        <v>496</v>
      </c>
      <c r="G537" s="569">
        <v>40917</v>
      </c>
      <c r="H537" s="567">
        <v>10000</v>
      </c>
      <c r="I537" s="567">
        <v>20687.580000000002</v>
      </c>
      <c r="J537" s="570">
        <v>206875800</v>
      </c>
      <c r="K537" s="471"/>
      <c r="M537" s="474"/>
      <c r="N537" s="474"/>
      <c r="O537" s="474"/>
      <c r="P537" s="455"/>
      <c r="Q537" s="474"/>
      <c r="R537" s="474"/>
      <c r="T537" s="474"/>
      <c r="V537" s="455"/>
      <c r="W537" s="455"/>
      <c r="AD537" s="455"/>
    </row>
    <row r="538" spans="5:30" ht="14.25" customHeight="1">
      <c r="E538" s="455"/>
      <c r="F538" s="900" t="s">
        <v>496</v>
      </c>
      <c r="G538" s="569">
        <v>40918</v>
      </c>
      <c r="H538" s="567">
        <v>13500</v>
      </c>
      <c r="I538" s="567">
        <v>20462.781555555557</v>
      </c>
      <c r="J538" s="570">
        <v>276247551</v>
      </c>
      <c r="K538" s="471"/>
      <c r="M538" s="474"/>
      <c r="N538" s="474"/>
      <c r="O538" s="474"/>
      <c r="P538" s="455"/>
      <c r="Q538" s="474"/>
      <c r="R538" s="474"/>
      <c r="T538" s="474"/>
      <c r="V538" s="455"/>
      <c r="W538" s="455"/>
      <c r="AD538" s="455"/>
    </row>
    <row r="539" spans="5:30" ht="14.25" customHeight="1">
      <c r="E539" s="455"/>
      <c r="F539" s="900" t="s">
        <v>496</v>
      </c>
      <c r="G539" s="569">
        <v>40919</v>
      </c>
      <c r="H539" s="567">
        <v>11800</v>
      </c>
      <c r="I539" s="567">
        <v>20100.966016949151</v>
      </c>
      <c r="J539" s="570">
        <v>237191399</v>
      </c>
      <c r="K539" s="471"/>
      <c r="M539" s="474"/>
      <c r="N539" s="474"/>
      <c r="O539" s="474"/>
      <c r="P539" s="455"/>
      <c r="Q539" s="474"/>
      <c r="R539" s="474"/>
      <c r="T539" s="474"/>
      <c r="V539" s="455"/>
      <c r="W539" s="455"/>
      <c r="AD539" s="455"/>
    </row>
    <row r="540" spans="5:30" ht="14.25" customHeight="1">
      <c r="E540" s="455"/>
      <c r="F540" s="900" t="s">
        <v>496</v>
      </c>
      <c r="G540" s="569">
        <v>40920</v>
      </c>
      <c r="H540" s="567">
        <v>24500</v>
      </c>
      <c r="I540" s="567">
        <v>20778.590653061223</v>
      </c>
      <c r="J540" s="570">
        <v>509075471</v>
      </c>
      <c r="K540" s="471"/>
      <c r="M540" s="474"/>
      <c r="N540" s="474"/>
      <c r="O540" s="474"/>
      <c r="P540" s="455"/>
      <c r="Q540" s="474"/>
      <c r="R540" s="474"/>
      <c r="T540" s="474"/>
      <c r="V540" s="455"/>
      <c r="W540" s="455"/>
      <c r="AD540" s="455"/>
    </row>
    <row r="541" spans="5:30" ht="14.25" customHeight="1">
      <c r="E541" s="455"/>
      <c r="F541" s="900" t="s">
        <v>496</v>
      </c>
      <c r="G541" s="569">
        <v>40921</v>
      </c>
      <c r="H541" s="567">
        <v>6000</v>
      </c>
      <c r="I541" s="567">
        <v>22153.366666666665</v>
      </c>
      <c r="J541" s="570">
        <v>132920200</v>
      </c>
      <c r="K541" s="471"/>
      <c r="M541" s="474"/>
      <c r="N541" s="474"/>
      <c r="O541" s="474"/>
      <c r="P541" s="455"/>
      <c r="Q541" s="474"/>
      <c r="R541" s="474"/>
      <c r="T541" s="474"/>
      <c r="V541" s="455"/>
      <c r="W541" s="455"/>
      <c r="AD541" s="455"/>
    </row>
    <row r="542" spans="5:30" ht="14.25" customHeight="1">
      <c r="E542" s="455"/>
      <c r="F542" s="900" t="s">
        <v>496</v>
      </c>
      <c r="G542" s="569">
        <v>40924</v>
      </c>
      <c r="H542" s="567">
        <v>5500</v>
      </c>
      <c r="I542" s="567">
        <v>22077.654545454545</v>
      </c>
      <c r="J542" s="570">
        <v>121427100</v>
      </c>
      <c r="K542" s="471"/>
      <c r="M542" s="474"/>
      <c r="N542" s="474"/>
      <c r="O542" s="474"/>
      <c r="P542" s="455"/>
      <c r="Q542" s="474"/>
      <c r="R542" s="474"/>
      <c r="T542" s="474"/>
      <c r="V542" s="455"/>
      <c r="W542" s="455"/>
      <c r="AD542" s="455"/>
    </row>
    <row r="543" spans="5:30" ht="14.25" customHeight="1">
      <c r="E543" s="455"/>
      <c r="F543" s="900" t="s">
        <v>496</v>
      </c>
      <c r="G543" s="571">
        <v>40921</v>
      </c>
      <c r="H543" s="563">
        <v>2625</v>
      </c>
      <c r="I543" s="563">
        <v>22510.295238095237</v>
      </c>
      <c r="J543" s="572">
        <v>59089525</v>
      </c>
      <c r="K543" s="471"/>
      <c r="M543" s="474"/>
      <c r="N543" s="474"/>
      <c r="O543" s="474"/>
      <c r="P543" s="455"/>
      <c r="Q543" s="474"/>
      <c r="R543" s="474"/>
      <c r="T543" s="474"/>
      <c r="V543" s="455"/>
      <c r="W543" s="455"/>
      <c r="AD543" s="455"/>
    </row>
    <row r="544" spans="5:30" ht="14.25" customHeight="1">
      <c r="E544" s="455"/>
      <c r="F544" s="574"/>
      <c r="G544" s="753"/>
      <c r="H544" s="752"/>
      <c r="I544" s="637" t="s">
        <v>1245</v>
      </c>
      <c r="J544" s="637">
        <v>8018257061</v>
      </c>
      <c r="K544" s="887">
        <v>-2499950000</v>
      </c>
      <c r="M544" s="474"/>
      <c r="N544" s="474"/>
      <c r="O544" s="474"/>
      <c r="P544" s="455"/>
      <c r="Q544" s="474"/>
      <c r="R544" s="474"/>
      <c r="T544" s="474"/>
      <c r="V544" s="455"/>
      <c r="W544" s="455"/>
      <c r="AD544" s="455"/>
    </row>
    <row r="545" spans="5:30" ht="14.25" customHeight="1">
      <c r="E545" s="455"/>
      <c r="F545" s="574"/>
      <c r="G545" s="753"/>
      <c r="H545" s="752"/>
      <c r="I545" s="637" t="s">
        <v>1242</v>
      </c>
      <c r="J545" s="888">
        <v>0.33988502621650696</v>
      </c>
      <c r="K545" s="752"/>
      <c r="M545" s="474"/>
      <c r="N545" s="474"/>
      <c r="O545" s="474"/>
      <c r="P545" s="455"/>
      <c r="Q545" s="474"/>
      <c r="R545" s="474"/>
      <c r="T545" s="474"/>
      <c r="V545" s="455"/>
      <c r="W545" s="455"/>
      <c r="AD545" s="455"/>
    </row>
    <row r="546" spans="5:30" ht="14.25" customHeight="1">
      <c r="E546" s="455"/>
      <c r="F546" s="574"/>
      <c r="G546" s="753"/>
      <c r="H546" s="752"/>
      <c r="I546" s="637" t="s">
        <v>1236</v>
      </c>
      <c r="J546" s="888">
        <v>3.2073669717394346</v>
      </c>
      <c r="K546" s="887">
        <v>-9124817500</v>
      </c>
      <c r="M546" s="474"/>
      <c r="N546" s="474"/>
      <c r="O546" s="474"/>
      <c r="P546" s="455"/>
      <c r="Q546" s="474"/>
      <c r="R546" s="474"/>
      <c r="T546" s="474"/>
      <c r="V546" s="455"/>
      <c r="W546" s="455"/>
      <c r="AD546" s="455"/>
    </row>
    <row r="547" spans="5:30" ht="14.25" customHeight="1">
      <c r="E547" s="455"/>
      <c r="F547" s="574"/>
      <c r="G547" s="753"/>
      <c r="H547" s="637" t="s">
        <v>1224</v>
      </c>
      <c r="I547" s="607" t="s">
        <v>1246</v>
      </c>
      <c r="J547" s="607">
        <v>10518207061</v>
      </c>
      <c r="K547" s="752"/>
      <c r="M547" s="474"/>
      <c r="N547" s="474"/>
      <c r="O547" s="474"/>
      <c r="P547" s="455"/>
      <c r="Q547" s="474"/>
      <c r="R547" s="474"/>
      <c r="T547" s="474"/>
      <c r="V547" s="455"/>
      <c r="W547" s="455"/>
      <c r="AD547" s="455"/>
    </row>
    <row r="548" spans="5:30" ht="14.25" customHeight="1">
      <c r="E548" s="455"/>
      <c r="F548" s="574"/>
      <c r="G548" s="753"/>
      <c r="H548" s="752"/>
      <c r="I548" s="607" t="s">
        <v>1247</v>
      </c>
      <c r="J548" s="607">
        <v>675051</v>
      </c>
      <c r="K548" s="752"/>
      <c r="M548" s="474"/>
      <c r="N548" s="474"/>
      <c r="O548" s="474"/>
      <c r="P548" s="455"/>
      <c r="Q548" s="474"/>
      <c r="R548" s="474"/>
      <c r="T548" s="474"/>
      <c r="V548" s="455"/>
      <c r="W548" s="455"/>
      <c r="AD548" s="455"/>
    </row>
    <row r="549" spans="5:30" ht="14.25" customHeight="1">
      <c r="E549" s="455"/>
      <c r="F549" s="574"/>
      <c r="G549" s="753"/>
      <c r="H549" s="752"/>
      <c r="I549" s="607" t="s">
        <v>1248</v>
      </c>
      <c r="J549" s="498">
        <v>15581.35172157363</v>
      </c>
      <c r="K549" s="752"/>
      <c r="M549" s="474"/>
      <c r="N549" s="474"/>
      <c r="O549" s="474"/>
      <c r="P549" s="455"/>
      <c r="Q549" s="474"/>
      <c r="R549" s="474"/>
      <c r="T549" s="474"/>
      <c r="V549" s="455"/>
      <c r="W549" s="455"/>
      <c r="AD549" s="455"/>
    </row>
    <row r="550" spans="5:30" ht="14.25" customHeight="1">
      <c r="E550" s="455"/>
      <c r="F550" s="574"/>
      <c r="G550" s="753"/>
      <c r="H550" s="752"/>
      <c r="I550" s="752"/>
      <c r="J550" s="637">
        <v>12150918000</v>
      </c>
      <c r="K550" s="752"/>
      <c r="M550" s="474"/>
      <c r="N550" s="474"/>
      <c r="O550" s="474"/>
      <c r="P550" s="455"/>
      <c r="Q550" s="474"/>
      <c r="R550" s="474"/>
      <c r="T550" s="474"/>
      <c r="V550" s="455"/>
      <c r="W550" s="455"/>
      <c r="AD550" s="455"/>
    </row>
    <row r="551" spans="5:30" ht="14.25" customHeight="1">
      <c r="E551" s="455"/>
      <c r="G551" s="740"/>
      <c r="J551" s="635"/>
      <c r="K551" s="540"/>
      <c r="M551" s="474"/>
      <c r="N551" s="474"/>
      <c r="O551" s="474"/>
      <c r="P551" s="455"/>
      <c r="Q551" s="474"/>
      <c r="R551" s="474"/>
      <c r="T551" s="474"/>
      <c r="V551" s="455"/>
      <c r="W551" s="455"/>
      <c r="AD551" s="455"/>
    </row>
    <row r="552" spans="5:30" ht="14.25" customHeight="1">
      <c r="E552" s="455"/>
      <c r="F552" s="574"/>
      <c r="G552" s="753"/>
      <c r="H552" s="637" t="s">
        <v>1249</v>
      </c>
      <c r="I552" s="752"/>
      <c r="J552" s="752"/>
      <c r="K552" s="752"/>
      <c r="M552" s="474"/>
      <c r="N552" s="474"/>
      <c r="O552" s="474"/>
      <c r="P552" s="455"/>
      <c r="Q552" s="474"/>
      <c r="R552" s="474"/>
      <c r="T552" s="474"/>
      <c r="V552" s="455"/>
      <c r="W552" s="455"/>
      <c r="AD552" s="455"/>
    </row>
    <row r="553" spans="5:30" ht="14.25" customHeight="1">
      <c r="E553" s="455"/>
      <c r="G553" s="626"/>
      <c r="H553" s="662"/>
      <c r="J553" s="635"/>
      <c r="K553" s="540"/>
      <c r="M553" s="474"/>
      <c r="N553" s="474"/>
      <c r="O553" s="474"/>
      <c r="P553" s="455"/>
      <c r="Q553" s="474"/>
      <c r="R553" s="474"/>
      <c r="T553" s="474"/>
      <c r="V553" s="455"/>
      <c r="W553" s="455"/>
      <c r="AD553" s="455"/>
    </row>
    <row r="554" spans="5:30" ht="14.25" customHeight="1" thickBot="1">
      <c r="E554" s="455"/>
      <c r="G554" s="740"/>
      <c r="K554" s="541"/>
      <c r="M554" s="474"/>
      <c r="N554" s="474"/>
      <c r="O554" s="474"/>
      <c r="P554" s="455"/>
      <c r="Q554" s="474"/>
      <c r="R554" s="474"/>
      <c r="T554" s="474"/>
      <c r="V554" s="455"/>
      <c r="W554" s="455"/>
      <c r="AD554" s="455"/>
    </row>
    <row r="555" spans="5:30" ht="14.25" customHeight="1">
      <c r="E555" s="455"/>
      <c r="F555" s="757" t="s">
        <v>1128</v>
      </c>
      <c r="G555" s="628">
        <v>40525</v>
      </c>
      <c r="H555" s="610">
        <v>344590</v>
      </c>
      <c r="I555" s="610">
        <v>6300</v>
      </c>
      <c r="J555" s="634">
        <v>-2170917000</v>
      </c>
      <c r="K555" s="634">
        <v>-2170917000</v>
      </c>
      <c r="M555" s="474"/>
      <c r="N555" s="474"/>
      <c r="O555" s="474"/>
      <c r="P555" s="455"/>
      <c r="Q555" s="474"/>
      <c r="R555" s="474"/>
      <c r="T555" s="474"/>
      <c r="V555" s="455"/>
      <c r="W555" s="455"/>
      <c r="AD555" s="455"/>
    </row>
    <row r="556" spans="5:30" ht="14.25" customHeight="1">
      <c r="E556" s="455"/>
      <c r="F556" s="574"/>
      <c r="G556" s="536">
        <v>40857</v>
      </c>
      <c r="H556" s="634">
        <v>12440</v>
      </c>
      <c r="I556" s="634">
        <v>17093.547025723474</v>
      </c>
      <c r="J556" s="634">
        <v>212643725</v>
      </c>
      <c r="K556" s="540">
        <v>213412000</v>
      </c>
      <c r="M556" s="474"/>
      <c r="N556" s="474"/>
      <c r="O556" s="474"/>
      <c r="P556" s="455"/>
      <c r="Q556" s="474"/>
      <c r="R556" s="474"/>
      <c r="T556" s="474"/>
      <c r="V556" s="455"/>
      <c r="W556" s="455"/>
      <c r="AD556" s="455"/>
    </row>
    <row r="557" spans="5:30" ht="14.25" customHeight="1">
      <c r="E557" s="455"/>
      <c r="F557" s="574"/>
      <c r="G557" s="740">
        <v>40889</v>
      </c>
      <c r="H557" s="637">
        <v>100000</v>
      </c>
      <c r="I557" s="637">
        <v>17417.072</v>
      </c>
      <c r="J557" s="635">
        <v>1741707200</v>
      </c>
      <c r="K557" s="540">
        <v>1748000000</v>
      </c>
      <c r="M557" s="474"/>
      <c r="N557" s="474"/>
      <c r="O557" s="474"/>
      <c r="P557" s="455"/>
      <c r="Q557" s="474"/>
      <c r="R557" s="474"/>
      <c r="T557" s="474"/>
      <c r="V557" s="455"/>
      <c r="W557" s="455"/>
      <c r="AD557" s="455"/>
    </row>
    <row r="558" spans="5:30" ht="14.25" customHeight="1">
      <c r="E558" s="455"/>
      <c r="F558" s="574"/>
      <c r="G558" s="740">
        <v>40890</v>
      </c>
      <c r="H558" s="637">
        <v>100000</v>
      </c>
      <c r="I558" s="637">
        <v>17634.509999999998</v>
      </c>
      <c r="J558" s="635">
        <v>1763451000</v>
      </c>
      <c r="K558" s="540">
        <v>1770000000</v>
      </c>
      <c r="M558" s="474"/>
      <c r="N558" s="474"/>
      <c r="O558" s="474"/>
      <c r="P558" s="455"/>
      <c r="Q558" s="474"/>
      <c r="R558" s="474"/>
      <c r="T558" s="474"/>
      <c r="V558" s="455"/>
      <c r="W558" s="455"/>
      <c r="AD558" s="455"/>
    </row>
    <row r="559" spans="5:30" ht="14.25" customHeight="1">
      <c r="E559" s="455"/>
      <c r="F559" s="574"/>
      <c r="G559" s="740">
        <v>40890</v>
      </c>
      <c r="H559" s="637">
        <v>2000</v>
      </c>
      <c r="I559" s="637">
        <v>19429.8</v>
      </c>
      <c r="J559" s="635">
        <v>38859600</v>
      </c>
      <c r="K559" s="540">
        <v>39000000</v>
      </c>
      <c r="M559" s="474"/>
      <c r="N559" s="474"/>
      <c r="O559" s="474"/>
      <c r="P559" s="455"/>
      <c r="Q559" s="474"/>
      <c r="R559" s="474"/>
      <c r="T559" s="474"/>
      <c r="V559" s="455"/>
      <c r="W559" s="455"/>
      <c r="AD559" s="455"/>
    </row>
    <row r="560" spans="5:30" ht="14.25" customHeight="1">
      <c r="E560" s="455"/>
      <c r="F560" s="574"/>
      <c r="G560" s="740">
        <v>40903</v>
      </c>
      <c r="H560" s="637">
        <v>3200</v>
      </c>
      <c r="I560" s="637">
        <v>17636.2853125</v>
      </c>
      <c r="J560" s="635">
        <v>56436113</v>
      </c>
      <c r="K560" s="540">
        <v>56640000</v>
      </c>
      <c r="M560" s="474"/>
      <c r="N560" s="474"/>
      <c r="O560" s="474"/>
      <c r="P560" s="455"/>
      <c r="Q560" s="474"/>
      <c r="R560" s="474"/>
      <c r="T560" s="474"/>
      <c r="V560" s="455"/>
      <c r="W560" s="455"/>
      <c r="AD560" s="455"/>
    </row>
    <row r="561" spans="5:30" ht="14.25" customHeight="1">
      <c r="E561" s="455"/>
      <c r="F561" s="574"/>
      <c r="G561" s="626">
        <v>40905</v>
      </c>
      <c r="H561" s="662">
        <v>7000</v>
      </c>
      <c r="I561" s="637">
        <v>17004.284857142859</v>
      </c>
      <c r="J561" s="635">
        <v>119029994</v>
      </c>
      <c r="K561" s="540">
        <v>119460000</v>
      </c>
      <c r="M561" s="474"/>
      <c r="N561" s="474"/>
      <c r="O561" s="474"/>
      <c r="P561" s="455"/>
      <c r="Q561" s="474"/>
      <c r="R561" s="474"/>
      <c r="T561" s="474"/>
      <c r="V561" s="455"/>
      <c r="W561" s="455"/>
      <c r="AD561" s="455"/>
    </row>
    <row r="562" spans="5:30" ht="14.25" customHeight="1" thickBot="1">
      <c r="E562" s="455"/>
      <c r="F562" s="574"/>
      <c r="G562" s="740">
        <v>40906</v>
      </c>
      <c r="H562" s="637">
        <v>6595</v>
      </c>
      <c r="I562" s="637">
        <v>17631.48779378317</v>
      </c>
      <c r="J562" s="637">
        <v>116279662</v>
      </c>
      <c r="K562" s="541">
        <v>116699750</v>
      </c>
      <c r="M562" s="474"/>
      <c r="N562" s="474"/>
      <c r="O562" s="474"/>
      <c r="P562" s="455"/>
      <c r="Q562" s="474"/>
      <c r="R562" s="474"/>
      <c r="T562" s="474"/>
      <c r="V562" s="455"/>
      <c r="W562" s="455"/>
      <c r="AD562" s="455"/>
    </row>
    <row r="563" spans="5:30" ht="14.25" customHeight="1">
      <c r="E563" s="455"/>
      <c r="F563" s="574"/>
      <c r="G563" s="620">
        <v>40910</v>
      </c>
      <c r="H563" s="635">
        <v>11000</v>
      </c>
      <c r="I563" s="637">
        <v>18365.464090909092</v>
      </c>
      <c r="J563" s="635">
        <v>202020105</v>
      </c>
      <c r="K563" s="542">
        <v>202750000</v>
      </c>
      <c r="M563" s="474"/>
      <c r="N563" s="474"/>
      <c r="O563" s="474"/>
      <c r="P563" s="455"/>
      <c r="Q563" s="474"/>
      <c r="R563" s="474"/>
      <c r="T563" s="474"/>
      <c r="V563" s="455"/>
      <c r="W563" s="455"/>
      <c r="AD563" s="455"/>
    </row>
    <row r="564" spans="5:30" ht="14.25" customHeight="1">
      <c r="E564" s="455"/>
      <c r="F564" s="574"/>
      <c r="G564" s="620">
        <v>40911</v>
      </c>
      <c r="H564" s="635">
        <v>11000</v>
      </c>
      <c r="I564" s="637">
        <v>17977.436272727271</v>
      </c>
      <c r="J564" s="635">
        <v>197751799</v>
      </c>
      <c r="K564" s="540">
        <v>198466250</v>
      </c>
      <c r="M564" s="474"/>
      <c r="N564" s="474"/>
      <c r="O564" s="474"/>
      <c r="P564" s="455"/>
      <c r="Q564" s="474"/>
      <c r="R564" s="474"/>
      <c r="T564" s="474"/>
      <c r="V564" s="455"/>
      <c r="W564" s="455"/>
      <c r="AD564" s="455"/>
    </row>
    <row r="565" spans="5:30" ht="14.25" customHeight="1">
      <c r="E565" s="455"/>
      <c r="F565" s="574"/>
      <c r="G565" s="620">
        <v>40912</v>
      </c>
      <c r="H565" s="635">
        <v>7450</v>
      </c>
      <c r="I565" s="637">
        <v>18042.854362416107</v>
      </c>
      <c r="J565" s="635">
        <v>134419265</v>
      </c>
      <c r="K565" s="540">
        <v>134904900</v>
      </c>
      <c r="M565" s="474"/>
      <c r="N565" s="474"/>
      <c r="O565" s="474"/>
      <c r="P565" s="455"/>
      <c r="Q565" s="474"/>
      <c r="R565" s="474"/>
      <c r="T565" s="474"/>
      <c r="V565" s="455"/>
      <c r="W565" s="455"/>
      <c r="AD565" s="455"/>
    </row>
    <row r="566" spans="5:30" ht="14.25" customHeight="1">
      <c r="E566" s="455"/>
      <c r="F566" s="574"/>
      <c r="G566" s="620">
        <v>40913</v>
      </c>
      <c r="H566" s="635">
        <v>6000</v>
      </c>
      <c r="I566" s="637">
        <v>17726.340666666667</v>
      </c>
      <c r="J566" s="635">
        <v>106358044</v>
      </c>
      <c r="K566" s="540">
        <v>106742300</v>
      </c>
      <c r="M566" s="474"/>
      <c r="N566" s="474"/>
      <c r="O566" s="474"/>
      <c r="P566" s="455"/>
      <c r="Q566" s="474"/>
      <c r="R566" s="474"/>
      <c r="T566" s="474"/>
      <c r="V566" s="455"/>
      <c r="W566" s="455"/>
      <c r="AD566" s="455"/>
    </row>
    <row r="567" spans="5:30" ht="14.25" customHeight="1">
      <c r="E567" s="455"/>
      <c r="F567" s="574"/>
      <c r="G567" s="620">
        <v>40914</v>
      </c>
      <c r="H567" s="635">
        <v>3800</v>
      </c>
      <c r="I567" s="637">
        <v>17324.250526315791</v>
      </c>
      <c r="J567" s="635">
        <v>65832152</v>
      </c>
      <c r="K567" s="540">
        <v>66070000</v>
      </c>
      <c r="M567" s="474"/>
      <c r="N567" s="474"/>
      <c r="O567" s="474"/>
      <c r="P567" s="455"/>
      <c r="Q567" s="474"/>
      <c r="R567" s="474"/>
      <c r="T567" s="474"/>
      <c r="V567" s="455"/>
      <c r="W567" s="455"/>
      <c r="AD567" s="455"/>
    </row>
    <row r="568" spans="5:30" ht="14.25" customHeight="1">
      <c r="E568" s="455"/>
      <c r="F568" s="574"/>
      <c r="G568" s="620">
        <v>40917</v>
      </c>
      <c r="H568" s="635">
        <v>6000</v>
      </c>
      <c r="I568" s="637">
        <v>17528.344666666668</v>
      </c>
      <c r="J568" s="635">
        <v>105170068</v>
      </c>
      <c r="K568" s="540">
        <v>105550000</v>
      </c>
      <c r="M568" s="474"/>
      <c r="N568" s="474"/>
      <c r="O568" s="474"/>
      <c r="P568" s="455"/>
      <c r="Q568" s="474"/>
      <c r="R568" s="474"/>
      <c r="T568" s="474"/>
      <c r="V568" s="455"/>
      <c r="W568" s="455"/>
      <c r="AD568" s="455"/>
    </row>
    <row r="569" spans="5:30" ht="14.25" customHeight="1">
      <c r="E569" s="455"/>
      <c r="F569" s="574"/>
      <c r="G569" s="620">
        <v>40918</v>
      </c>
      <c r="H569" s="635">
        <v>5800</v>
      </c>
      <c r="I569" s="637">
        <v>17358.510689655173</v>
      </c>
      <c r="J569" s="635">
        <v>100679362</v>
      </c>
      <c r="K569" s="540">
        <v>101043100</v>
      </c>
      <c r="M569" s="474"/>
      <c r="N569" s="474"/>
      <c r="O569" s="474"/>
      <c r="P569" s="455"/>
      <c r="Q569" s="474"/>
      <c r="R569" s="474"/>
      <c r="T569" s="474"/>
      <c r="V569" s="455"/>
      <c r="W569" s="455"/>
      <c r="AD569" s="455"/>
    </row>
    <row r="570" spans="5:30" ht="14.25" customHeight="1">
      <c r="E570" s="455"/>
      <c r="F570" s="574"/>
      <c r="G570" s="620">
        <v>40919</v>
      </c>
      <c r="H570" s="635">
        <v>14050</v>
      </c>
      <c r="I570" s="637">
        <v>17031.722633451958</v>
      </c>
      <c r="J570" s="635">
        <v>239295703</v>
      </c>
      <c r="K570" s="540">
        <v>240160250</v>
      </c>
      <c r="M570" s="474"/>
      <c r="N570" s="474"/>
      <c r="O570" s="474"/>
      <c r="P570" s="455"/>
      <c r="Q570" s="474"/>
      <c r="R570" s="474"/>
      <c r="T570" s="474"/>
      <c r="V570" s="455"/>
      <c r="W570" s="455"/>
      <c r="AD570" s="455"/>
    </row>
    <row r="571" spans="5:30" ht="14.25" customHeight="1">
      <c r="E571" s="455"/>
      <c r="F571" s="574"/>
      <c r="G571" s="620">
        <v>40920</v>
      </c>
      <c r="H571" s="635">
        <v>13255</v>
      </c>
      <c r="I571" s="637">
        <v>17240.292644285175</v>
      </c>
      <c r="J571" s="635">
        <v>228520079</v>
      </c>
      <c r="K571" s="540">
        <v>229345700</v>
      </c>
      <c r="M571" s="474"/>
      <c r="N571" s="474"/>
      <c r="O571" s="474"/>
      <c r="P571" s="455"/>
      <c r="Q571" s="474"/>
      <c r="R571" s="474"/>
      <c r="T571" s="474"/>
      <c r="V571" s="455"/>
      <c r="W571" s="455"/>
      <c r="AD571" s="455"/>
    </row>
    <row r="572" spans="5:30" ht="14.25" customHeight="1">
      <c r="E572" s="455"/>
      <c r="F572" s="574"/>
      <c r="G572" s="673">
        <v>40921</v>
      </c>
      <c r="H572" s="647">
        <v>9186</v>
      </c>
      <c r="I572" s="669">
        <v>17582.896146309602</v>
      </c>
      <c r="J572" s="647">
        <v>161516484</v>
      </c>
      <c r="K572" s="540">
        <v>162100000</v>
      </c>
      <c r="M572" s="474"/>
      <c r="N572" s="474"/>
      <c r="O572" s="474"/>
      <c r="P572" s="455"/>
      <c r="Q572" s="474"/>
      <c r="R572" s="474"/>
      <c r="T572" s="474"/>
      <c r="V572" s="455"/>
      <c r="W572" s="455"/>
      <c r="AD572" s="455"/>
    </row>
    <row r="573" spans="5:30" ht="14.25" customHeight="1">
      <c r="E573" s="455"/>
      <c r="F573" s="574"/>
      <c r="G573" s="673">
        <v>40924</v>
      </c>
      <c r="H573" s="647">
        <v>11347</v>
      </c>
      <c r="I573" s="669">
        <v>17948.794394994271</v>
      </c>
      <c r="J573" s="647">
        <v>203664970</v>
      </c>
      <c r="K573" s="540">
        <v>204400700</v>
      </c>
      <c r="M573" s="474"/>
      <c r="N573" s="474"/>
      <c r="O573" s="474"/>
      <c r="P573" s="455"/>
      <c r="Q573" s="474"/>
      <c r="R573" s="474"/>
      <c r="T573" s="474"/>
      <c r="V573" s="455"/>
      <c r="W573" s="455"/>
      <c r="AD573" s="455"/>
    </row>
    <row r="574" spans="5:30" ht="14.25" customHeight="1">
      <c r="E574" s="455"/>
      <c r="F574" s="574"/>
      <c r="G574" s="673">
        <v>40925</v>
      </c>
      <c r="H574" s="647">
        <v>14467</v>
      </c>
      <c r="I574" s="669">
        <v>18135.389991014032</v>
      </c>
      <c r="J574" s="647">
        <v>262364687</v>
      </c>
      <c r="K574" s="540">
        <v>263312600</v>
      </c>
      <c r="M574" s="474"/>
      <c r="N574" s="474"/>
      <c r="O574" s="474"/>
      <c r="P574" s="455"/>
      <c r="Q574" s="474"/>
      <c r="R574" s="474"/>
      <c r="T574" s="474"/>
      <c r="V574" s="455"/>
      <c r="W574" s="455"/>
      <c r="AD574" s="455"/>
    </row>
    <row r="575" spans="5:30" ht="14.25" customHeight="1">
      <c r="E575" s="455"/>
      <c r="F575" s="574"/>
      <c r="G575" s="632">
        <v>41011</v>
      </c>
      <c r="H575" s="614"/>
      <c r="I575" s="614"/>
      <c r="J575" s="614">
        <v>5667750</v>
      </c>
      <c r="K575" s="636">
        <v>5667750</v>
      </c>
      <c r="M575" s="474"/>
      <c r="N575" s="474"/>
      <c r="O575" s="474"/>
      <c r="P575" s="455"/>
      <c r="Q575" s="474"/>
      <c r="R575" s="474"/>
      <c r="T575" s="474"/>
      <c r="V575" s="455"/>
      <c r="W575" s="455"/>
      <c r="AD575" s="455"/>
    </row>
    <row r="576" spans="5:30" ht="14.25" customHeight="1">
      <c r="E576" s="455"/>
      <c r="F576" s="574"/>
      <c r="G576" s="753"/>
      <c r="H576" s="752"/>
      <c r="I576" s="752"/>
      <c r="J576" s="901">
        <v>1.7296330094337464</v>
      </c>
      <c r="K576" s="888">
        <v>1.7393593907356266</v>
      </c>
      <c r="M576" s="474"/>
      <c r="N576" s="474"/>
      <c r="O576" s="474"/>
      <c r="P576" s="455"/>
      <c r="Q576" s="474"/>
      <c r="R576" s="474"/>
      <c r="T576" s="474"/>
      <c r="V576" s="455"/>
      <c r="W576" s="455"/>
      <c r="AD576" s="455"/>
    </row>
    <row r="577" spans="5:30" ht="14.25" customHeight="1">
      <c r="E577" s="455"/>
      <c r="G577" s="606"/>
      <c r="H577" s="614"/>
      <c r="I577" s="614"/>
      <c r="J577" s="614"/>
      <c r="M577" s="474"/>
      <c r="N577" s="474"/>
      <c r="O577" s="474"/>
      <c r="P577" s="455"/>
      <c r="Q577" s="474"/>
      <c r="R577" s="474"/>
      <c r="T577" s="474"/>
      <c r="V577" s="455"/>
      <c r="W577" s="455"/>
      <c r="AD577" s="455"/>
    </row>
    <row r="578" spans="5:30" ht="14.25" customHeight="1">
      <c r="E578" s="455"/>
      <c r="F578" s="757" t="s">
        <v>291</v>
      </c>
      <c r="G578" s="605">
        <v>38481</v>
      </c>
      <c r="H578" s="610">
        <v>421050</v>
      </c>
      <c r="I578" s="610">
        <v>-4750</v>
      </c>
      <c r="J578" s="610">
        <v>-1999987500</v>
      </c>
      <c r="K578" s="752"/>
      <c r="M578" s="474"/>
      <c r="N578" s="474"/>
      <c r="O578" s="474"/>
      <c r="P578" s="455"/>
      <c r="Q578" s="474"/>
      <c r="R578" s="474"/>
      <c r="T578" s="474"/>
      <c r="V578" s="455"/>
      <c r="W578" s="455"/>
      <c r="AD578" s="455"/>
    </row>
    <row r="579" spans="5:30" ht="14.25" customHeight="1">
      <c r="E579" s="455"/>
      <c r="F579" s="574"/>
      <c r="G579" s="605">
        <v>38989</v>
      </c>
      <c r="H579" s="610">
        <v>66000</v>
      </c>
      <c r="I579" s="610">
        <v>9788.7933333333331</v>
      </c>
      <c r="J579" s="610">
        <v>646060360</v>
      </c>
      <c r="K579" s="752"/>
      <c r="M579" s="474"/>
      <c r="N579" s="474"/>
      <c r="O579" s="474"/>
      <c r="P579" s="455"/>
      <c r="Q579" s="474"/>
      <c r="R579" s="474"/>
      <c r="T579" s="474"/>
      <c r="V579" s="455"/>
      <c r="W579" s="455"/>
      <c r="AD579" s="455"/>
    </row>
    <row r="580" spans="5:30" ht="14.25" customHeight="1">
      <c r="E580" s="455"/>
      <c r="F580" s="574"/>
      <c r="G580" s="627">
        <v>39052</v>
      </c>
      <c r="H580" s="657">
        <v>200000</v>
      </c>
      <c r="I580" s="657">
        <v>8000</v>
      </c>
      <c r="J580" s="657">
        <v>1600000000</v>
      </c>
      <c r="K580" s="752"/>
      <c r="M580" s="474"/>
      <c r="N580" s="474"/>
      <c r="O580" s="474"/>
      <c r="P580" s="455"/>
      <c r="Q580" s="474"/>
      <c r="R580" s="474"/>
      <c r="T580" s="474"/>
      <c r="V580" s="455"/>
      <c r="W580" s="455"/>
      <c r="AD580" s="455"/>
    </row>
    <row r="581" spans="5:30" ht="14.25" customHeight="1">
      <c r="E581" s="455"/>
      <c r="F581" s="574"/>
      <c r="G581" s="627">
        <v>39160</v>
      </c>
      <c r="H581" s="657">
        <v>63491</v>
      </c>
      <c r="I581" s="657">
        <v>8142.2333874092392</v>
      </c>
      <c r="J581" s="657">
        <v>516958540</v>
      </c>
      <c r="K581" s="752"/>
      <c r="M581" s="474"/>
      <c r="N581" s="474"/>
      <c r="O581" s="474"/>
      <c r="P581" s="455"/>
      <c r="Q581" s="474"/>
      <c r="R581" s="474"/>
      <c r="T581" s="474"/>
      <c r="V581" s="455"/>
      <c r="W581" s="455"/>
      <c r="AD581" s="455"/>
    </row>
    <row r="582" spans="5:30" ht="14.25" customHeight="1">
      <c r="E582" s="455"/>
      <c r="F582" s="574"/>
      <c r="G582" s="627">
        <v>39161</v>
      </c>
      <c r="H582" s="657">
        <v>20326</v>
      </c>
      <c r="I582" s="657">
        <v>8156.178785791597</v>
      </c>
      <c r="J582" s="657">
        <v>165782490</v>
      </c>
      <c r="K582" s="752"/>
      <c r="P582" s="455"/>
      <c r="Q582" s="474"/>
      <c r="R582" s="474"/>
      <c r="T582" s="474"/>
      <c r="V582" s="455"/>
      <c r="W582" s="455"/>
      <c r="AD582" s="455"/>
    </row>
    <row r="583" spans="5:30" ht="14.25" customHeight="1">
      <c r="E583" s="455"/>
      <c r="F583" s="574"/>
      <c r="G583" s="627">
        <v>39162</v>
      </c>
      <c r="H583" s="657">
        <v>11846</v>
      </c>
      <c r="I583" s="657">
        <v>8053.2399122066518</v>
      </c>
      <c r="J583" s="657">
        <v>95398680</v>
      </c>
      <c r="K583" s="752"/>
      <c r="P583" s="455"/>
      <c r="Q583" s="474"/>
      <c r="R583" s="474"/>
      <c r="T583" s="474"/>
      <c r="V583" s="455"/>
      <c r="W583" s="455"/>
      <c r="AD583" s="455"/>
    </row>
    <row r="584" spans="5:30" ht="14.25" customHeight="1">
      <c r="E584" s="455"/>
      <c r="F584" s="574"/>
      <c r="G584" s="627">
        <v>39163</v>
      </c>
      <c r="H584" s="657">
        <v>39387</v>
      </c>
      <c r="I584" s="657">
        <v>8175.0539518115111</v>
      </c>
      <c r="J584" s="657">
        <v>321990850</v>
      </c>
      <c r="K584" s="752"/>
      <c r="P584" s="455"/>
      <c r="Q584" s="474"/>
      <c r="R584" s="474"/>
      <c r="T584" s="474"/>
      <c r="V584" s="455"/>
      <c r="W584" s="455"/>
      <c r="AD584" s="455"/>
    </row>
    <row r="585" spans="5:30" ht="14.25" customHeight="1">
      <c r="E585" s="455"/>
      <c r="F585" s="574"/>
      <c r="G585" s="606">
        <v>39164</v>
      </c>
      <c r="H585" s="614">
        <v>20000</v>
      </c>
      <c r="I585" s="614">
        <v>8239.4349999999995</v>
      </c>
      <c r="J585" s="614">
        <v>164788700</v>
      </c>
      <c r="K585" s="752"/>
      <c r="P585" s="455"/>
      <c r="Q585" s="474"/>
      <c r="R585" s="474"/>
      <c r="T585" s="474"/>
      <c r="V585" s="455"/>
      <c r="W585" s="455"/>
      <c r="AD585" s="455"/>
    </row>
    <row r="586" spans="5:30" ht="14.25" customHeight="1">
      <c r="E586" s="455"/>
      <c r="F586" s="574"/>
      <c r="G586" s="753"/>
      <c r="H586" s="752"/>
      <c r="I586" s="752"/>
      <c r="J586" s="888">
        <v>0.41077045798301703</v>
      </c>
      <c r="K586" s="752"/>
      <c r="P586" s="455"/>
      <c r="Q586" s="474"/>
      <c r="R586" s="474"/>
      <c r="T586" s="474"/>
      <c r="V586" s="455"/>
      <c r="W586" s="455"/>
      <c r="AD586" s="455"/>
    </row>
    <row r="587" spans="5:30" ht="14.25" customHeight="1">
      <c r="E587" s="455"/>
      <c r="F587" s="757" t="s">
        <v>288</v>
      </c>
      <c r="G587" s="605">
        <v>38345</v>
      </c>
      <c r="H587" s="610">
        <v>13941</v>
      </c>
      <c r="I587" s="610">
        <v>-75000</v>
      </c>
      <c r="J587" s="610">
        <v>-1045575000</v>
      </c>
      <c r="K587" s="612" t="s">
        <v>499</v>
      </c>
      <c r="P587" s="455"/>
      <c r="Q587" s="474"/>
      <c r="R587" s="474"/>
      <c r="T587" s="474"/>
      <c r="V587" s="455"/>
      <c r="W587" s="455"/>
      <c r="AD587" s="455"/>
    </row>
    <row r="588" spans="5:30" ht="14.25" customHeight="1">
      <c r="E588" s="455"/>
      <c r="F588" s="506" t="s">
        <v>288</v>
      </c>
      <c r="G588" s="445">
        <v>39189</v>
      </c>
      <c r="H588" s="610">
        <v>13941</v>
      </c>
      <c r="I588" s="610">
        <v>117497.79233914353</v>
      </c>
      <c r="J588" s="610">
        <v>881600000</v>
      </c>
      <c r="K588" s="650"/>
      <c r="P588" s="455"/>
      <c r="Q588" s="474"/>
      <c r="R588" s="474"/>
      <c r="T588" s="474"/>
      <c r="V588" s="455"/>
      <c r="W588" s="455"/>
      <c r="AD588" s="455"/>
    </row>
    <row r="589" spans="5:30" ht="14.25" customHeight="1">
      <c r="E589" s="455"/>
      <c r="F589" s="807" t="s">
        <v>288</v>
      </c>
      <c r="G589" s="440">
        <v>39199</v>
      </c>
      <c r="H589" s="657">
        <v>0</v>
      </c>
      <c r="I589" s="657"/>
      <c r="J589" s="657">
        <v>428431005</v>
      </c>
      <c r="K589" s="613"/>
      <c r="P589" s="455"/>
      <c r="Q589" s="474"/>
      <c r="R589" s="474"/>
      <c r="T589" s="474"/>
      <c r="V589" s="455"/>
      <c r="W589" s="455"/>
      <c r="AD589" s="455"/>
    </row>
    <row r="590" spans="5:30" ht="14.25" customHeight="1">
      <c r="E590" s="455"/>
      <c r="F590" s="574"/>
      <c r="G590" s="442">
        <v>39567</v>
      </c>
      <c r="H590" s="614">
        <v>0</v>
      </c>
      <c r="I590" s="614"/>
      <c r="J590" s="614">
        <v>328005718</v>
      </c>
      <c r="K590" s="752"/>
      <c r="P590" s="455"/>
      <c r="Q590" s="474"/>
      <c r="R590" s="474"/>
      <c r="T590" s="474"/>
      <c r="V590" s="455"/>
      <c r="W590" s="455"/>
      <c r="AD590" s="455"/>
    </row>
    <row r="591" spans="5:30" ht="14.25" customHeight="1">
      <c r="E591" s="455"/>
      <c r="F591" s="574"/>
      <c r="G591" s="753"/>
      <c r="H591" s="752"/>
      <c r="I591" s="752"/>
      <c r="J591" s="888">
        <v>0.19565183520317075</v>
      </c>
      <c r="K591" s="752"/>
      <c r="P591" s="455"/>
      <c r="Q591" s="474"/>
      <c r="R591" s="474"/>
      <c r="T591" s="474"/>
      <c r="V591" s="455"/>
      <c r="W591" s="455"/>
      <c r="AD591" s="455"/>
    </row>
    <row r="592" spans="5:30" ht="14.25" customHeight="1">
      <c r="E592" s="455"/>
      <c r="F592" s="902"/>
      <c r="H592" s="663"/>
      <c r="I592" s="648"/>
      <c r="J592" s="648"/>
      <c r="K592" s="648"/>
      <c r="P592" s="455"/>
      <c r="Q592" s="474"/>
      <c r="R592" s="474"/>
      <c r="T592" s="474"/>
      <c r="V592" s="455"/>
      <c r="W592" s="455"/>
      <c r="AD592" s="455"/>
    </row>
    <row r="593" spans="5:30" ht="14.25" customHeight="1">
      <c r="E593" s="455"/>
      <c r="H593" s="627"/>
      <c r="I593" s="657"/>
      <c r="J593" s="657"/>
      <c r="K593" s="657"/>
      <c r="L593" s="901"/>
      <c r="P593" s="455"/>
      <c r="Q593" s="474"/>
      <c r="R593" s="474"/>
      <c r="T593" s="474"/>
      <c r="V593" s="455"/>
      <c r="W593" s="455"/>
      <c r="AD593" s="455"/>
    </row>
    <row r="594" spans="5:30" ht="14.25" customHeight="1">
      <c r="E594" s="455"/>
      <c r="K594" s="903"/>
      <c r="P594" s="455"/>
      <c r="Q594" s="474"/>
      <c r="R594" s="474"/>
      <c r="T594" s="474"/>
      <c r="V594" s="455"/>
      <c r="W594" s="455"/>
      <c r="AD594" s="455"/>
    </row>
    <row r="595" spans="5:30" ht="14.25" customHeight="1">
      <c r="E595" s="455"/>
      <c r="P595" s="455"/>
      <c r="Q595" s="474"/>
      <c r="R595" s="474"/>
      <c r="T595" s="474"/>
      <c r="V595" s="455"/>
      <c r="W595" s="455"/>
      <c r="AD595" s="455"/>
    </row>
    <row r="596" spans="5:30" ht="14.25" customHeight="1">
      <c r="E596" s="455"/>
      <c r="P596" s="455"/>
      <c r="Q596" s="474"/>
      <c r="R596" s="474"/>
      <c r="T596" s="474"/>
      <c r="V596" s="455"/>
      <c r="W596" s="455"/>
      <c r="AD596" s="455"/>
    </row>
    <row r="597" spans="5:30" ht="14.25" customHeight="1">
      <c r="E597" s="455"/>
      <c r="F597" s="574"/>
      <c r="G597" s="753"/>
      <c r="H597" s="663">
        <v>38791</v>
      </c>
      <c r="I597" s="648">
        <v>0</v>
      </c>
      <c r="J597" s="648"/>
      <c r="K597" s="648">
        <v>-400000000</v>
      </c>
      <c r="L597" s="752"/>
      <c r="M597" s="752"/>
      <c r="N597" s="752"/>
      <c r="O597" s="752"/>
      <c r="P597" s="455"/>
      <c r="Q597" s="474"/>
      <c r="R597" s="474"/>
      <c r="T597" s="474"/>
      <c r="V597" s="455"/>
      <c r="W597" s="455"/>
      <c r="AD597" s="455"/>
    </row>
    <row r="598" spans="5:30" ht="14.25" customHeight="1">
      <c r="F598" s="904"/>
      <c r="G598" s="753"/>
      <c r="H598" s="627">
        <v>38887</v>
      </c>
      <c r="I598" s="657">
        <v>0</v>
      </c>
      <c r="J598" s="657"/>
      <c r="K598" s="657">
        <v>-300000000</v>
      </c>
      <c r="L598" s="752"/>
      <c r="M598" s="752"/>
      <c r="N598" s="752"/>
      <c r="O598" s="752"/>
      <c r="P598" s="455"/>
      <c r="Q598" s="474"/>
      <c r="R598" s="474"/>
      <c r="T598" s="474"/>
      <c r="V598" s="455"/>
      <c r="W598" s="455"/>
      <c r="AD598" s="455"/>
    </row>
    <row r="599" spans="5:30" ht="14.25" customHeight="1">
      <c r="F599" s="905"/>
      <c r="G599" s="753"/>
      <c r="H599" s="606">
        <v>38981</v>
      </c>
      <c r="I599" s="614">
        <v>0</v>
      </c>
      <c r="J599" s="614"/>
      <c r="K599" s="614">
        <v>-300000000</v>
      </c>
      <c r="L599" s="752"/>
      <c r="M599" s="752"/>
      <c r="N599" s="752"/>
      <c r="O599" s="752"/>
      <c r="P599" s="455"/>
      <c r="Q599" s="474"/>
      <c r="R599" s="474"/>
      <c r="T599" s="474"/>
      <c r="V599" s="455"/>
      <c r="W599" s="455"/>
      <c r="AD599" s="455"/>
    </row>
    <row r="600" spans="5:30" ht="14.25" customHeight="1">
      <c r="F600" s="902"/>
      <c r="G600" s="753"/>
      <c r="H600" s="663">
        <v>39672</v>
      </c>
      <c r="I600" s="648">
        <v>0</v>
      </c>
      <c r="J600" s="648"/>
      <c r="K600" s="648">
        <v>51668632</v>
      </c>
      <c r="L600" s="752"/>
      <c r="M600" s="752"/>
      <c r="N600" s="752"/>
      <c r="O600" s="752"/>
      <c r="P600" s="455"/>
      <c r="Q600" s="474"/>
      <c r="R600" s="474"/>
      <c r="T600" s="474"/>
      <c r="V600" s="455"/>
      <c r="W600" s="455"/>
      <c r="AD600" s="455"/>
    </row>
    <row r="601" spans="5:30" ht="14.25" customHeight="1">
      <c r="F601" s="574"/>
      <c r="G601" s="753"/>
      <c r="H601" s="627">
        <v>39694</v>
      </c>
      <c r="I601" s="657">
        <v>0</v>
      </c>
      <c r="J601" s="657"/>
      <c r="K601" s="657">
        <v>56362752</v>
      </c>
      <c r="L601" s="901">
        <v>2.9802322387695314E-9</v>
      </c>
      <c r="M601" s="752"/>
      <c r="N601" s="752"/>
      <c r="O601" s="752"/>
      <c r="P601" s="455"/>
      <c r="Q601" s="474"/>
      <c r="R601" s="474"/>
      <c r="T601" s="474"/>
      <c r="V601" s="455"/>
      <c r="W601" s="455"/>
      <c r="AD601" s="455"/>
    </row>
    <row r="602" spans="5:30" ht="14.25" customHeight="1">
      <c r="F602" s="574"/>
      <c r="G602" s="753"/>
      <c r="H602" s="752"/>
      <c r="I602" s="752"/>
      <c r="J602" s="752"/>
      <c r="K602" s="903">
        <v>2.9802322387695314E-9</v>
      </c>
      <c r="L602" s="752"/>
      <c r="M602" s="752"/>
      <c r="N602" s="752"/>
      <c r="O602" s="752"/>
      <c r="P602" s="455"/>
      <c r="Q602" s="474"/>
      <c r="R602" s="474"/>
      <c r="T602" s="474"/>
      <c r="V602" s="455"/>
      <c r="W602" s="455"/>
      <c r="AD602" s="455"/>
    </row>
    <row r="603" spans="5:30" ht="14.25" customHeight="1">
      <c r="P603" s="455"/>
      <c r="Q603" s="474"/>
      <c r="R603" s="474"/>
      <c r="T603" s="474"/>
      <c r="V603" s="455"/>
      <c r="W603" s="455"/>
      <c r="AD603" s="455"/>
    </row>
    <row r="604" spans="5:30" ht="14.25" customHeight="1">
      <c r="P604" s="455"/>
      <c r="Q604" s="474"/>
      <c r="R604" s="474"/>
      <c r="T604" s="474"/>
      <c r="V604" s="455"/>
      <c r="W604" s="455"/>
      <c r="AD604" s="455"/>
    </row>
    <row r="605" spans="5:30" ht="14.25" customHeight="1">
      <c r="G605" s="501"/>
      <c r="H605" s="456"/>
      <c r="I605" s="456"/>
      <c r="J605" s="456"/>
      <c r="K605" s="445"/>
      <c r="L605" s="634"/>
      <c r="M605" s="634"/>
      <c r="N605" s="634"/>
      <c r="P605" s="455"/>
      <c r="Q605" s="474"/>
      <c r="R605" s="474"/>
      <c r="T605" s="474"/>
      <c r="V605" s="455"/>
      <c r="W605" s="455"/>
      <c r="AD605" s="455"/>
    </row>
    <row r="606" spans="5:30" ht="14.25" customHeight="1">
      <c r="F606" s="574"/>
      <c r="G606" s="492" t="s">
        <v>296</v>
      </c>
      <c r="H606" s="656"/>
      <c r="I606" s="656"/>
      <c r="J606" s="656"/>
      <c r="K606" s="605">
        <v>38975</v>
      </c>
      <c r="L606" s="610">
        <v>16667</v>
      </c>
      <c r="M606" s="610">
        <v>-59998.800023999524</v>
      </c>
      <c r="N606" s="610">
        <v>-1000000000</v>
      </c>
      <c r="O606" s="752"/>
      <c r="P606" s="455"/>
      <c r="Q606" s="474"/>
      <c r="R606" s="474"/>
      <c r="T606" s="474"/>
      <c r="V606" s="455"/>
      <c r="W606" s="455"/>
      <c r="AD606" s="455"/>
    </row>
    <row r="607" spans="5:30" ht="14.25" customHeight="1">
      <c r="F607" s="574"/>
      <c r="G607" s="753"/>
      <c r="H607" s="752"/>
      <c r="I607" s="752"/>
      <c r="J607" s="752"/>
      <c r="K607" s="605">
        <v>39909</v>
      </c>
      <c r="L607" s="610">
        <v>0</v>
      </c>
      <c r="M607" s="610"/>
      <c r="N607" s="610">
        <v>30000600</v>
      </c>
      <c r="O607" s="752"/>
      <c r="P607" s="455"/>
      <c r="Q607" s="474"/>
      <c r="R607" s="474"/>
      <c r="T607" s="474"/>
      <c r="V607" s="455"/>
      <c r="W607" s="455"/>
      <c r="AD607" s="455"/>
    </row>
    <row r="608" spans="5:30" ht="14.25" customHeight="1">
      <c r="F608" s="574"/>
      <c r="G608" s="753"/>
      <c r="H608" s="752"/>
      <c r="I608" s="752"/>
      <c r="J608" s="752"/>
      <c r="K608" s="627">
        <v>40273</v>
      </c>
      <c r="L608" s="657"/>
      <c r="M608" s="657"/>
      <c r="N608" s="657">
        <v>30000600</v>
      </c>
      <c r="O608" s="752"/>
      <c r="P608" s="455"/>
      <c r="Q608" s="474"/>
      <c r="R608" s="474"/>
      <c r="T608" s="474"/>
      <c r="V608" s="455"/>
      <c r="W608" s="455"/>
      <c r="AD608" s="455"/>
    </row>
    <row r="609" spans="5:30" ht="14.25" customHeight="1">
      <c r="F609" s="574"/>
      <c r="G609" s="753"/>
      <c r="H609" s="752"/>
      <c r="I609" s="752"/>
      <c r="J609" s="752"/>
      <c r="K609" s="658">
        <v>40648</v>
      </c>
      <c r="L609" s="647"/>
      <c r="M609" s="647"/>
      <c r="N609" s="647">
        <v>30000600</v>
      </c>
      <c r="O609" s="752"/>
      <c r="P609" s="455"/>
      <c r="Q609" s="474"/>
      <c r="R609" s="474"/>
      <c r="T609" s="474"/>
      <c r="V609" s="455"/>
      <c r="W609" s="455"/>
      <c r="AD609" s="455"/>
    </row>
    <row r="610" spans="5:30" ht="14.25" customHeight="1">
      <c r="F610" s="574"/>
      <c r="G610" s="753"/>
      <c r="H610" s="752"/>
      <c r="I610" s="752"/>
      <c r="J610" s="752"/>
      <c r="K610" s="606">
        <v>40816</v>
      </c>
      <c r="L610" s="614"/>
      <c r="M610" s="614"/>
      <c r="N610" s="614">
        <v>1384291624</v>
      </c>
      <c r="O610" s="901">
        <v>8.1632938981056238E-2</v>
      </c>
      <c r="P610" s="455"/>
      <c r="Q610" s="474"/>
      <c r="R610" s="474"/>
      <c r="T610" s="474"/>
      <c r="V610" s="455"/>
      <c r="W610" s="455"/>
      <c r="AD610" s="455"/>
    </row>
    <row r="611" spans="5:30" ht="14.25" customHeight="1">
      <c r="K611" s="606"/>
      <c r="L611" s="614"/>
      <c r="M611" s="614"/>
      <c r="N611" s="614"/>
      <c r="O611" s="901"/>
      <c r="P611" s="455"/>
      <c r="Q611" s="474"/>
      <c r="R611" s="474"/>
      <c r="T611" s="474"/>
      <c r="V611" s="455"/>
      <c r="W611" s="455"/>
      <c r="AD611" s="455"/>
    </row>
    <row r="612" spans="5:30" ht="14.25" customHeight="1">
      <c r="E612" s="664"/>
      <c r="F612" s="899"/>
      <c r="G612" s="524"/>
      <c r="H612" s="648"/>
      <c r="I612" s="648"/>
      <c r="J612" s="648"/>
      <c r="P612" s="455"/>
      <c r="Q612" s="474"/>
      <c r="R612" s="474"/>
      <c r="T612" s="474"/>
      <c r="V612" s="455"/>
      <c r="W612" s="455"/>
      <c r="AD612" s="455"/>
    </row>
    <row r="613" spans="5:30" ht="14.25" customHeight="1">
      <c r="E613" s="752"/>
      <c r="F613" s="574"/>
      <c r="G613" s="501" t="s">
        <v>298</v>
      </c>
      <c r="H613" s="456"/>
      <c r="I613" s="456"/>
      <c r="J613" s="456"/>
      <c r="K613" s="445">
        <v>39318</v>
      </c>
      <c r="L613" s="634">
        <v>11765</v>
      </c>
      <c r="M613" s="634"/>
      <c r="N613" s="634">
        <v>-1000025000</v>
      </c>
      <c r="O613" s="752"/>
      <c r="P613" s="455"/>
      <c r="Q613" s="474"/>
      <c r="R613" s="474"/>
      <c r="T613" s="474"/>
      <c r="V613" s="455"/>
      <c r="W613" s="455"/>
      <c r="AD613" s="455"/>
    </row>
    <row r="614" spans="5:30" ht="14.25" customHeight="1">
      <c r="E614" s="752"/>
      <c r="F614" s="574"/>
      <c r="G614" s="753"/>
      <c r="H614" s="752"/>
      <c r="I614" s="752"/>
      <c r="J614" s="752"/>
      <c r="K614" s="448">
        <v>40967</v>
      </c>
      <c r="L614" s="634">
        <v>192610</v>
      </c>
      <c r="M614" s="634">
        <v>520</v>
      </c>
      <c r="N614" s="634">
        <v>100157200</v>
      </c>
      <c r="O614" s="901">
        <v>-0.39909983612597</v>
      </c>
      <c r="P614" s="455"/>
      <c r="Q614" s="474"/>
      <c r="R614" s="474"/>
      <c r="T614" s="474"/>
      <c r="V614" s="455"/>
      <c r="W614" s="455"/>
      <c r="AD614" s="455"/>
    </row>
    <row r="615" spans="5:30" ht="14.25" customHeight="1">
      <c r="G615" s="492"/>
      <c r="H615" s="656"/>
      <c r="I615" s="656"/>
      <c r="J615" s="656"/>
      <c r="K615" s="642"/>
      <c r="L615" s="610"/>
      <c r="M615" s="610"/>
      <c r="N615" s="610"/>
      <c r="P615" s="455"/>
      <c r="Q615" s="474"/>
      <c r="R615" s="474"/>
      <c r="T615" s="474"/>
      <c r="V615" s="455"/>
      <c r="W615" s="455"/>
      <c r="AD615" s="455"/>
    </row>
    <row r="616" spans="5:30" ht="14.25" customHeight="1">
      <c r="E616" s="752"/>
      <c r="F616" s="574"/>
      <c r="G616" s="492" t="s">
        <v>300</v>
      </c>
      <c r="H616" s="656"/>
      <c r="I616" s="656"/>
      <c r="J616" s="656"/>
      <c r="K616" s="445">
        <v>39657</v>
      </c>
      <c r="L616" s="610">
        <v>4500</v>
      </c>
      <c r="M616" s="610"/>
      <c r="N616" s="610">
        <v>-450000000</v>
      </c>
      <c r="O616" s="752"/>
      <c r="P616" s="455"/>
      <c r="Q616" s="474"/>
      <c r="R616" s="474"/>
      <c r="T616" s="474"/>
      <c r="V616" s="455"/>
      <c r="W616" s="455"/>
      <c r="AD616" s="455"/>
    </row>
    <row r="617" spans="5:30" ht="14.25" customHeight="1">
      <c r="E617" s="752"/>
      <c r="F617" s="574"/>
      <c r="G617" s="753"/>
      <c r="H617" s="752"/>
      <c r="I617" s="752"/>
      <c r="J617" s="752"/>
      <c r="K617" s="605">
        <v>41009</v>
      </c>
      <c r="L617" s="610"/>
      <c r="M617" s="610"/>
      <c r="N617" s="610">
        <v>100000000</v>
      </c>
      <c r="O617" s="752"/>
      <c r="P617" s="455"/>
      <c r="Q617" s="474"/>
      <c r="R617" s="474"/>
      <c r="T617" s="474"/>
      <c r="V617" s="455"/>
      <c r="W617" s="455"/>
      <c r="AD617" s="455"/>
    </row>
    <row r="618" spans="5:30" ht="14.25" customHeight="1">
      <c r="E618" s="752"/>
      <c r="F618" s="574"/>
      <c r="G618" s="753"/>
      <c r="H618" s="752"/>
      <c r="I618" s="752"/>
      <c r="J618" s="752"/>
      <c r="K618" s="627">
        <v>41060</v>
      </c>
      <c r="L618" s="657"/>
      <c r="M618" s="657"/>
      <c r="N618" s="657">
        <v>100000000</v>
      </c>
      <c r="O618" s="752"/>
      <c r="P618" s="455"/>
      <c r="Q618" s="474"/>
      <c r="R618" s="474"/>
      <c r="T618" s="474"/>
      <c r="V618" s="455"/>
      <c r="W618" s="455"/>
      <c r="AD618" s="455"/>
    </row>
    <row r="619" spans="5:30" ht="14.25" customHeight="1">
      <c r="E619" s="752"/>
      <c r="F619" s="574"/>
      <c r="G619" s="753"/>
      <c r="H619" s="752"/>
      <c r="I619" s="752"/>
      <c r="J619" s="752"/>
      <c r="K619" s="606">
        <v>41075</v>
      </c>
      <c r="L619" s="614"/>
      <c r="M619" s="614"/>
      <c r="N619" s="614">
        <v>160000000</v>
      </c>
      <c r="O619" s="901">
        <v>-5.6691357493400568E-2</v>
      </c>
      <c r="P619" s="455"/>
      <c r="Q619" s="474"/>
      <c r="R619" s="474"/>
      <c r="T619" s="474"/>
      <c r="V619" s="455"/>
      <c r="W619" s="455"/>
      <c r="AD619" s="455"/>
    </row>
    <row r="620" spans="5:30" ht="14.25" customHeight="1">
      <c r="E620" s="664" t="s">
        <v>492</v>
      </c>
      <c r="F620" s="899" t="s">
        <v>300</v>
      </c>
      <c r="G620" s="524">
        <v>39478</v>
      </c>
      <c r="H620" s="648">
        <v>0</v>
      </c>
      <c r="I620" s="648"/>
      <c r="J620" s="648">
        <v>-450000000</v>
      </c>
      <c r="K620" s="752"/>
      <c r="L620" s="752"/>
      <c r="M620" s="752"/>
      <c r="N620" s="752"/>
      <c r="O620" s="752"/>
      <c r="P620" s="455"/>
      <c r="Q620" s="474"/>
      <c r="R620" s="474"/>
      <c r="T620" s="474"/>
      <c r="V620" s="455"/>
      <c r="W620" s="455"/>
      <c r="AD620" s="455"/>
    </row>
    <row r="621" spans="5:30" ht="14.25" customHeight="1">
      <c r="E621" s="752"/>
      <c r="F621" s="574"/>
      <c r="G621" s="663">
        <v>40217</v>
      </c>
      <c r="H621" s="648">
        <v>0</v>
      </c>
      <c r="I621" s="648">
        <v>0</v>
      </c>
      <c r="J621" s="648">
        <v>265831472</v>
      </c>
      <c r="K621" s="752"/>
      <c r="L621" s="752"/>
      <c r="M621" s="752"/>
      <c r="N621" s="752"/>
      <c r="O621" s="752"/>
      <c r="P621" s="455"/>
      <c r="Q621" s="474"/>
      <c r="R621" s="474"/>
      <c r="T621" s="474"/>
      <c r="V621" s="455"/>
      <c r="W621" s="455"/>
      <c r="AD621" s="455"/>
    </row>
    <row r="622" spans="5:30" ht="14.25" customHeight="1">
      <c r="E622" s="752"/>
      <c r="F622" s="574"/>
      <c r="G622" s="606">
        <v>40282</v>
      </c>
      <c r="H622" s="614"/>
      <c r="I622" s="614"/>
      <c r="J622" s="614">
        <v>274327397</v>
      </c>
      <c r="K622" s="901">
        <v>9.019115865230562E-2</v>
      </c>
      <c r="L622" s="752"/>
      <c r="M622" s="752"/>
      <c r="N622" s="752"/>
      <c r="O622" s="752"/>
      <c r="P622" s="455"/>
      <c r="Q622" s="474"/>
      <c r="R622" s="474"/>
      <c r="T622" s="474"/>
      <c r="V622" s="455"/>
      <c r="W622" s="455"/>
      <c r="AD622" s="455"/>
    </row>
    <row r="623" spans="5:30" ht="14.25" customHeight="1">
      <c r="E623" s="752"/>
      <c r="F623" s="574"/>
      <c r="G623" s="492" t="s">
        <v>660</v>
      </c>
      <c r="H623" s="656" t="s">
        <v>19</v>
      </c>
      <c r="I623" s="656"/>
      <c r="J623" s="656"/>
      <c r="K623" s="642">
        <v>39337</v>
      </c>
      <c r="L623" s="610">
        <v>12000</v>
      </c>
      <c r="M623" s="610">
        <v>25000</v>
      </c>
      <c r="N623" s="610">
        <v>-300000000</v>
      </c>
      <c r="O623" s="752"/>
      <c r="P623" s="455"/>
      <c r="Q623" s="474"/>
      <c r="R623" s="474"/>
      <c r="T623" s="474"/>
      <c r="V623" s="455"/>
      <c r="W623" s="455"/>
      <c r="AD623" s="455"/>
    </row>
    <row r="624" spans="5:30" ht="14.25" customHeight="1">
      <c r="E624" s="752"/>
      <c r="F624" s="574"/>
      <c r="G624" s="493" t="s">
        <v>660</v>
      </c>
      <c r="H624" s="654"/>
      <c r="I624" s="654"/>
      <c r="J624" s="654"/>
      <c r="K624" s="652">
        <v>39337</v>
      </c>
      <c r="L624" s="657">
        <v>12800</v>
      </c>
      <c r="M624" s="657">
        <v>25000</v>
      </c>
      <c r="N624" s="657">
        <v>-320000000</v>
      </c>
      <c r="O624" s="752"/>
      <c r="P624" s="455"/>
      <c r="Q624" s="474"/>
      <c r="R624" s="474"/>
      <c r="T624" s="474"/>
      <c r="V624" s="455"/>
      <c r="W624" s="455"/>
      <c r="AD624" s="455"/>
    </row>
    <row r="625" spans="5:30" ht="14.25" customHeight="1">
      <c r="E625" s="752"/>
      <c r="F625" s="574"/>
      <c r="G625" s="493" t="s">
        <v>660</v>
      </c>
      <c r="H625" s="654"/>
      <c r="I625" s="654"/>
      <c r="J625" s="654"/>
      <c r="K625" s="652">
        <v>39337</v>
      </c>
      <c r="L625" s="657">
        <v>15200</v>
      </c>
      <c r="M625" s="657">
        <v>25000</v>
      </c>
      <c r="N625" s="657">
        <v>-380000000</v>
      </c>
      <c r="O625" s="752"/>
      <c r="P625" s="455"/>
      <c r="Q625" s="474"/>
      <c r="R625" s="474"/>
      <c r="T625" s="474"/>
      <c r="V625" s="455"/>
      <c r="W625" s="455"/>
      <c r="AD625" s="455"/>
    </row>
    <row r="626" spans="5:30" ht="14.25" customHeight="1">
      <c r="E626" s="752"/>
      <c r="F626" s="574"/>
      <c r="G626" s="753"/>
      <c r="H626" s="752"/>
      <c r="I626" s="752"/>
      <c r="J626" s="752"/>
      <c r="K626" s="642">
        <v>40557</v>
      </c>
      <c r="L626" s="610"/>
      <c r="M626" s="610"/>
      <c r="N626" s="610">
        <v>13843011</v>
      </c>
      <c r="O626" s="752"/>
      <c r="P626" s="455"/>
      <c r="Q626" s="474"/>
      <c r="R626" s="474"/>
      <c r="T626" s="474"/>
      <c r="V626" s="455"/>
      <c r="W626" s="455"/>
      <c r="AD626" s="455"/>
    </row>
    <row r="627" spans="5:30" ht="14.25" customHeight="1">
      <c r="F627" s="574"/>
      <c r="G627" s="753"/>
      <c r="H627" s="752"/>
      <c r="I627" s="752"/>
      <c r="J627" s="752"/>
      <c r="K627" s="652">
        <v>40602</v>
      </c>
      <c r="L627" s="657"/>
      <c r="M627" s="657"/>
      <c r="N627" s="657">
        <v>13843011</v>
      </c>
      <c r="O627" s="752"/>
      <c r="P627" s="455"/>
      <c r="Q627" s="474"/>
      <c r="R627" s="474"/>
      <c r="T627" s="474"/>
      <c r="V627" s="455"/>
      <c r="W627" s="455"/>
      <c r="AD627" s="455"/>
    </row>
    <row r="628" spans="5:30" ht="14.25" customHeight="1">
      <c r="F628" s="574"/>
      <c r="G628" s="753"/>
      <c r="H628" s="752"/>
      <c r="I628" s="752"/>
      <c r="J628" s="752"/>
      <c r="K628" s="652">
        <v>40639</v>
      </c>
      <c r="L628" s="657"/>
      <c r="M628" s="657"/>
      <c r="N628" s="657">
        <v>13542076</v>
      </c>
      <c r="O628" s="752"/>
      <c r="P628" s="455"/>
      <c r="Q628" s="474"/>
      <c r="R628" s="474"/>
      <c r="T628" s="474"/>
      <c r="V628" s="455"/>
      <c r="W628" s="455"/>
      <c r="AD628" s="455"/>
    </row>
    <row r="629" spans="5:30" ht="14.25" customHeight="1">
      <c r="F629" s="574"/>
      <c r="G629" s="753"/>
      <c r="H629" s="752"/>
      <c r="I629" s="752"/>
      <c r="J629" s="752"/>
      <c r="K629" s="652">
        <v>40731</v>
      </c>
      <c r="L629" s="657"/>
      <c r="M629" s="657"/>
      <c r="N629" s="657">
        <v>13692543</v>
      </c>
      <c r="O629" s="752"/>
      <c r="P629" s="455"/>
      <c r="Q629" s="474"/>
      <c r="R629" s="474"/>
      <c r="T629" s="474"/>
      <c r="V629" s="455"/>
      <c r="W629" s="455"/>
      <c r="AD629" s="455"/>
    </row>
    <row r="630" spans="5:30" ht="14.25" customHeight="1">
      <c r="E630" s="455"/>
      <c r="F630" s="574"/>
      <c r="G630" s="753"/>
      <c r="H630" s="752"/>
      <c r="I630" s="752"/>
      <c r="J630" s="752"/>
      <c r="K630" s="652">
        <v>40822</v>
      </c>
      <c r="L630" s="657"/>
      <c r="M630" s="657"/>
      <c r="N630" s="657">
        <v>13843011</v>
      </c>
      <c r="O630" s="752"/>
      <c r="P630" s="455"/>
      <c r="Q630" s="474"/>
      <c r="R630" s="474"/>
      <c r="T630" s="474"/>
      <c r="V630" s="455"/>
      <c r="W630" s="455"/>
      <c r="AD630" s="455"/>
    </row>
    <row r="631" spans="5:30" ht="14.25" customHeight="1">
      <c r="E631" s="455"/>
      <c r="F631" s="574"/>
      <c r="G631" s="753"/>
      <c r="H631" s="752"/>
      <c r="I631" s="752"/>
      <c r="J631" s="752"/>
      <c r="K631" s="652">
        <v>40914</v>
      </c>
      <c r="L631" s="657"/>
      <c r="M631" s="657"/>
      <c r="N631" s="657">
        <v>13843011</v>
      </c>
      <c r="O631" s="752"/>
      <c r="P631" s="455"/>
      <c r="Q631" s="474"/>
      <c r="R631" s="474"/>
      <c r="T631" s="474"/>
      <c r="V631" s="455"/>
      <c r="W631" s="455"/>
      <c r="AD631" s="455"/>
    </row>
    <row r="632" spans="5:30" ht="14.25" customHeight="1">
      <c r="E632" s="455"/>
      <c r="F632" s="574"/>
      <c r="G632" s="753"/>
      <c r="H632" s="752"/>
      <c r="I632" s="752"/>
      <c r="J632" s="752"/>
      <c r="K632" s="652">
        <v>41011</v>
      </c>
      <c r="L632" s="657"/>
      <c r="M632" s="657"/>
      <c r="N632" s="657">
        <v>14595348</v>
      </c>
      <c r="O632" s="752"/>
      <c r="P632" s="455"/>
      <c r="Q632" s="474"/>
      <c r="R632" s="474"/>
      <c r="T632" s="474"/>
      <c r="V632" s="455"/>
      <c r="W632" s="455"/>
      <c r="AD632" s="455"/>
    </row>
    <row r="633" spans="5:30" ht="14.25" customHeight="1">
      <c r="E633" s="455"/>
      <c r="F633" s="574"/>
      <c r="G633" s="753"/>
      <c r="H633" s="752"/>
      <c r="I633" s="752"/>
      <c r="J633" s="752"/>
      <c r="K633" s="652">
        <v>41080</v>
      </c>
      <c r="L633" s="657"/>
      <c r="M633" s="657"/>
      <c r="N633" s="657">
        <v>84000000</v>
      </c>
      <c r="O633" s="752"/>
      <c r="P633" s="455"/>
      <c r="Q633" s="474"/>
      <c r="R633" s="474"/>
      <c r="T633" s="474"/>
      <c r="V633" s="455"/>
      <c r="W633" s="455"/>
      <c r="AD633" s="455"/>
    </row>
    <row r="634" spans="5:30" ht="14.25" customHeight="1">
      <c r="E634" s="455"/>
      <c r="F634" s="574"/>
      <c r="G634" s="753"/>
      <c r="H634" s="752"/>
      <c r="I634" s="752"/>
      <c r="J634" s="752"/>
      <c r="K634" s="646">
        <v>41102</v>
      </c>
      <c r="L634" s="647"/>
      <c r="M634" s="647"/>
      <c r="N634" s="647">
        <v>13692543</v>
      </c>
      <c r="O634" s="752"/>
      <c r="P634" s="455"/>
      <c r="Q634" s="474"/>
      <c r="R634" s="474"/>
      <c r="T634" s="474"/>
      <c r="V634" s="455"/>
      <c r="W634" s="455"/>
      <c r="AD634" s="455"/>
    </row>
    <row r="635" spans="5:30" ht="14.25" customHeight="1">
      <c r="E635" s="455"/>
      <c r="F635" s="574"/>
      <c r="G635" s="753"/>
      <c r="H635" s="752"/>
      <c r="I635" s="752"/>
      <c r="J635" s="752"/>
      <c r="K635" s="652">
        <v>41108</v>
      </c>
      <c r="L635" s="657"/>
      <c r="M635" s="657"/>
      <c r="N635" s="657">
        <v>336000000</v>
      </c>
      <c r="O635" s="752"/>
      <c r="P635" s="455"/>
      <c r="Q635" s="474"/>
      <c r="R635" s="474"/>
      <c r="T635" s="474"/>
      <c r="V635" s="455"/>
      <c r="W635" s="455"/>
      <c r="AD635" s="455"/>
    </row>
    <row r="636" spans="5:30" ht="14.25" customHeight="1">
      <c r="E636" s="455"/>
      <c r="F636" s="574"/>
      <c r="G636" s="753"/>
      <c r="H636" s="752"/>
      <c r="I636" s="752"/>
      <c r="J636" s="752"/>
      <c r="K636" s="651">
        <v>41194</v>
      </c>
      <c r="L636" s="614"/>
      <c r="M636" s="614"/>
      <c r="N636" s="614">
        <v>902805</v>
      </c>
      <c r="O636" s="901">
        <v>-0.12636063955724239</v>
      </c>
      <c r="P636" s="455"/>
      <c r="Q636" s="474"/>
      <c r="R636" s="474"/>
      <c r="T636" s="474"/>
      <c r="V636" s="455"/>
      <c r="W636" s="455"/>
      <c r="AD636" s="455"/>
    </row>
    <row r="637" spans="5:30" ht="14.25" customHeight="1">
      <c r="E637" s="455"/>
      <c r="G637" s="438"/>
      <c r="H637" s="635"/>
      <c r="I637" s="635"/>
      <c r="J637" s="635"/>
      <c r="P637" s="455"/>
      <c r="Q637" s="474"/>
      <c r="R637" s="474"/>
      <c r="T637" s="474"/>
      <c r="V637" s="455"/>
      <c r="W637" s="455"/>
      <c r="AD637" s="455"/>
    </row>
    <row r="638" spans="5:30" ht="14.25" customHeight="1">
      <c r="E638" s="455"/>
      <c r="G638" s="438"/>
      <c r="H638" s="635"/>
      <c r="I638" s="635"/>
      <c r="J638" s="635"/>
      <c r="P638" s="455"/>
      <c r="Q638" s="474"/>
      <c r="R638" s="474"/>
      <c r="T638" s="474"/>
      <c r="V638" s="455"/>
      <c r="W638" s="455"/>
      <c r="AD638" s="455"/>
    </row>
    <row r="639" spans="5:30" ht="14.25" customHeight="1">
      <c r="E639" s="455"/>
      <c r="G639" s="438"/>
      <c r="H639" s="635"/>
      <c r="I639" s="635"/>
      <c r="J639" s="635"/>
      <c r="P639" s="455"/>
      <c r="Q639" s="474"/>
      <c r="R639" s="474"/>
      <c r="T639" s="474"/>
      <c r="V639" s="455"/>
      <c r="W639" s="455"/>
      <c r="AD639" s="455"/>
    </row>
    <row r="640" spans="5:30" ht="14.25" customHeight="1">
      <c r="E640" s="455"/>
      <c r="F640" s="891" t="s">
        <v>287</v>
      </c>
      <c r="G640" s="605">
        <v>38316</v>
      </c>
      <c r="H640" s="634">
        <v>0</v>
      </c>
      <c r="I640" s="634"/>
      <c r="J640" s="634">
        <v>-300000000</v>
      </c>
      <c r="K640" s="752"/>
      <c r="L640" s="752"/>
      <c r="M640" s="752"/>
      <c r="N640" s="752"/>
      <c r="O640" s="752"/>
      <c r="P640" s="455"/>
      <c r="Q640" s="474"/>
      <c r="R640" s="474"/>
      <c r="T640" s="474"/>
      <c r="V640" s="455"/>
      <c r="W640" s="455"/>
      <c r="AD640" s="455"/>
    </row>
    <row r="641" spans="5:30" ht="14.25" customHeight="1">
      <c r="E641" s="455"/>
      <c r="F641" s="574"/>
      <c r="G641" s="437">
        <v>38867</v>
      </c>
      <c r="H641" s="634">
        <v>0</v>
      </c>
      <c r="I641" s="634"/>
      <c r="J641" s="634">
        <v>35855582</v>
      </c>
      <c r="K641" s="752"/>
      <c r="L641" s="752"/>
      <c r="M641" s="752"/>
      <c r="N641" s="752"/>
      <c r="O641" s="752"/>
      <c r="P641" s="455"/>
      <c r="Q641" s="474"/>
      <c r="R641" s="474"/>
      <c r="T641" s="474"/>
      <c r="V641" s="455"/>
      <c r="W641" s="455"/>
      <c r="AD641" s="455"/>
    </row>
    <row r="642" spans="5:30" ht="14.25" customHeight="1">
      <c r="E642" s="455"/>
      <c r="F642" s="574"/>
      <c r="G642" s="438">
        <v>38884</v>
      </c>
      <c r="H642" s="635">
        <v>0</v>
      </c>
      <c r="I642" s="635"/>
      <c r="J642" s="635">
        <v>35893732</v>
      </c>
      <c r="K642" s="752"/>
      <c r="L642" s="752"/>
      <c r="M642" s="752"/>
      <c r="N642" s="752"/>
      <c r="O642" s="752"/>
      <c r="P642" s="455"/>
      <c r="Q642" s="474"/>
      <c r="R642" s="474"/>
      <c r="T642" s="474"/>
      <c r="V642" s="455"/>
      <c r="W642" s="455"/>
      <c r="AD642" s="455"/>
    </row>
    <row r="643" spans="5:30" ht="14.25" customHeight="1">
      <c r="E643" s="455"/>
      <c r="G643" s="438">
        <v>38919</v>
      </c>
      <c r="H643" s="635">
        <v>0</v>
      </c>
      <c r="I643" s="635"/>
      <c r="J643" s="635">
        <v>35135349</v>
      </c>
      <c r="P643" s="455"/>
      <c r="Q643" s="474"/>
      <c r="R643" s="474"/>
      <c r="T643" s="474"/>
      <c r="V643" s="455"/>
      <c r="W643" s="455"/>
      <c r="AD643" s="455"/>
    </row>
    <row r="644" spans="5:30" ht="14.25" customHeight="1">
      <c r="E644" s="455"/>
      <c r="G644" s="438">
        <v>38951</v>
      </c>
      <c r="H644" s="635">
        <v>0</v>
      </c>
      <c r="I644" s="635"/>
      <c r="J644" s="635">
        <v>35554037</v>
      </c>
      <c r="P644" s="455"/>
      <c r="Q644" s="474"/>
      <c r="R644" s="474"/>
      <c r="T644" s="474"/>
      <c r="V644" s="455"/>
      <c r="W644" s="455"/>
      <c r="AD644" s="455"/>
    </row>
    <row r="645" spans="5:30" ht="14.25" customHeight="1">
      <c r="E645" s="455"/>
      <c r="G645" s="438">
        <v>38980</v>
      </c>
      <c r="H645" s="635">
        <v>0</v>
      </c>
      <c r="I645" s="635"/>
      <c r="J645" s="635">
        <v>30070077</v>
      </c>
      <c r="P645" s="455"/>
      <c r="Q645" s="474"/>
      <c r="R645" s="474"/>
      <c r="T645" s="474"/>
      <c r="V645" s="455"/>
      <c r="W645" s="455"/>
      <c r="AD645" s="455"/>
    </row>
    <row r="646" spans="5:30" ht="14.25" customHeight="1">
      <c r="E646" s="455"/>
      <c r="G646" s="438">
        <v>39020</v>
      </c>
      <c r="H646" s="635">
        <v>0</v>
      </c>
      <c r="I646" s="635"/>
      <c r="J646" s="635">
        <v>35489730</v>
      </c>
      <c r="M646" s="474"/>
      <c r="N646" s="474"/>
      <c r="O646" s="474"/>
      <c r="P646" s="455"/>
      <c r="Q646" s="474"/>
      <c r="R646" s="474"/>
      <c r="T646" s="474"/>
      <c r="V646" s="455"/>
      <c r="W646" s="455"/>
      <c r="AD646" s="455"/>
    </row>
    <row r="647" spans="5:30" ht="14.25" customHeight="1">
      <c r="E647" s="455"/>
      <c r="G647" s="438">
        <v>39045</v>
      </c>
      <c r="H647" s="635">
        <v>0</v>
      </c>
      <c r="I647" s="635"/>
      <c r="J647" s="635">
        <v>38600720</v>
      </c>
      <c r="M647" s="474"/>
      <c r="N647" s="474"/>
      <c r="O647" s="474"/>
      <c r="P647" s="455"/>
      <c r="Q647" s="474"/>
      <c r="R647" s="474"/>
      <c r="T647" s="474"/>
      <c r="V647" s="455"/>
      <c r="W647" s="455"/>
      <c r="AD647" s="455"/>
    </row>
    <row r="648" spans="5:30" ht="14.25" customHeight="1">
      <c r="E648" s="455"/>
      <c r="G648" s="438">
        <v>39080</v>
      </c>
      <c r="H648" s="635">
        <v>0</v>
      </c>
      <c r="I648" s="635"/>
      <c r="J648" s="635">
        <v>31020816</v>
      </c>
      <c r="M648" s="474"/>
      <c r="N648" s="474"/>
      <c r="O648" s="474"/>
      <c r="P648" s="455"/>
      <c r="Q648" s="474"/>
      <c r="R648" s="474"/>
      <c r="T648" s="474"/>
      <c r="V648" s="455"/>
      <c r="W648" s="455"/>
      <c r="AD648" s="455"/>
    </row>
    <row r="649" spans="5:30" ht="14.25" customHeight="1">
      <c r="E649" s="455"/>
      <c r="G649" s="439">
        <v>39113</v>
      </c>
      <c r="H649" s="635">
        <v>0</v>
      </c>
      <c r="I649" s="635"/>
      <c r="J649" s="635">
        <v>28363989</v>
      </c>
      <c r="M649" s="474"/>
      <c r="N649" s="474"/>
      <c r="O649" s="474"/>
      <c r="P649" s="455"/>
      <c r="Q649" s="474"/>
      <c r="R649" s="474"/>
      <c r="T649" s="474"/>
      <c r="V649" s="455"/>
      <c r="W649" s="455"/>
      <c r="AD649" s="455"/>
    </row>
    <row r="650" spans="5:30" ht="14.25" customHeight="1">
      <c r="E650" s="455"/>
      <c r="G650" s="439">
        <v>39141</v>
      </c>
      <c r="H650" s="635">
        <v>0</v>
      </c>
      <c r="I650" s="635"/>
      <c r="J650" s="635">
        <v>14434236</v>
      </c>
      <c r="M650" s="474"/>
      <c r="N650" s="474"/>
      <c r="O650" s="474"/>
      <c r="P650" s="455"/>
      <c r="Q650" s="474"/>
      <c r="R650" s="474"/>
      <c r="T650" s="474"/>
      <c r="V650" s="455"/>
      <c r="W650" s="455"/>
      <c r="AD650" s="455"/>
    </row>
    <row r="651" spans="5:30" ht="14.25" customHeight="1">
      <c r="E651" s="455"/>
      <c r="G651" s="439">
        <v>39178</v>
      </c>
      <c r="H651" s="635">
        <v>0</v>
      </c>
      <c r="I651" s="635"/>
      <c r="J651" s="635">
        <v>15783269</v>
      </c>
      <c r="M651" s="474"/>
      <c r="N651" s="474"/>
      <c r="O651" s="474"/>
      <c r="P651" s="455"/>
      <c r="Q651" s="474"/>
      <c r="R651" s="474"/>
      <c r="T651" s="474"/>
      <c r="V651" s="455"/>
      <c r="W651" s="455"/>
      <c r="AD651" s="455"/>
    </row>
    <row r="652" spans="5:30" ht="14.25" customHeight="1">
      <c r="E652" s="455"/>
      <c r="G652" s="439">
        <v>39212</v>
      </c>
      <c r="H652" s="635">
        <v>0</v>
      </c>
      <c r="I652" s="635"/>
      <c r="J652" s="635">
        <v>17278455</v>
      </c>
      <c r="M652" s="474"/>
      <c r="N652" s="474"/>
      <c r="O652" s="474"/>
      <c r="P652" s="455"/>
      <c r="Q652" s="474"/>
      <c r="R652" s="474"/>
      <c r="T652" s="474"/>
      <c r="V652" s="455"/>
      <c r="W652" s="455"/>
      <c r="AD652" s="455"/>
    </row>
    <row r="653" spans="5:30" ht="14.25" customHeight="1">
      <c r="E653" s="455"/>
      <c r="G653" s="439">
        <v>39233</v>
      </c>
      <c r="H653" s="635">
        <v>0</v>
      </c>
      <c r="I653" s="635"/>
      <c r="J653" s="635">
        <v>14640461</v>
      </c>
      <c r="M653" s="474"/>
      <c r="N653" s="474"/>
      <c r="O653" s="474"/>
      <c r="P653" s="455"/>
      <c r="Q653" s="474"/>
      <c r="R653" s="474"/>
      <c r="T653" s="474"/>
      <c r="V653" s="455"/>
      <c r="W653" s="455"/>
      <c r="AD653" s="455"/>
    </row>
    <row r="654" spans="5:30" ht="14.25" customHeight="1">
      <c r="E654" s="455"/>
      <c r="G654" s="439">
        <v>39262</v>
      </c>
      <c r="H654" s="635">
        <v>0</v>
      </c>
      <c r="I654" s="635"/>
      <c r="J654" s="635">
        <v>14497134</v>
      </c>
      <c r="M654" s="474"/>
      <c r="N654" s="474"/>
      <c r="O654" s="474"/>
      <c r="P654" s="455"/>
      <c r="Q654" s="474"/>
      <c r="R654" s="474"/>
      <c r="T654" s="474"/>
      <c r="V654" s="455"/>
      <c r="W654" s="455"/>
      <c r="AD654" s="455"/>
    </row>
    <row r="655" spans="5:30" ht="14.25" customHeight="1">
      <c r="E655" s="455"/>
      <c r="G655" s="439">
        <v>39294</v>
      </c>
      <c r="H655" s="635">
        <v>0</v>
      </c>
      <c r="I655" s="635"/>
      <c r="J655" s="635">
        <v>12897503</v>
      </c>
      <c r="M655" s="474"/>
      <c r="N655" s="474"/>
      <c r="O655" s="474"/>
      <c r="P655" s="455"/>
      <c r="Q655" s="474"/>
      <c r="R655" s="474"/>
      <c r="T655" s="474"/>
      <c r="V655" s="455"/>
      <c r="W655" s="455"/>
      <c r="AD655" s="455"/>
    </row>
    <row r="656" spans="5:30" ht="14.25" customHeight="1">
      <c r="E656" s="455"/>
      <c r="G656" s="439">
        <v>39325</v>
      </c>
      <c r="H656" s="635">
        <v>0</v>
      </c>
      <c r="I656" s="635"/>
      <c r="J656" s="635">
        <v>12857480</v>
      </c>
      <c r="M656" s="474"/>
      <c r="N656" s="474"/>
      <c r="O656" s="474"/>
      <c r="P656" s="455"/>
      <c r="Q656" s="474"/>
      <c r="R656" s="474"/>
      <c r="T656" s="474"/>
      <c r="V656" s="455"/>
      <c r="W656" s="455"/>
      <c r="AD656" s="455"/>
    </row>
    <row r="657" spans="5:30" ht="14.25" customHeight="1">
      <c r="E657" s="455"/>
      <c r="G657" s="440">
        <v>39353</v>
      </c>
      <c r="H657" s="635">
        <v>0</v>
      </c>
      <c r="I657" s="635"/>
      <c r="J657" s="635">
        <v>11799137</v>
      </c>
      <c r="M657" s="474"/>
      <c r="N657" s="474"/>
      <c r="O657" s="474"/>
      <c r="P657" s="455"/>
      <c r="Q657" s="474"/>
      <c r="R657" s="474"/>
      <c r="T657" s="474"/>
      <c r="V657" s="455"/>
      <c r="W657" s="455"/>
      <c r="AD657" s="455"/>
    </row>
    <row r="658" spans="5:30" ht="14.25" customHeight="1">
      <c r="E658" s="455"/>
      <c r="G658" s="439">
        <v>39386</v>
      </c>
      <c r="H658" s="635">
        <v>0</v>
      </c>
      <c r="I658" s="635"/>
      <c r="J658" s="635">
        <v>58015905</v>
      </c>
      <c r="K658" s="901"/>
      <c r="M658" s="474"/>
      <c r="N658" s="474"/>
      <c r="O658" s="474"/>
      <c r="P658" s="455"/>
      <c r="Q658" s="474"/>
      <c r="R658" s="474"/>
      <c r="T658" s="474"/>
      <c r="V658" s="455"/>
      <c r="W658" s="455"/>
      <c r="AD658" s="455"/>
    </row>
    <row r="659" spans="5:30" ht="14.25" customHeight="1">
      <c r="E659" s="455"/>
      <c r="F659" s="574"/>
      <c r="G659" s="440">
        <v>39416</v>
      </c>
      <c r="H659" s="635">
        <v>0</v>
      </c>
      <c r="I659" s="635"/>
      <c r="J659" s="635">
        <v>13573172</v>
      </c>
      <c r="K659" s="752"/>
      <c r="M659" s="474"/>
      <c r="N659" s="474"/>
      <c r="O659" s="474"/>
      <c r="P659" s="455"/>
      <c r="Q659" s="474"/>
      <c r="R659" s="474"/>
      <c r="T659" s="474"/>
      <c r="V659" s="455"/>
      <c r="W659" s="455"/>
      <c r="AD659" s="455"/>
    </row>
    <row r="660" spans="5:30" ht="14.25" customHeight="1">
      <c r="E660" s="455"/>
      <c r="F660" s="574"/>
      <c r="G660" s="439">
        <v>39444</v>
      </c>
      <c r="H660" s="635">
        <v>0</v>
      </c>
      <c r="I660" s="635"/>
      <c r="J660" s="635">
        <v>11929583</v>
      </c>
      <c r="K660" s="752"/>
      <c r="M660" s="474"/>
      <c r="N660" s="474"/>
      <c r="O660" s="474"/>
      <c r="P660" s="455"/>
      <c r="Q660" s="474"/>
      <c r="R660" s="474"/>
      <c r="T660" s="474"/>
      <c r="V660" s="455"/>
      <c r="W660" s="455"/>
      <c r="AD660" s="455"/>
    </row>
    <row r="661" spans="5:30" ht="14.25" customHeight="1">
      <c r="E661" s="455"/>
      <c r="F661" s="574"/>
      <c r="G661" s="440">
        <v>39478</v>
      </c>
      <c r="H661" s="635">
        <v>0</v>
      </c>
      <c r="I661" s="635"/>
      <c r="J661" s="635">
        <v>9995593</v>
      </c>
      <c r="K661" s="752"/>
      <c r="M661" s="474"/>
      <c r="N661" s="474"/>
      <c r="O661" s="474"/>
      <c r="P661" s="455"/>
      <c r="Q661" s="474"/>
      <c r="R661" s="474"/>
      <c r="T661" s="474"/>
      <c r="V661" s="455"/>
      <c r="W661" s="455"/>
      <c r="AD661" s="455"/>
    </row>
    <row r="662" spans="5:30" ht="14.25" customHeight="1">
      <c r="E662" s="455"/>
      <c r="F662" s="574"/>
      <c r="G662" s="439">
        <v>39507</v>
      </c>
      <c r="H662" s="635">
        <v>0</v>
      </c>
      <c r="I662" s="635"/>
      <c r="J662" s="635">
        <v>8753232</v>
      </c>
      <c r="K662" s="752"/>
      <c r="M662" s="474"/>
      <c r="N662" s="474"/>
      <c r="O662" s="474"/>
      <c r="P662" s="455"/>
      <c r="Q662" s="474"/>
      <c r="R662" s="474"/>
      <c r="T662" s="474"/>
      <c r="V662" s="455"/>
      <c r="W662" s="455"/>
      <c r="AD662" s="455"/>
    </row>
    <row r="663" spans="5:30" ht="14.25" customHeight="1">
      <c r="E663" s="455"/>
      <c r="F663" s="574"/>
      <c r="G663" s="440">
        <v>39538</v>
      </c>
      <c r="H663" s="635">
        <v>0</v>
      </c>
      <c r="I663" s="635"/>
      <c r="J663" s="635">
        <v>9471616</v>
      </c>
      <c r="K663" s="752"/>
      <c r="M663" s="474"/>
      <c r="N663" s="474"/>
      <c r="O663" s="474"/>
      <c r="P663" s="455"/>
      <c r="Q663" s="474"/>
      <c r="R663" s="474"/>
      <c r="T663" s="474"/>
      <c r="V663" s="455"/>
      <c r="W663" s="455"/>
      <c r="AD663" s="455"/>
    </row>
    <row r="664" spans="5:30" ht="14.25" customHeight="1">
      <c r="E664" s="455"/>
      <c r="F664" s="574"/>
      <c r="G664" s="439">
        <v>39568</v>
      </c>
      <c r="H664" s="635">
        <v>0</v>
      </c>
      <c r="I664" s="635"/>
      <c r="J664" s="635">
        <v>10435179</v>
      </c>
      <c r="K664" s="752"/>
      <c r="M664" s="474"/>
      <c r="N664" s="474"/>
      <c r="O664" s="474"/>
      <c r="P664" s="455"/>
      <c r="Q664" s="474"/>
      <c r="R664" s="474"/>
      <c r="T664" s="474"/>
      <c r="V664" s="455"/>
      <c r="W664" s="455"/>
      <c r="AD664" s="455"/>
    </row>
    <row r="665" spans="5:30" ht="14.25" customHeight="1">
      <c r="E665" s="455"/>
      <c r="F665" s="574"/>
      <c r="G665" s="440">
        <v>39598</v>
      </c>
      <c r="H665" s="635">
        <v>0</v>
      </c>
      <c r="I665" s="635"/>
      <c r="J665" s="635">
        <v>10529961</v>
      </c>
      <c r="K665" s="752"/>
      <c r="M665" s="474"/>
      <c r="N665" s="474"/>
      <c r="O665" s="474"/>
      <c r="P665" s="455"/>
      <c r="Q665" s="474"/>
      <c r="R665" s="474"/>
      <c r="T665" s="474"/>
      <c r="V665" s="455"/>
      <c r="W665" s="455"/>
      <c r="AD665" s="455"/>
    </row>
    <row r="666" spans="5:30" ht="14.25" customHeight="1">
      <c r="E666" s="455"/>
      <c r="F666" s="574"/>
      <c r="G666" s="441">
        <v>39629</v>
      </c>
      <c r="H666" s="636">
        <v>0</v>
      </c>
      <c r="I666" s="636"/>
      <c r="J666" s="636">
        <v>170000000</v>
      </c>
      <c r="K666" s="901">
        <v>0.4236981093883514</v>
      </c>
      <c r="M666" s="474"/>
      <c r="N666" s="474"/>
      <c r="O666" s="474"/>
      <c r="P666" s="455"/>
      <c r="Q666" s="474"/>
      <c r="R666" s="474"/>
      <c r="T666" s="474"/>
      <c r="V666" s="455"/>
      <c r="W666" s="455"/>
      <c r="AD666" s="455"/>
    </row>
    <row r="667" spans="5:30" ht="14.25" customHeight="1">
      <c r="E667" s="455"/>
      <c r="G667" s="605"/>
      <c r="H667" s="610"/>
      <c r="I667" s="610"/>
      <c r="J667" s="610"/>
      <c r="M667" s="474"/>
      <c r="N667" s="474"/>
      <c r="O667" s="474"/>
      <c r="P667" s="455"/>
      <c r="Q667" s="474"/>
      <c r="R667" s="474"/>
      <c r="T667" s="474"/>
      <c r="V667" s="455"/>
      <c r="W667" s="455"/>
      <c r="AD667" s="455"/>
    </row>
    <row r="668" spans="5:30" ht="14.25" customHeight="1">
      <c r="E668" s="455"/>
      <c r="G668" s="627"/>
      <c r="H668" s="657"/>
      <c r="I668" s="657"/>
      <c r="J668" s="657"/>
      <c r="M668" s="474"/>
      <c r="N668" s="474"/>
      <c r="O668" s="474"/>
      <c r="P668" s="455"/>
      <c r="Q668" s="474"/>
      <c r="R668" s="474"/>
      <c r="T668" s="474"/>
      <c r="V668" s="455"/>
      <c r="W668" s="455"/>
      <c r="AD668" s="455"/>
    </row>
    <row r="669" spans="5:30" ht="14.25" customHeight="1">
      <c r="E669" s="455"/>
      <c r="F669" s="757" t="s">
        <v>289</v>
      </c>
      <c r="G669" s="605">
        <v>38418</v>
      </c>
      <c r="H669" s="610">
        <v>180000</v>
      </c>
      <c r="I669" s="610">
        <v>-5000</v>
      </c>
      <c r="J669" s="610">
        <v>-900000000</v>
      </c>
      <c r="K669" s="752"/>
      <c r="M669" s="474"/>
      <c r="N669" s="474"/>
      <c r="O669" s="474"/>
      <c r="P669" s="455"/>
      <c r="Q669" s="474"/>
      <c r="R669" s="474"/>
      <c r="T669" s="474"/>
      <c r="V669" s="455"/>
      <c r="W669" s="455"/>
      <c r="AD669" s="455"/>
    </row>
    <row r="670" spans="5:30" ht="14.25" customHeight="1">
      <c r="E670" s="455"/>
      <c r="F670" s="574"/>
      <c r="G670" s="605">
        <v>39147</v>
      </c>
      <c r="H670" s="610">
        <v>40000</v>
      </c>
      <c r="I670" s="610">
        <v>5832</v>
      </c>
      <c r="J670" s="610">
        <v>233280000</v>
      </c>
      <c r="K670" s="752"/>
      <c r="M670" s="474"/>
      <c r="N670" s="474"/>
      <c r="O670" s="474"/>
      <c r="P670" s="455"/>
      <c r="Q670" s="474"/>
      <c r="R670" s="474"/>
      <c r="T670" s="474"/>
      <c r="V670" s="455"/>
      <c r="W670" s="455"/>
      <c r="AD670" s="455"/>
    </row>
    <row r="671" spans="5:30" ht="14.25" customHeight="1">
      <c r="E671" s="455"/>
      <c r="F671" s="574"/>
      <c r="G671" s="627">
        <v>39568</v>
      </c>
      <c r="H671" s="657">
        <v>120000</v>
      </c>
      <c r="I671" s="657">
        <v>6266.8089083333334</v>
      </c>
      <c r="J671" s="657">
        <v>752017069</v>
      </c>
      <c r="K671" s="752"/>
      <c r="M671" s="474"/>
      <c r="N671" s="474"/>
      <c r="O671" s="474"/>
      <c r="P671" s="455"/>
      <c r="Q671" s="474"/>
      <c r="R671" s="474"/>
      <c r="T671" s="474"/>
      <c r="V671" s="455"/>
      <c r="W671" s="455"/>
      <c r="AD671" s="455"/>
    </row>
    <row r="672" spans="5:30" ht="14.25" customHeight="1">
      <c r="E672" s="455"/>
      <c r="F672" s="574"/>
      <c r="G672" s="606">
        <v>39575</v>
      </c>
      <c r="H672" s="614">
        <v>20000</v>
      </c>
      <c r="I672" s="614">
        <v>6372.0287500000004</v>
      </c>
      <c r="J672" s="614">
        <v>127440575</v>
      </c>
      <c r="K672" s="901">
        <v>7.5832948088645935E-2</v>
      </c>
      <c r="M672" s="474"/>
      <c r="N672" s="474"/>
      <c r="O672" s="474"/>
      <c r="P672" s="455"/>
      <c r="Q672" s="474"/>
      <c r="R672" s="474"/>
      <c r="T672" s="474"/>
      <c r="V672" s="455"/>
      <c r="W672" s="455"/>
      <c r="AD672" s="455"/>
    </row>
    <row r="673" spans="5:30" ht="14.25" customHeight="1">
      <c r="E673" s="455"/>
      <c r="G673" s="440"/>
      <c r="H673" s="657"/>
      <c r="I673" s="657"/>
      <c r="J673" s="657"/>
      <c r="M673" s="474"/>
      <c r="N673" s="474"/>
      <c r="O673" s="474"/>
      <c r="P673" s="455"/>
      <c r="Q673" s="474"/>
      <c r="R673" s="474"/>
      <c r="T673" s="474"/>
      <c r="V673" s="455"/>
      <c r="W673" s="455"/>
      <c r="AD673" s="455"/>
    </row>
    <row r="674" spans="5:30" ht="14.25" customHeight="1">
      <c r="E674" s="455"/>
      <c r="F674" s="757" t="s">
        <v>292</v>
      </c>
      <c r="G674" s="605">
        <v>38645</v>
      </c>
      <c r="H674" s="610">
        <v>0</v>
      </c>
      <c r="I674" s="610"/>
      <c r="J674" s="610">
        <v>-1000000000</v>
      </c>
      <c r="K674" s="752"/>
      <c r="M674" s="474"/>
      <c r="N674" s="474"/>
      <c r="O674" s="474"/>
      <c r="P674" s="455"/>
      <c r="Q674" s="474"/>
      <c r="R674" s="474"/>
      <c r="T674" s="474"/>
      <c r="V674" s="455"/>
      <c r="W674" s="455"/>
      <c r="AD674" s="455"/>
    </row>
    <row r="675" spans="5:30" ht="14.25" customHeight="1">
      <c r="E675" s="455"/>
      <c r="F675" s="574"/>
      <c r="G675" s="605">
        <v>38737</v>
      </c>
      <c r="H675" s="610">
        <v>0</v>
      </c>
      <c r="I675" s="610"/>
      <c r="J675" s="610">
        <v>5095890</v>
      </c>
      <c r="K675" s="752"/>
      <c r="M675" s="474"/>
      <c r="N675" s="474"/>
      <c r="O675" s="474"/>
      <c r="P675" s="455"/>
      <c r="Q675" s="474"/>
      <c r="R675" s="474"/>
      <c r="T675" s="474"/>
      <c r="V675" s="455"/>
      <c r="W675" s="455"/>
      <c r="AD675" s="455"/>
    </row>
    <row r="676" spans="5:30" ht="14.25" customHeight="1">
      <c r="E676" s="455"/>
      <c r="F676" s="574"/>
      <c r="G676" s="627">
        <v>38832</v>
      </c>
      <c r="H676" s="657">
        <v>0</v>
      </c>
      <c r="I676" s="657"/>
      <c r="J676" s="657">
        <v>5205479</v>
      </c>
      <c r="K676" s="752"/>
      <c r="M676" s="474"/>
      <c r="N676" s="474"/>
      <c r="O676" s="474"/>
      <c r="P676" s="455"/>
      <c r="Q676" s="474"/>
      <c r="R676" s="474"/>
      <c r="T676" s="474"/>
      <c r="V676" s="455"/>
      <c r="W676" s="455"/>
      <c r="AD676" s="455"/>
    </row>
    <row r="677" spans="5:30" ht="14.25" customHeight="1">
      <c r="E677" s="455"/>
      <c r="F677" s="574"/>
      <c r="G677" s="627">
        <v>38923</v>
      </c>
      <c r="H677" s="657">
        <v>0</v>
      </c>
      <c r="I677" s="657"/>
      <c r="J677" s="657">
        <v>4986301</v>
      </c>
      <c r="K677" s="752"/>
      <c r="M677" s="474"/>
      <c r="N677" s="474"/>
      <c r="O677" s="474"/>
      <c r="P677" s="455"/>
      <c r="Q677" s="474"/>
      <c r="R677" s="474"/>
      <c r="T677" s="474"/>
      <c r="V677" s="455"/>
      <c r="W677" s="455"/>
      <c r="AD677" s="455"/>
    </row>
    <row r="678" spans="5:30" ht="14.25" customHeight="1">
      <c r="E678" s="455"/>
      <c r="F678" s="574"/>
      <c r="G678" s="627">
        <v>39015</v>
      </c>
      <c r="H678" s="657">
        <v>0</v>
      </c>
      <c r="I678" s="657"/>
      <c r="J678" s="657">
        <v>5041096</v>
      </c>
      <c r="K678" s="752"/>
      <c r="M678" s="474"/>
      <c r="N678" s="474"/>
      <c r="O678" s="474"/>
      <c r="P678" s="455"/>
      <c r="Q678" s="474"/>
      <c r="R678" s="474"/>
      <c r="T678" s="474"/>
      <c r="V678" s="455"/>
      <c r="W678" s="455"/>
      <c r="AD678" s="455"/>
    </row>
    <row r="679" spans="5:30" ht="14.25" customHeight="1">
      <c r="E679" s="455"/>
      <c r="F679" s="574"/>
      <c r="G679" s="440">
        <v>39107</v>
      </c>
      <c r="H679" s="657">
        <v>0</v>
      </c>
      <c r="I679" s="657"/>
      <c r="J679" s="657">
        <v>5041096</v>
      </c>
      <c r="K679" s="752"/>
      <c r="M679" s="474"/>
      <c r="N679" s="474"/>
      <c r="O679" s="474"/>
      <c r="P679" s="455"/>
      <c r="Q679" s="474"/>
      <c r="R679" s="474"/>
      <c r="T679" s="474"/>
      <c r="V679" s="455"/>
      <c r="W679" s="455"/>
      <c r="AD679" s="455"/>
    </row>
    <row r="680" spans="5:30" ht="14.25" customHeight="1">
      <c r="E680" s="455"/>
      <c r="F680" s="574"/>
      <c r="G680" s="440">
        <v>39197</v>
      </c>
      <c r="H680" s="657">
        <v>0</v>
      </c>
      <c r="I680" s="657"/>
      <c r="J680" s="657">
        <v>4931507</v>
      </c>
      <c r="K680" s="752"/>
      <c r="M680" s="474"/>
      <c r="N680" s="474"/>
      <c r="O680" s="474"/>
      <c r="P680" s="455"/>
      <c r="Q680" s="474"/>
      <c r="R680" s="474"/>
      <c r="T680" s="474"/>
      <c r="V680" s="455"/>
      <c r="W680" s="455"/>
      <c r="AD680" s="455"/>
    </row>
    <row r="681" spans="5:30" ht="14.25" customHeight="1">
      <c r="E681" s="455"/>
      <c r="F681" s="574"/>
      <c r="G681" s="440">
        <v>39286</v>
      </c>
      <c r="H681" s="657">
        <v>0</v>
      </c>
      <c r="I681" s="657"/>
      <c r="J681" s="657">
        <v>4986301</v>
      </c>
      <c r="K681" s="752"/>
      <c r="M681" s="474"/>
      <c r="N681" s="474"/>
      <c r="O681" s="474"/>
      <c r="P681" s="455"/>
      <c r="Q681" s="474"/>
      <c r="R681" s="474"/>
      <c r="T681" s="474"/>
      <c r="V681" s="455"/>
      <c r="W681" s="455"/>
      <c r="AD681" s="455"/>
    </row>
    <row r="682" spans="5:30" ht="14.25" customHeight="1">
      <c r="E682" s="455"/>
      <c r="F682" s="574"/>
      <c r="G682" s="440">
        <v>39378</v>
      </c>
      <c r="H682" s="657">
        <v>0</v>
      </c>
      <c r="I682" s="657"/>
      <c r="J682" s="657">
        <v>5041096</v>
      </c>
      <c r="K682" s="752"/>
      <c r="M682" s="474"/>
      <c r="N682" s="474"/>
      <c r="O682" s="474"/>
      <c r="P682" s="455"/>
      <c r="Q682" s="474"/>
      <c r="R682" s="474"/>
      <c r="T682" s="474"/>
      <c r="V682" s="455"/>
      <c r="W682" s="455"/>
      <c r="AD682" s="455"/>
    </row>
    <row r="683" spans="5:30" ht="14.25" customHeight="1">
      <c r="E683" s="455"/>
      <c r="F683" s="574"/>
      <c r="G683" s="440">
        <v>39472</v>
      </c>
      <c r="H683" s="657">
        <v>0</v>
      </c>
      <c r="I683" s="657"/>
      <c r="J683" s="657">
        <v>5041096</v>
      </c>
      <c r="K683" s="752"/>
      <c r="M683" s="474"/>
      <c r="N683" s="474"/>
      <c r="O683" s="474"/>
      <c r="P683" s="455"/>
      <c r="Q683" s="474"/>
      <c r="R683" s="474"/>
      <c r="T683" s="474"/>
      <c r="V683" s="455"/>
      <c r="W683" s="455"/>
      <c r="AD683" s="455"/>
    </row>
    <row r="684" spans="5:30" ht="14.25" customHeight="1">
      <c r="E684" s="455"/>
      <c r="F684" s="574"/>
      <c r="G684" s="440">
        <v>39545</v>
      </c>
      <c r="H684" s="657">
        <v>0</v>
      </c>
      <c r="I684" s="657"/>
      <c r="J684" s="657">
        <v>814518538</v>
      </c>
      <c r="K684" s="752"/>
      <c r="M684" s="474"/>
      <c r="N684" s="474"/>
      <c r="O684" s="474"/>
      <c r="P684" s="455"/>
      <c r="Q684" s="474"/>
      <c r="R684" s="474"/>
      <c r="T684" s="474"/>
      <c r="V684" s="455"/>
      <c r="W684" s="455"/>
      <c r="AD684" s="455"/>
    </row>
    <row r="685" spans="5:30" ht="14.25" customHeight="1">
      <c r="E685" s="455"/>
      <c r="F685" s="574"/>
      <c r="G685" s="440">
        <v>39563</v>
      </c>
      <c r="H685" s="657">
        <v>0</v>
      </c>
      <c r="I685" s="657"/>
      <c r="J685" s="657">
        <v>1495890</v>
      </c>
      <c r="K685" s="752"/>
      <c r="M685" s="474"/>
      <c r="N685" s="474"/>
      <c r="O685" s="474"/>
      <c r="P685" s="455"/>
      <c r="Q685" s="474"/>
      <c r="R685" s="474"/>
      <c r="T685" s="474"/>
      <c r="V685" s="455"/>
      <c r="W685" s="455"/>
      <c r="AD685" s="455"/>
    </row>
    <row r="686" spans="5:30" ht="14.25" customHeight="1">
      <c r="E686" s="455"/>
      <c r="F686" s="574"/>
      <c r="G686" s="442">
        <v>39588</v>
      </c>
      <c r="H686" s="614">
        <v>0</v>
      </c>
      <c r="I686" s="614"/>
      <c r="J686" s="614">
        <v>352035857</v>
      </c>
      <c r="K686" s="901">
        <v>8.2097396254539504E-2</v>
      </c>
      <c r="M686" s="474"/>
      <c r="N686" s="474"/>
      <c r="O686" s="474"/>
      <c r="P686" s="455"/>
      <c r="Q686" s="474"/>
      <c r="R686" s="474"/>
      <c r="T686" s="474"/>
      <c r="V686" s="455"/>
      <c r="W686" s="455"/>
      <c r="AD686" s="455"/>
    </row>
    <row r="687" spans="5:30" ht="14.25" customHeight="1">
      <c r="E687" s="455"/>
      <c r="M687" s="474"/>
      <c r="N687" s="474"/>
      <c r="O687" s="474"/>
      <c r="P687" s="455"/>
      <c r="Q687" s="474"/>
      <c r="R687" s="474"/>
      <c r="T687" s="474"/>
      <c r="V687" s="455"/>
      <c r="W687" s="455"/>
      <c r="AD687" s="455"/>
    </row>
    <row r="688" spans="5:30" ht="14.25" customHeight="1">
      <c r="E688" s="455"/>
      <c r="F688" s="757" t="s">
        <v>294</v>
      </c>
      <c r="G688" s="605">
        <v>38856</v>
      </c>
      <c r="H688" s="610">
        <v>16667</v>
      </c>
      <c r="I688" s="610"/>
      <c r="J688" s="610">
        <v>-500010000</v>
      </c>
      <c r="K688" s="752"/>
      <c r="M688" s="474"/>
      <c r="N688" s="474"/>
      <c r="O688" s="474"/>
      <c r="P688" s="455"/>
      <c r="Q688" s="474"/>
      <c r="R688" s="474"/>
      <c r="T688" s="474"/>
      <c r="V688" s="455"/>
      <c r="W688" s="455"/>
      <c r="AD688" s="455"/>
    </row>
    <row r="689" spans="5:30" ht="14.25" customHeight="1">
      <c r="E689" s="455"/>
      <c r="F689" s="574"/>
      <c r="G689" s="605">
        <v>39049</v>
      </c>
      <c r="H689" s="610">
        <v>0</v>
      </c>
      <c r="I689" s="610"/>
      <c r="J689" s="610">
        <v>100000000</v>
      </c>
      <c r="K689" s="752"/>
      <c r="M689" s="474"/>
      <c r="N689" s="474"/>
      <c r="O689" s="474"/>
      <c r="P689" s="455"/>
      <c r="Q689" s="474"/>
      <c r="R689" s="474"/>
      <c r="T689" s="474"/>
      <c r="V689" s="455"/>
      <c r="W689" s="455"/>
      <c r="AD689" s="455"/>
    </row>
    <row r="690" spans="5:30" ht="14.25" customHeight="1">
      <c r="E690" s="455"/>
      <c r="F690" s="574"/>
      <c r="G690" s="440">
        <v>39085</v>
      </c>
      <c r="H690" s="657">
        <v>0</v>
      </c>
      <c r="I690" s="657"/>
      <c r="J690" s="657">
        <v>75000000</v>
      </c>
      <c r="K690" s="752"/>
      <c r="M690" s="474"/>
      <c r="N690" s="474"/>
      <c r="O690" s="474"/>
      <c r="P690" s="455"/>
      <c r="Q690" s="474"/>
      <c r="R690" s="474"/>
      <c r="T690" s="474"/>
      <c r="V690" s="455"/>
      <c r="W690" s="455"/>
      <c r="AD690" s="455"/>
    </row>
    <row r="691" spans="5:30" ht="14.25" customHeight="1">
      <c r="E691" s="455"/>
      <c r="F691" s="574"/>
      <c r="G691" s="440">
        <v>39114</v>
      </c>
      <c r="H691" s="657">
        <v>0</v>
      </c>
      <c r="I691" s="657"/>
      <c r="J691" s="657">
        <v>37500000</v>
      </c>
      <c r="K691" s="752"/>
      <c r="M691" s="474"/>
      <c r="N691" s="474"/>
      <c r="O691" s="474"/>
      <c r="P691" s="455"/>
      <c r="Q691" s="474"/>
      <c r="R691" s="474"/>
      <c r="T691" s="474"/>
      <c r="V691" s="455"/>
      <c r="W691" s="455"/>
      <c r="AD691" s="455"/>
    </row>
    <row r="692" spans="5:30" ht="14.25" customHeight="1">
      <c r="E692" s="455"/>
      <c r="F692" s="574"/>
      <c r="G692" s="440">
        <v>39160</v>
      </c>
      <c r="H692" s="657">
        <v>0</v>
      </c>
      <c r="I692" s="657"/>
      <c r="J692" s="657">
        <v>37500000</v>
      </c>
      <c r="K692" s="752"/>
      <c r="M692" s="474"/>
      <c r="N692" s="474"/>
      <c r="O692" s="474"/>
      <c r="P692" s="455"/>
      <c r="Q692" s="474"/>
      <c r="R692" s="474"/>
      <c r="T692" s="474"/>
      <c r="V692" s="455"/>
      <c r="W692" s="455"/>
      <c r="AD692" s="455"/>
    </row>
    <row r="693" spans="5:30" ht="14.25" customHeight="1">
      <c r="E693" s="455"/>
      <c r="F693" s="574"/>
      <c r="G693" s="440">
        <v>39302</v>
      </c>
      <c r="H693" s="657">
        <v>0</v>
      </c>
      <c r="I693" s="657"/>
      <c r="J693" s="657">
        <v>500010000</v>
      </c>
      <c r="K693" s="752"/>
      <c r="M693" s="474"/>
      <c r="N693" s="474"/>
      <c r="O693" s="474"/>
      <c r="P693" s="455"/>
      <c r="Q693" s="474"/>
      <c r="R693" s="474"/>
      <c r="T693" s="474"/>
      <c r="V693" s="455"/>
      <c r="W693" s="455"/>
      <c r="AD693" s="455"/>
    </row>
    <row r="694" spans="5:30" ht="14.25" customHeight="1">
      <c r="E694" s="455"/>
      <c r="F694" s="574"/>
      <c r="G694" s="442">
        <v>39302</v>
      </c>
      <c r="H694" s="614">
        <v>16667</v>
      </c>
      <c r="I694" s="614"/>
      <c r="J694" s="614">
        <v>-250000000</v>
      </c>
      <c r="K694" s="901">
        <v>2.9802322387695314E-9</v>
      </c>
      <c r="M694" s="474"/>
      <c r="N694" s="474"/>
      <c r="O694" s="474"/>
      <c r="P694" s="455"/>
      <c r="Q694" s="474"/>
      <c r="R694" s="474"/>
      <c r="T694" s="474"/>
      <c r="V694" s="455"/>
      <c r="W694" s="455"/>
      <c r="AD694" s="455"/>
    </row>
    <row r="696" spans="5:30" ht="14.25" customHeight="1">
      <c r="E696" s="455"/>
      <c r="M696" s="474"/>
      <c r="N696" s="474"/>
      <c r="O696" s="474"/>
      <c r="P696" s="455"/>
      <c r="Q696" s="474"/>
      <c r="R696" s="474"/>
      <c r="T696" s="474"/>
      <c r="V696" s="455"/>
      <c r="W696" s="455"/>
      <c r="AD696" s="455"/>
    </row>
    <row r="697" spans="5:30" ht="14.25" customHeight="1">
      <c r="E697" s="455"/>
      <c r="F697" s="835" t="s">
        <v>294</v>
      </c>
      <c r="G697" s="444">
        <v>38856</v>
      </c>
      <c r="H697" s="641">
        <v>0</v>
      </c>
      <c r="I697" s="641"/>
      <c r="J697" s="641">
        <v>-500000000</v>
      </c>
      <c r="K697" s="752"/>
      <c r="M697" s="474"/>
      <c r="N697" s="474"/>
      <c r="O697" s="474"/>
      <c r="P697" s="455"/>
      <c r="Q697" s="474"/>
      <c r="R697" s="474"/>
      <c r="T697" s="474"/>
      <c r="V697" s="455"/>
      <c r="W697" s="455"/>
      <c r="AD697" s="455"/>
    </row>
    <row r="698" spans="5:30" ht="14.25" customHeight="1">
      <c r="E698" s="455"/>
      <c r="F698" s="574"/>
      <c r="G698" s="444">
        <v>39303</v>
      </c>
      <c r="H698" s="641">
        <v>0</v>
      </c>
      <c r="I698" s="641"/>
      <c r="J698" s="641">
        <v>561756000</v>
      </c>
      <c r="K698" s="901">
        <v>9.9763947725296037E-2</v>
      </c>
      <c r="M698" s="474"/>
      <c r="N698" s="474"/>
      <c r="O698" s="474"/>
      <c r="P698" s="455"/>
      <c r="Q698" s="474"/>
      <c r="R698" s="474"/>
      <c r="T698" s="474"/>
      <c r="V698" s="455"/>
      <c r="W698" s="455"/>
      <c r="AD698" s="455"/>
    </row>
    <row r="699" spans="5:30" ht="14.25" customHeight="1">
      <c r="E699" s="455"/>
      <c r="M699" s="474"/>
      <c r="N699" s="474"/>
      <c r="O699" s="474"/>
      <c r="P699" s="455"/>
      <c r="Q699" s="474"/>
      <c r="R699" s="474"/>
      <c r="T699" s="474"/>
      <c r="V699" s="455"/>
      <c r="W699" s="455"/>
      <c r="AD699" s="455"/>
    </row>
    <row r="700" spans="5:30" ht="14.25" customHeight="1">
      <c r="E700" s="455"/>
      <c r="H700" s="642"/>
      <c r="I700" s="610"/>
      <c r="J700" s="610"/>
      <c r="K700" s="634"/>
      <c r="M700" s="474"/>
      <c r="N700" s="474"/>
      <c r="O700" s="474"/>
      <c r="P700" s="455"/>
      <c r="Q700" s="474"/>
      <c r="R700" s="474"/>
      <c r="T700" s="474"/>
      <c r="V700" s="455"/>
      <c r="W700" s="455"/>
      <c r="AD700" s="455"/>
    </row>
    <row r="701" spans="5:30" ht="14.25" customHeight="1">
      <c r="E701" s="455"/>
      <c r="F701" s="906" t="s">
        <v>1230</v>
      </c>
      <c r="G701" s="395">
        <v>38826</v>
      </c>
      <c r="H701" s="607">
        <v>60000</v>
      </c>
      <c r="I701" s="607">
        <v>5000</v>
      </c>
      <c r="J701" s="607">
        <v>-300000000</v>
      </c>
      <c r="K701" s="752"/>
      <c r="M701" s="474"/>
      <c r="N701" s="474"/>
      <c r="O701" s="474"/>
      <c r="P701" s="455"/>
      <c r="Q701" s="474"/>
      <c r="R701" s="474"/>
      <c r="T701" s="474"/>
      <c r="V701" s="455"/>
      <c r="W701" s="455"/>
      <c r="AD701" s="455"/>
    </row>
    <row r="702" spans="5:30" ht="14.25" customHeight="1">
      <c r="E702" s="455"/>
      <c r="F702" s="574"/>
      <c r="G702" s="619">
        <v>40164</v>
      </c>
      <c r="H702" s="607">
        <v>60000</v>
      </c>
      <c r="I702" s="607">
        <v>5704.3013666666666</v>
      </c>
      <c r="J702" s="607">
        <v>342258082</v>
      </c>
      <c r="K702" s="901">
        <v>3.6603668332099923E-2</v>
      </c>
      <c r="M702" s="474"/>
      <c r="N702" s="474"/>
      <c r="O702" s="474"/>
      <c r="P702" s="455"/>
      <c r="Q702" s="474"/>
      <c r="R702" s="474"/>
      <c r="T702" s="474"/>
      <c r="V702" s="455"/>
      <c r="W702" s="455"/>
      <c r="AD702" s="455"/>
    </row>
    <row r="703" spans="5:30" ht="14.25" customHeight="1">
      <c r="E703" s="455"/>
      <c r="H703" s="659"/>
      <c r="K703" s="635"/>
      <c r="M703" s="474"/>
      <c r="N703" s="474"/>
      <c r="O703" s="474"/>
      <c r="P703" s="455"/>
      <c r="Q703" s="474"/>
      <c r="R703" s="474"/>
      <c r="T703" s="474"/>
      <c r="V703" s="455"/>
      <c r="W703" s="455"/>
      <c r="AD703" s="455"/>
    </row>
    <row r="704" spans="5:30" ht="14.25" customHeight="1">
      <c r="E704" s="455"/>
      <c r="H704" s="659"/>
      <c r="K704" s="635"/>
      <c r="M704" s="474"/>
      <c r="N704" s="474"/>
      <c r="O704" s="474"/>
      <c r="P704" s="455"/>
      <c r="Q704" s="474"/>
      <c r="R704" s="474"/>
      <c r="T704" s="474"/>
      <c r="V704" s="455"/>
      <c r="W704" s="455"/>
      <c r="AD704" s="455"/>
    </row>
    <row r="705" spans="5:30" ht="14.25" customHeight="1">
      <c r="E705" s="455"/>
      <c r="H705" s="659"/>
      <c r="K705" s="635"/>
      <c r="M705" s="474"/>
      <c r="N705" s="474"/>
      <c r="O705" s="474"/>
      <c r="P705" s="455"/>
      <c r="Q705" s="474"/>
      <c r="R705" s="474"/>
      <c r="T705" s="474"/>
      <c r="V705" s="455"/>
      <c r="W705" s="455"/>
      <c r="AD705" s="455"/>
    </row>
    <row r="706" spans="5:30" ht="14.25" customHeight="1">
      <c r="E706" s="455"/>
      <c r="H706" s="661"/>
      <c r="I706" s="662"/>
      <c r="K706" s="635"/>
      <c r="M706" s="474"/>
      <c r="N706" s="474"/>
      <c r="O706" s="474"/>
      <c r="P706" s="455"/>
      <c r="Q706" s="474"/>
      <c r="R706" s="474"/>
      <c r="T706" s="474"/>
      <c r="V706" s="455"/>
      <c r="W706" s="455"/>
      <c r="AD706" s="455"/>
    </row>
    <row r="707" spans="5:30" ht="14.25" customHeight="1">
      <c r="E707" s="455"/>
      <c r="H707" s="659"/>
      <c r="K707" s="637"/>
      <c r="M707" s="474"/>
      <c r="N707" s="474"/>
      <c r="O707" s="474"/>
      <c r="P707" s="455"/>
      <c r="Q707" s="474"/>
      <c r="R707" s="474"/>
      <c r="T707" s="474"/>
      <c r="V707" s="455"/>
      <c r="W707" s="455"/>
      <c r="AD707" s="455"/>
    </row>
    <row r="708" spans="5:30" ht="14.25" customHeight="1">
      <c r="E708" s="455"/>
      <c r="H708" s="642">
        <v>40525</v>
      </c>
      <c r="I708" s="610">
        <v>-344590</v>
      </c>
      <c r="J708" s="610">
        <v>6300</v>
      </c>
      <c r="K708" s="634">
        <v>-2170917000</v>
      </c>
      <c r="M708" s="474"/>
      <c r="N708" s="474"/>
      <c r="O708" s="474"/>
      <c r="P708" s="455"/>
      <c r="Q708" s="474"/>
      <c r="R708" s="474"/>
      <c r="T708" s="474"/>
      <c r="V708" s="455"/>
      <c r="W708" s="455"/>
      <c r="AD708" s="455"/>
    </row>
    <row r="709" spans="5:30" ht="14.25" customHeight="1">
      <c r="E709" s="455"/>
      <c r="H709" s="638">
        <v>40855</v>
      </c>
      <c r="I709" s="634">
        <v>12440</v>
      </c>
      <c r="J709" s="634">
        <v>17093.547025723474</v>
      </c>
      <c r="K709" s="634">
        <v>212643725</v>
      </c>
      <c r="M709" s="474"/>
      <c r="N709" s="474"/>
      <c r="O709" s="474"/>
      <c r="P709" s="455"/>
      <c r="Q709" s="474"/>
      <c r="R709" s="474"/>
      <c r="T709" s="474"/>
      <c r="V709" s="455"/>
      <c r="W709" s="455"/>
      <c r="AD709" s="455"/>
    </row>
    <row r="710" spans="5:30" ht="14.25" customHeight="1">
      <c r="E710" s="455"/>
      <c r="H710" s="659">
        <v>40885</v>
      </c>
      <c r="I710" s="637">
        <v>100000</v>
      </c>
      <c r="J710" s="637">
        <v>17417.072</v>
      </c>
      <c r="K710" s="635">
        <v>1741707200</v>
      </c>
      <c r="M710" s="474"/>
      <c r="N710" s="474"/>
      <c r="O710" s="474"/>
      <c r="P710" s="455"/>
      <c r="Q710" s="474"/>
      <c r="R710" s="474"/>
      <c r="T710" s="474"/>
      <c r="V710" s="455"/>
      <c r="W710" s="455"/>
      <c r="AD710" s="455"/>
    </row>
    <row r="711" spans="5:30" ht="14.25" customHeight="1">
      <c r="E711" s="455"/>
      <c r="H711" s="659">
        <v>40886</v>
      </c>
      <c r="I711" s="637">
        <v>100000</v>
      </c>
      <c r="J711" s="637">
        <v>17634.509999999998</v>
      </c>
      <c r="K711" s="635">
        <v>1763451000</v>
      </c>
      <c r="M711" s="474"/>
      <c r="N711" s="474"/>
      <c r="O711" s="474"/>
      <c r="P711" s="455"/>
      <c r="Q711" s="474"/>
      <c r="R711" s="474"/>
      <c r="T711" s="474"/>
      <c r="V711" s="455"/>
      <c r="W711" s="455"/>
      <c r="AD711" s="455"/>
    </row>
    <row r="712" spans="5:30" ht="14.25" customHeight="1">
      <c r="E712" s="455"/>
      <c r="H712" s="659">
        <v>40886</v>
      </c>
      <c r="I712" s="637">
        <v>2000</v>
      </c>
      <c r="J712" s="637">
        <v>19429.8</v>
      </c>
      <c r="K712" s="635">
        <v>38859600</v>
      </c>
      <c r="M712" s="474"/>
      <c r="N712" s="474"/>
      <c r="O712" s="474"/>
      <c r="P712" s="455"/>
      <c r="Q712" s="474"/>
      <c r="R712" s="474"/>
      <c r="T712" s="474"/>
      <c r="V712" s="455"/>
      <c r="W712" s="455"/>
      <c r="AD712" s="455"/>
    </row>
    <row r="713" spans="5:30" ht="14.25" customHeight="1">
      <c r="E713" s="455"/>
      <c r="H713" s="659">
        <v>40903</v>
      </c>
      <c r="I713" s="637">
        <v>3200</v>
      </c>
      <c r="J713" s="637">
        <v>17636.2853125</v>
      </c>
      <c r="K713" s="635">
        <v>56436113</v>
      </c>
      <c r="M713" s="474"/>
      <c r="N713" s="474"/>
      <c r="O713" s="474"/>
      <c r="P713" s="455"/>
      <c r="Q713" s="474"/>
      <c r="R713" s="474"/>
      <c r="T713" s="474"/>
      <c r="V713" s="455"/>
      <c r="W713" s="455"/>
      <c r="AD713" s="455"/>
    </row>
    <row r="714" spans="5:30" ht="14.25" customHeight="1">
      <c r="E714" s="455"/>
      <c r="H714" s="661">
        <v>40905</v>
      </c>
      <c r="I714" s="662">
        <v>7000</v>
      </c>
      <c r="J714" s="637">
        <v>17004.284857142859</v>
      </c>
      <c r="K714" s="635">
        <v>119029994</v>
      </c>
      <c r="M714" s="474"/>
      <c r="N714" s="474"/>
      <c r="O714" s="474"/>
      <c r="P714" s="455"/>
      <c r="Q714" s="474"/>
      <c r="R714" s="474"/>
      <c r="T714" s="474"/>
      <c r="V714" s="455"/>
      <c r="W714" s="455"/>
      <c r="AD714" s="455"/>
    </row>
    <row r="715" spans="5:30" ht="14.25" customHeight="1">
      <c r="E715" s="455"/>
      <c r="H715" s="659">
        <v>40906</v>
      </c>
      <c r="I715" s="637">
        <v>6595</v>
      </c>
      <c r="J715" s="637">
        <v>17631.48779378317</v>
      </c>
      <c r="K715" s="637">
        <v>116279662</v>
      </c>
      <c r="M715" s="474"/>
      <c r="N715" s="474"/>
      <c r="O715" s="474"/>
      <c r="P715" s="455"/>
      <c r="Q715" s="474"/>
      <c r="R715" s="474"/>
      <c r="T715" s="474"/>
      <c r="V715" s="455"/>
      <c r="W715" s="455"/>
      <c r="AD715" s="455"/>
    </row>
    <row r="716" spans="5:30" ht="14.25" customHeight="1">
      <c r="E716" s="455"/>
      <c r="H716" s="643">
        <v>40910</v>
      </c>
      <c r="I716" s="635">
        <v>11000</v>
      </c>
      <c r="J716" s="637">
        <v>18365.464090909092</v>
      </c>
      <c r="K716" s="635">
        <v>202020105</v>
      </c>
      <c r="M716" s="474"/>
      <c r="N716" s="474"/>
      <c r="O716" s="474"/>
      <c r="P716" s="455"/>
      <c r="Q716" s="474"/>
      <c r="R716" s="474"/>
      <c r="T716" s="474"/>
      <c r="V716" s="455"/>
      <c r="W716" s="455"/>
      <c r="AD716" s="455"/>
    </row>
    <row r="717" spans="5:30" ht="14.25" customHeight="1">
      <c r="E717" s="455"/>
      <c r="H717" s="643">
        <v>40911</v>
      </c>
      <c r="I717" s="635">
        <v>11000</v>
      </c>
      <c r="J717" s="637">
        <v>17977.436272727271</v>
      </c>
      <c r="K717" s="635">
        <v>197751799</v>
      </c>
      <c r="M717" s="474"/>
      <c r="N717" s="474"/>
      <c r="O717" s="474"/>
      <c r="P717" s="455"/>
      <c r="Q717" s="474"/>
      <c r="R717" s="474"/>
      <c r="T717" s="474"/>
      <c r="V717" s="455"/>
      <c r="W717" s="455"/>
      <c r="AD717" s="455"/>
    </row>
    <row r="718" spans="5:30" ht="14.25" customHeight="1">
      <c r="E718" s="455"/>
      <c r="H718" s="643">
        <v>40912</v>
      </c>
      <c r="I718" s="635">
        <v>7450</v>
      </c>
      <c r="J718" s="637">
        <v>18042.854362416107</v>
      </c>
      <c r="K718" s="635">
        <v>134419265</v>
      </c>
      <c r="M718" s="474"/>
      <c r="N718" s="474"/>
      <c r="O718" s="474"/>
      <c r="P718" s="455"/>
      <c r="Q718" s="474"/>
      <c r="R718" s="474"/>
      <c r="T718" s="474"/>
      <c r="V718" s="455"/>
      <c r="W718" s="455"/>
      <c r="AD718" s="455"/>
    </row>
    <row r="719" spans="5:30" ht="14.25" customHeight="1">
      <c r="E719" s="455"/>
      <c r="H719" s="643">
        <v>40913</v>
      </c>
      <c r="I719" s="635">
        <v>6000</v>
      </c>
      <c r="J719" s="637">
        <v>17726.340666666667</v>
      </c>
      <c r="K719" s="635">
        <v>106358044</v>
      </c>
      <c r="M719" s="474"/>
      <c r="N719" s="474"/>
      <c r="O719" s="474"/>
      <c r="P719" s="455"/>
      <c r="Q719" s="474"/>
      <c r="R719" s="474"/>
      <c r="T719" s="474"/>
      <c r="V719" s="455"/>
      <c r="W719" s="455"/>
      <c r="AD719" s="455"/>
    </row>
    <row r="720" spans="5:30" ht="14.25" customHeight="1">
      <c r="E720" s="455"/>
      <c r="H720" s="643">
        <v>40914</v>
      </c>
      <c r="I720" s="635">
        <v>3800</v>
      </c>
      <c r="J720" s="637">
        <v>17324.250526315791</v>
      </c>
      <c r="K720" s="635">
        <v>65832152</v>
      </c>
      <c r="L720" s="888"/>
      <c r="M720" s="474"/>
      <c r="N720" s="474"/>
      <c r="O720" s="474"/>
      <c r="P720" s="455"/>
      <c r="Q720" s="474"/>
      <c r="R720" s="474"/>
      <c r="T720" s="474"/>
      <c r="V720" s="455"/>
      <c r="W720" s="455"/>
      <c r="AD720" s="455"/>
    </row>
    <row r="721" spans="5:30" ht="14.25" customHeight="1">
      <c r="E721" s="455"/>
      <c r="H721" s="643">
        <v>40917</v>
      </c>
      <c r="I721" s="635">
        <v>6000</v>
      </c>
      <c r="J721" s="637">
        <v>17528.344666666668</v>
      </c>
      <c r="K721" s="635">
        <v>105170068</v>
      </c>
      <c r="M721" s="474"/>
      <c r="N721" s="474"/>
      <c r="O721" s="474"/>
      <c r="P721" s="455"/>
      <c r="Q721" s="474"/>
      <c r="R721" s="474"/>
      <c r="T721" s="474"/>
      <c r="V721" s="455"/>
      <c r="W721" s="455"/>
      <c r="AD721" s="455"/>
    </row>
    <row r="722" spans="5:30" ht="14.25" customHeight="1">
      <c r="E722" s="455"/>
      <c r="H722" s="643">
        <v>40918</v>
      </c>
      <c r="I722" s="635">
        <v>5800</v>
      </c>
      <c r="J722" s="637">
        <v>17358.510689655173</v>
      </c>
      <c r="K722" s="635">
        <v>100679362</v>
      </c>
      <c r="M722" s="474"/>
      <c r="N722" s="474"/>
      <c r="O722" s="474"/>
      <c r="P722" s="455"/>
      <c r="Q722" s="474"/>
      <c r="R722" s="474"/>
      <c r="T722" s="474"/>
      <c r="V722" s="455"/>
      <c r="W722" s="455"/>
      <c r="AD722" s="455"/>
    </row>
    <row r="723" spans="5:30" ht="14.25" customHeight="1">
      <c r="E723" s="455"/>
      <c r="F723" s="574"/>
      <c r="G723" s="753"/>
      <c r="H723" s="643">
        <v>40919</v>
      </c>
      <c r="I723" s="635">
        <v>14050</v>
      </c>
      <c r="J723" s="637">
        <v>17031.722633451958</v>
      </c>
      <c r="K723" s="635">
        <v>239295703</v>
      </c>
      <c r="L723" s="752"/>
      <c r="M723" s="474"/>
      <c r="N723" s="474"/>
      <c r="O723" s="474"/>
      <c r="P723" s="455"/>
      <c r="Q723" s="474"/>
      <c r="R723" s="474"/>
      <c r="T723" s="474"/>
      <c r="V723" s="455"/>
      <c r="W723" s="455"/>
      <c r="AD723" s="455"/>
    </row>
    <row r="724" spans="5:30" ht="14.25" customHeight="1">
      <c r="E724" s="455"/>
      <c r="F724" s="574"/>
      <c r="G724" s="753"/>
      <c r="H724" s="643">
        <v>40920</v>
      </c>
      <c r="I724" s="635">
        <v>13255</v>
      </c>
      <c r="J724" s="637">
        <v>17240.292644285175</v>
      </c>
      <c r="K724" s="635">
        <v>228520079</v>
      </c>
      <c r="L724" s="752"/>
      <c r="M724" s="474"/>
      <c r="N724" s="474"/>
      <c r="O724" s="474"/>
      <c r="P724" s="455"/>
      <c r="Q724" s="474"/>
      <c r="R724" s="474"/>
      <c r="T724" s="474"/>
      <c r="V724" s="455"/>
      <c r="W724" s="455"/>
      <c r="AD724" s="455"/>
    </row>
    <row r="725" spans="5:30" ht="14.25" customHeight="1">
      <c r="E725" s="455"/>
      <c r="F725" s="574"/>
      <c r="G725" s="753"/>
      <c r="H725" s="518">
        <v>40921</v>
      </c>
      <c r="I725" s="452">
        <v>9186</v>
      </c>
      <c r="J725" s="637">
        <v>17582.896146309602</v>
      </c>
      <c r="K725" s="452">
        <v>161516484</v>
      </c>
      <c r="L725" s="752"/>
      <c r="M725" s="474"/>
      <c r="N725" s="474"/>
      <c r="O725" s="474"/>
      <c r="P725" s="455"/>
      <c r="Q725" s="474"/>
      <c r="R725" s="474"/>
      <c r="T725" s="474"/>
      <c r="V725" s="455"/>
      <c r="W725" s="455"/>
      <c r="AD725" s="455"/>
    </row>
    <row r="726" spans="5:30" ht="14.25" customHeight="1">
      <c r="E726" s="455"/>
      <c r="F726" s="574"/>
      <c r="G726" s="753"/>
      <c r="H726" s="518">
        <v>40924</v>
      </c>
      <c r="I726" s="452">
        <v>11347</v>
      </c>
      <c r="J726" s="637">
        <v>17948.794394994271</v>
      </c>
      <c r="K726" s="452">
        <v>203664970</v>
      </c>
      <c r="L726" s="752"/>
      <c r="M726" s="474"/>
      <c r="N726" s="474"/>
      <c r="O726" s="474"/>
      <c r="P726" s="455"/>
      <c r="Q726" s="474"/>
      <c r="R726" s="474"/>
      <c r="T726" s="474"/>
      <c r="V726" s="455"/>
      <c r="W726" s="455"/>
      <c r="AD726" s="455"/>
    </row>
    <row r="727" spans="5:30" ht="14.25" customHeight="1">
      <c r="E727" s="455"/>
      <c r="F727" s="574"/>
      <c r="G727" s="753"/>
      <c r="H727" s="518">
        <v>40925</v>
      </c>
      <c r="I727" s="452">
        <v>14467</v>
      </c>
      <c r="J727" s="637">
        <v>18135.389991014032</v>
      </c>
      <c r="K727" s="452">
        <v>262364687</v>
      </c>
      <c r="L727" s="752"/>
      <c r="M727" s="474"/>
      <c r="N727" s="474"/>
      <c r="O727" s="474"/>
      <c r="P727" s="455"/>
      <c r="Q727" s="474"/>
      <c r="R727" s="474"/>
      <c r="T727" s="474"/>
      <c r="V727" s="455"/>
      <c r="W727" s="455"/>
      <c r="AD727" s="455"/>
    </row>
    <row r="728" spans="5:30" ht="14.25" customHeight="1">
      <c r="E728" s="455"/>
      <c r="F728" s="574"/>
      <c r="G728" s="753"/>
      <c r="H728" s="457">
        <v>41011</v>
      </c>
      <c r="I728" s="636"/>
      <c r="J728" s="636"/>
      <c r="K728" s="636">
        <v>5667750</v>
      </c>
      <c r="L728" s="888">
        <v>1.7480430245399474</v>
      </c>
      <c r="M728" s="474"/>
      <c r="N728" s="474"/>
      <c r="O728" s="474"/>
      <c r="P728" s="455"/>
      <c r="Q728" s="474"/>
      <c r="R728" s="474"/>
      <c r="T728" s="474"/>
      <c r="V728" s="455"/>
      <c r="W728" s="455"/>
      <c r="AD728" s="455"/>
    </row>
    <row r="732" spans="5:30" ht="14.25" customHeight="1">
      <c r="E732" s="455"/>
      <c r="F732" s="906"/>
      <c r="G732" s="395"/>
      <c r="H732" s="607"/>
      <c r="I732" s="607"/>
      <c r="J732" s="607"/>
      <c r="M732" s="474"/>
      <c r="N732" s="474"/>
      <c r="O732" s="474"/>
      <c r="P732" s="455"/>
      <c r="Q732" s="474"/>
      <c r="R732" s="474"/>
      <c r="T732" s="474"/>
      <c r="V732" s="455"/>
      <c r="W732" s="455"/>
      <c r="AD732" s="455"/>
    </row>
    <row r="733" spans="5:30" ht="14.25" customHeight="1">
      <c r="E733" s="455"/>
      <c r="F733" s="757" t="s">
        <v>288</v>
      </c>
      <c r="G733" s="605">
        <v>38345</v>
      </c>
      <c r="H733" s="610">
        <v>13941</v>
      </c>
      <c r="I733" s="610">
        <v>-75000</v>
      </c>
      <c r="J733" s="610">
        <v>-1045575000</v>
      </c>
      <c r="K733" s="752"/>
      <c r="L733" s="752"/>
      <c r="M733" s="474"/>
      <c r="N733" s="474"/>
      <c r="O733" s="474"/>
      <c r="P733" s="455"/>
      <c r="Q733" s="474"/>
      <c r="R733" s="474"/>
      <c r="T733" s="474"/>
      <c r="V733" s="455"/>
      <c r="W733" s="455"/>
      <c r="AD733" s="455"/>
    </row>
    <row r="734" spans="5:30" ht="14.25" customHeight="1">
      <c r="E734" s="455"/>
      <c r="F734" s="574"/>
      <c r="G734" s="445">
        <v>39189</v>
      </c>
      <c r="H734" s="610">
        <v>13941</v>
      </c>
      <c r="I734" s="610">
        <v>117497.79233914353</v>
      </c>
      <c r="J734" s="610">
        <v>881600000</v>
      </c>
      <c r="K734" s="752"/>
      <c r="L734" s="752"/>
      <c r="M734" s="474"/>
      <c r="N734" s="474"/>
      <c r="O734" s="474"/>
      <c r="P734" s="455"/>
      <c r="Q734" s="474"/>
      <c r="R734" s="474"/>
      <c r="T734" s="474"/>
      <c r="V734" s="455"/>
      <c r="W734" s="455"/>
      <c r="AD734" s="455"/>
    </row>
    <row r="735" spans="5:30" ht="14.25" customHeight="1">
      <c r="E735" s="455"/>
      <c r="F735" s="574"/>
      <c r="G735" s="440">
        <v>39199</v>
      </c>
      <c r="H735" s="657">
        <v>0</v>
      </c>
      <c r="I735" s="657"/>
      <c r="J735" s="657">
        <v>428431005</v>
      </c>
      <c r="K735" s="752"/>
      <c r="L735" s="752"/>
      <c r="M735" s="474"/>
      <c r="N735" s="474"/>
      <c r="O735" s="474"/>
      <c r="P735" s="455"/>
      <c r="Q735" s="474"/>
      <c r="R735" s="474"/>
      <c r="T735" s="474"/>
      <c r="V735" s="455"/>
      <c r="W735" s="455"/>
      <c r="AD735" s="455"/>
    </row>
    <row r="736" spans="5:30" ht="14.25" customHeight="1">
      <c r="E736" s="455"/>
      <c r="F736" s="574"/>
      <c r="G736" s="442">
        <v>39567</v>
      </c>
      <c r="H736" s="614">
        <v>0</v>
      </c>
      <c r="I736" s="614"/>
      <c r="J736" s="614">
        <v>328005718</v>
      </c>
      <c r="K736" s="888">
        <v>0.19565183520317075</v>
      </c>
      <c r="L736" s="752"/>
      <c r="M736" s="474"/>
      <c r="N736" s="474"/>
      <c r="O736" s="474"/>
      <c r="P736" s="455"/>
      <c r="Q736" s="474"/>
      <c r="R736" s="474"/>
      <c r="T736" s="474"/>
      <c r="V736" s="455"/>
      <c r="W736" s="455"/>
      <c r="AD736" s="455"/>
    </row>
    <row r="740" spans="5:30" ht="14.25" customHeight="1">
      <c r="E740" s="455"/>
      <c r="F740" s="906" t="s">
        <v>660</v>
      </c>
      <c r="G740" s="395">
        <v>39806</v>
      </c>
      <c r="H740" s="607"/>
      <c r="I740" s="607"/>
      <c r="J740" s="607">
        <v>-1000000000</v>
      </c>
      <c r="K740" s="752"/>
      <c r="M740" s="474"/>
      <c r="N740" s="474"/>
      <c r="O740" s="474"/>
      <c r="P740" s="455"/>
      <c r="Q740" s="474"/>
      <c r="R740" s="474"/>
      <c r="T740" s="474"/>
      <c r="V740" s="455"/>
      <c r="W740" s="455"/>
      <c r="AD740" s="455"/>
    </row>
    <row r="741" spans="5:30" ht="14.25" customHeight="1">
      <c r="E741" s="455"/>
      <c r="F741" s="574"/>
      <c r="G741" s="619">
        <v>39896</v>
      </c>
      <c r="H741" s="607"/>
      <c r="I741" s="607"/>
      <c r="J741" s="607">
        <v>1011416438</v>
      </c>
      <c r="K741" s="888">
        <v>4.7113886475563041E-2</v>
      </c>
      <c r="M741" s="474"/>
      <c r="N741" s="474"/>
      <c r="O741" s="474"/>
      <c r="P741" s="455"/>
      <c r="Q741" s="474"/>
      <c r="R741" s="474"/>
      <c r="T741" s="474"/>
      <c r="V741" s="455"/>
      <c r="W741" s="455"/>
      <c r="AD741" s="455"/>
    </row>
  </sheetData>
  <autoFilter ref="A3:X465"/>
  <mergeCells count="1">
    <mergeCell ref="B3:C3"/>
  </mergeCells>
  <phoneticPr fontId="2" type="noConversion"/>
  <pageMargins left="0.19685039370078741" right="0.19685039370078741" top="0.6692913385826772" bottom="0.15748031496062992" header="0.31496062992125984" footer="0.31496062992125984"/>
  <pageSetup paperSize="9" scale="45" orientation="landscape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8"/>
  <sheetViews>
    <sheetView view="pageBreakPreview" zoomScale="85" zoomScaleSheetLayoutView="85" workbookViewId="0">
      <selection activeCell="F54" sqref="F54"/>
    </sheetView>
  </sheetViews>
  <sheetFormatPr defaultRowHeight="13.5"/>
  <cols>
    <col min="1" max="1" width="9" style="608"/>
    <col min="2" max="2" width="16" style="608" customWidth="1"/>
    <col min="3" max="3" width="16.125" style="608" bestFit="1" customWidth="1"/>
    <col min="4" max="4" width="11.75" style="608" bestFit="1" customWidth="1"/>
    <col min="5" max="5" width="11.125" style="608" bestFit="1" customWidth="1"/>
    <col min="6" max="6" width="10.625" style="608" customWidth="1"/>
    <col min="7" max="7" width="17.375" style="611" bestFit="1" customWidth="1"/>
    <col min="8" max="8" width="17.75" style="306" customWidth="1"/>
    <col min="9" max="9" width="10.25" style="608" customWidth="1"/>
    <col min="10" max="10" width="11.25" style="608" bestFit="1" customWidth="1"/>
    <col min="11" max="11" width="13.5" style="608" bestFit="1" customWidth="1"/>
    <col min="12" max="12" width="14.25" style="608" customWidth="1"/>
    <col min="13" max="13" width="15.125" style="608" customWidth="1"/>
    <col min="14" max="14" width="14.5" style="608" customWidth="1"/>
    <col min="15" max="15" width="11.25" style="608" customWidth="1"/>
    <col min="16" max="16" width="16.375" style="608" customWidth="1"/>
    <col min="17" max="17" width="12.75" style="608" customWidth="1"/>
    <col min="18" max="18" width="13.25" style="649" customWidth="1"/>
    <col min="19" max="19" width="9.125" style="608" bestFit="1" customWidth="1"/>
    <col min="20" max="20" width="11.875" style="608" bestFit="1" customWidth="1"/>
    <col min="21" max="21" width="9.625" style="608" bestFit="1" customWidth="1"/>
    <col min="22" max="22" width="9.125" style="608" bestFit="1" customWidth="1"/>
    <col min="23" max="23" width="16.125" style="608" bestFit="1" customWidth="1"/>
    <col min="24" max="24" width="9.125" style="608" bestFit="1" customWidth="1"/>
    <col min="25" max="25" width="15.125" style="608" customWidth="1"/>
    <col min="26" max="26" width="11.625" style="608" bestFit="1" customWidth="1"/>
    <col min="27" max="27" width="11.125" style="608" bestFit="1" customWidth="1"/>
    <col min="28" max="28" width="16.375" style="608" bestFit="1" customWidth="1"/>
    <col min="29" max="29" width="16.125" style="608" bestFit="1" customWidth="1"/>
    <col min="30" max="30" width="17.125" style="608" bestFit="1" customWidth="1"/>
    <col min="31" max="32" width="11.625" style="608" bestFit="1" customWidth="1"/>
    <col min="33" max="33" width="11" style="608" bestFit="1" customWidth="1"/>
    <col min="34" max="34" width="16.125" style="611" bestFit="1" customWidth="1"/>
    <col min="35" max="35" width="14.875" style="608" bestFit="1" customWidth="1"/>
    <col min="36" max="36" width="13.375" style="608" bestFit="1" customWidth="1"/>
    <col min="37" max="16384" width="9" style="608"/>
  </cols>
  <sheetData>
    <row r="1" spans="1:34" ht="16.5">
      <c r="A1" s="305" t="s">
        <v>1293</v>
      </c>
    </row>
    <row r="3" spans="1:34" s="649" customFormat="1" ht="20.25" customHeight="1">
      <c r="A3" s="462" t="s">
        <v>473</v>
      </c>
      <c r="B3" s="462" t="s">
        <v>419</v>
      </c>
      <c r="C3" s="462" t="s">
        <v>474</v>
      </c>
      <c r="D3" s="462" t="s">
        <v>1259</v>
      </c>
      <c r="E3" s="462" t="s">
        <v>820</v>
      </c>
      <c r="F3" s="462" t="s">
        <v>1294</v>
      </c>
      <c r="G3" s="464" t="s">
        <v>1295</v>
      </c>
      <c r="H3" s="464" t="s">
        <v>1262</v>
      </c>
      <c r="I3" s="462" t="s">
        <v>1263</v>
      </c>
      <c r="J3" s="462" t="s">
        <v>820</v>
      </c>
      <c r="K3" s="462" t="s">
        <v>1294</v>
      </c>
      <c r="L3" s="462" t="s">
        <v>504</v>
      </c>
      <c r="M3" s="462" t="s">
        <v>797</v>
      </c>
      <c r="N3" s="462" t="s">
        <v>1268</v>
      </c>
      <c r="O3" s="462" t="s">
        <v>569</v>
      </c>
      <c r="P3" s="462" t="s">
        <v>1269</v>
      </c>
      <c r="Q3" s="462" t="s">
        <v>433</v>
      </c>
      <c r="R3" s="462" t="s">
        <v>825</v>
      </c>
      <c r="T3" s="574"/>
      <c r="U3" s="574"/>
      <c r="V3" s="574"/>
      <c r="W3" s="574"/>
      <c r="X3" s="574"/>
      <c r="AH3" s="306"/>
    </row>
    <row r="4" spans="1:34" ht="16.5">
      <c r="A4" s="505" t="s">
        <v>815</v>
      </c>
      <c r="B4" s="656" t="s">
        <v>1297</v>
      </c>
      <c r="C4" s="656" t="s">
        <v>1304</v>
      </c>
      <c r="D4" s="642">
        <v>39583</v>
      </c>
      <c r="E4" s="656"/>
      <c r="F4" s="656"/>
      <c r="G4" s="610">
        <v>2000000000</v>
      </c>
      <c r="H4" s="492" t="s">
        <v>1287</v>
      </c>
      <c r="I4" s="642">
        <v>39708</v>
      </c>
      <c r="J4" s="610"/>
      <c r="K4" s="610"/>
      <c r="L4" s="610">
        <v>1128253425</v>
      </c>
      <c r="M4" s="610">
        <v>1100000000</v>
      </c>
      <c r="N4" s="610">
        <f t="shared" ref="N4:N15" si="0">+L4-M4</f>
        <v>28253425</v>
      </c>
      <c r="O4" s="612" t="s">
        <v>491</v>
      </c>
      <c r="P4" s="610"/>
      <c r="Q4" s="610"/>
      <c r="R4" s="492" t="s">
        <v>1250</v>
      </c>
      <c r="T4" s="435"/>
      <c r="U4" s="435"/>
      <c r="V4" s="435"/>
      <c r="W4" s="435"/>
      <c r="X4" s="435"/>
      <c r="Y4" s="652">
        <v>40203</v>
      </c>
      <c r="Z4" s="657"/>
      <c r="AA4" s="657"/>
      <c r="AB4" s="657">
        <v>50410959</v>
      </c>
      <c r="AC4" s="435"/>
    </row>
    <row r="5" spans="1:34">
      <c r="A5" s="505" t="s">
        <v>815</v>
      </c>
      <c r="B5" s="655" t="s">
        <v>1297</v>
      </c>
      <c r="C5" s="655" t="s">
        <v>1304</v>
      </c>
      <c r="D5" s="651"/>
      <c r="E5" s="655"/>
      <c r="F5" s="655"/>
      <c r="G5" s="614"/>
      <c r="H5" s="494"/>
      <c r="I5" s="651">
        <v>40338</v>
      </c>
      <c r="J5" s="614"/>
      <c r="K5" s="614"/>
      <c r="L5" s="614">
        <v>976058516</v>
      </c>
      <c r="M5" s="614">
        <v>900000000</v>
      </c>
      <c r="N5" s="614">
        <f t="shared" si="0"/>
        <v>76058516</v>
      </c>
      <c r="O5" s="613" t="s">
        <v>491</v>
      </c>
      <c r="P5" s="614">
        <f>+G4-M4-M5</f>
        <v>0</v>
      </c>
      <c r="Q5" s="614"/>
      <c r="R5" s="494"/>
      <c r="T5" s="615"/>
      <c r="U5" s="615"/>
      <c r="V5" s="615"/>
      <c r="W5" s="615"/>
      <c r="X5" s="680"/>
      <c r="Y5" s="651">
        <v>40227</v>
      </c>
      <c r="Z5" s="614"/>
      <c r="AA5" s="614"/>
      <c r="AB5" s="614">
        <v>4293150684</v>
      </c>
      <c r="AC5" s="677">
        <v>0.13856422305107116</v>
      </c>
    </row>
    <row r="6" spans="1:34" ht="16.5">
      <c r="A6" s="505" t="s">
        <v>508</v>
      </c>
      <c r="B6" s="656" t="s">
        <v>1297</v>
      </c>
      <c r="C6" s="656" t="s">
        <v>1305</v>
      </c>
      <c r="D6" s="642">
        <v>39645</v>
      </c>
      <c r="E6" s="656"/>
      <c r="F6" s="656"/>
      <c r="G6" s="610">
        <v>1300000000</v>
      </c>
      <c r="H6" s="492" t="s">
        <v>1287</v>
      </c>
      <c r="I6" s="642">
        <v>40298</v>
      </c>
      <c r="J6" s="610"/>
      <c r="K6" s="610"/>
      <c r="L6" s="610">
        <v>758352110</v>
      </c>
      <c r="M6" s="610">
        <v>650000000</v>
      </c>
      <c r="N6" s="610">
        <f t="shared" si="0"/>
        <v>108352110</v>
      </c>
      <c r="O6" s="612" t="s">
        <v>1306</v>
      </c>
      <c r="P6" s="610">
        <f>+G6:G7-SUM(M6:M7)</f>
        <v>0</v>
      </c>
      <c r="Q6" s="610"/>
      <c r="R6" s="492"/>
      <c r="T6" s="642">
        <v>39583</v>
      </c>
      <c r="U6" s="656"/>
      <c r="V6" s="656"/>
      <c r="W6" s="610">
        <v>-2000000000</v>
      </c>
      <c r="X6" s="435"/>
      <c r="Y6" s="435"/>
      <c r="Z6" s="435"/>
      <c r="AA6" s="435"/>
      <c r="AB6" s="435"/>
      <c r="AC6" s="435"/>
    </row>
    <row r="7" spans="1:34" ht="16.5">
      <c r="A7" s="505" t="s">
        <v>508</v>
      </c>
      <c r="B7" s="655" t="s">
        <v>1297</v>
      </c>
      <c r="C7" s="655" t="s">
        <v>1307</v>
      </c>
      <c r="D7" s="651"/>
      <c r="E7" s="655"/>
      <c r="F7" s="655"/>
      <c r="G7" s="614"/>
      <c r="H7" s="494"/>
      <c r="I7" s="651">
        <v>40421</v>
      </c>
      <c r="J7" s="614"/>
      <c r="K7" s="614"/>
      <c r="L7" s="614">
        <v>780698090</v>
      </c>
      <c r="M7" s="614">
        <v>650000000</v>
      </c>
      <c r="N7" s="614">
        <f t="shared" si="0"/>
        <v>130698090</v>
      </c>
      <c r="O7" s="613" t="s">
        <v>1308</v>
      </c>
      <c r="P7" s="614"/>
      <c r="Q7" s="614"/>
      <c r="R7" s="494"/>
      <c r="T7" s="642">
        <v>39708</v>
      </c>
      <c r="U7" s="610"/>
      <c r="V7" s="610"/>
      <c r="W7" s="610">
        <v>1128253425</v>
      </c>
      <c r="X7" s="435"/>
      <c r="Y7" s="435"/>
      <c r="Z7" s="435"/>
      <c r="AA7" s="435"/>
      <c r="AB7" s="435"/>
      <c r="AC7" s="435"/>
    </row>
    <row r="8" spans="1:34">
      <c r="A8" s="505" t="s">
        <v>508</v>
      </c>
      <c r="B8" s="656" t="s">
        <v>1444</v>
      </c>
      <c r="C8" s="656" t="s">
        <v>1445</v>
      </c>
      <c r="D8" s="642">
        <v>39813</v>
      </c>
      <c r="E8" s="656"/>
      <c r="F8" s="656"/>
      <c r="G8" s="610">
        <v>5000000000</v>
      </c>
      <c r="H8" s="492" t="s">
        <v>1446</v>
      </c>
      <c r="I8" s="642">
        <v>39882</v>
      </c>
      <c r="J8" s="656"/>
      <c r="K8" s="656"/>
      <c r="L8" s="610">
        <v>2064273973</v>
      </c>
      <c r="M8" s="610">
        <v>2000000000</v>
      </c>
      <c r="N8" s="610">
        <f t="shared" si="0"/>
        <v>64273973</v>
      </c>
      <c r="O8" s="612" t="s">
        <v>491</v>
      </c>
      <c r="P8" s="610">
        <f>+G8-SUM(M8:M9)</f>
        <v>0</v>
      </c>
      <c r="Q8" s="610"/>
      <c r="R8" s="492" t="s">
        <v>338</v>
      </c>
      <c r="T8" s="651">
        <v>40338</v>
      </c>
      <c r="U8" s="614"/>
      <c r="V8" s="614"/>
      <c r="W8" s="614">
        <v>976058516</v>
      </c>
    </row>
    <row r="9" spans="1:34">
      <c r="A9" s="505" t="s">
        <v>508</v>
      </c>
      <c r="B9" s="655" t="s">
        <v>1444</v>
      </c>
      <c r="C9" s="655" t="s">
        <v>1445</v>
      </c>
      <c r="D9" s="651"/>
      <c r="E9" s="655"/>
      <c r="F9" s="655"/>
      <c r="G9" s="614"/>
      <c r="H9" s="494"/>
      <c r="I9" s="651">
        <v>40535</v>
      </c>
      <c r="J9" s="655"/>
      <c r="K9" s="655"/>
      <c r="L9" s="614">
        <v>3956879887</v>
      </c>
      <c r="M9" s="614">
        <v>3000000000</v>
      </c>
      <c r="N9" s="614">
        <f t="shared" si="0"/>
        <v>956879887</v>
      </c>
      <c r="O9" s="613" t="s">
        <v>491</v>
      </c>
      <c r="P9" s="614"/>
      <c r="Q9" s="614"/>
      <c r="R9" s="494"/>
      <c r="T9" s="642">
        <v>39958</v>
      </c>
      <c r="U9" s="610">
        <v>281250</v>
      </c>
      <c r="V9" s="610">
        <v>3200</v>
      </c>
      <c r="W9" s="610">
        <v>-900000000</v>
      </c>
    </row>
    <row r="10" spans="1:34">
      <c r="A10" s="505" t="s">
        <v>508</v>
      </c>
      <c r="B10" s="609" t="s">
        <v>1447</v>
      </c>
      <c r="C10" s="609" t="s">
        <v>1445</v>
      </c>
      <c r="D10" s="640">
        <v>39813</v>
      </c>
      <c r="E10" s="609"/>
      <c r="F10" s="609"/>
      <c r="G10" s="641">
        <v>500000000</v>
      </c>
      <c r="H10" s="462" t="s">
        <v>1448</v>
      </c>
      <c r="I10" s="640">
        <v>39825</v>
      </c>
      <c r="J10" s="609"/>
      <c r="K10" s="609"/>
      <c r="L10" s="641">
        <v>502794521</v>
      </c>
      <c r="M10" s="641">
        <v>500000000</v>
      </c>
      <c r="N10" s="641">
        <f t="shared" si="0"/>
        <v>2794521</v>
      </c>
      <c r="O10" s="464" t="s">
        <v>1309</v>
      </c>
      <c r="P10" s="641">
        <f>+G10-M10</f>
        <v>0</v>
      </c>
      <c r="Q10" s="641"/>
      <c r="R10" s="462" t="s">
        <v>1309</v>
      </c>
      <c r="T10" s="605">
        <v>39968</v>
      </c>
      <c r="U10" s="610">
        <v>12840</v>
      </c>
      <c r="V10" s="610">
        <v>19301.73769470405</v>
      </c>
      <c r="W10" s="610">
        <v>247834312</v>
      </c>
      <c r="Y10" s="640">
        <v>39813</v>
      </c>
      <c r="Z10" s="609"/>
      <c r="AA10" s="609"/>
      <c r="AB10" s="641">
        <v>-500000000</v>
      </c>
    </row>
    <row r="11" spans="1:34" ht="16.5">
      <c r="A11" s="505" t="s">
        <v>508</v>
      </c>
      <c r="B11" s="656" t="s">
        <v>490</v>
      </c>
      <c r="C11" s="656" t="s">
        <v>507</v>
      </c>
      <c r="D11" s="642">
        <v>39927</v>
      </c>
      <c r="E11" s="656"/>
      <c r="F11" s="656"/>
      <c r="G11" s="610">
        <v>2400000000</v>
      </c>
      <c r="H11" s="492" t="s">
        <v>351</v>
      </c>
      <c r="I11" s="642">
        <v>40018</v>
      </c>
      <c r="J11" s="656"/>
      <c r="K11" s="656"/>
      <c r="L11" s="610">
        <v>29917808</v>
      </c>
      <c r="M11" s="610">
        <v>0</v>
      </c>
      <c r="N11" s="610">
        <f t="shared" si="0"/>
        <v>29917808</v>
      </c>
      <c r="O11" s="612" t="s">
        <v>491</v>
      </c>
      <c r="P11" s="610"/>
      <c r="Q11" s="641"/>
      <c r="R11" s="462" t="s">
        <v>338</v>
      </c>
      <c r="T11" s="627">
        <v>39969</v>
      </c>
      <c r="U11" s="657">
        <v>12840</v>
      </c>
      <c r="V11" s="657">
        <v>18767.085280373831</v>
      </c>
      <c r="W11" s="657">
        <v>240969375</v>
      </c>
      <c r="Y11" s="640">
        <v>39825</v>
      </c>
      <c r="Z11" s="609"/>
      <c r="AA11" s="609"/>
      <c r="AB11" s="641">
        <v>502794521</v>
      </c>
      <c r="AC11" s="682">
        <f>+XIRR(AB10:AB11,Y10:Y11)</f>
        <v>0.18474400639534</v>
      </c>
    </row>
    <row r="12" spans="1:34">
      <c r="A12" s="505" t="s">
        <v>508</v>
      </c>
      <c r="B12" s="654" t="s">
        <v>490</v>
      </c>
      <c r="C12" s="654" t="s">
        <v>507</v>
      </c>
      <c r="D12" s="652"/>
      <c r="E12" s="654"/>
      <c r="F12" s="654"/>
      <c r="G12" s="657"/>
      <c r="H12" s="493"/>
      <c r="I12" s="652">
        <v>40112</v>
      </c>
      <c r="J12" s="654"/>
      <c r="K12" s="654"/>
      <c r="L12" s="657">
        <v>30246575</v>
      </c>
      <c r="M12" s="657"/>
      <c r="N12" s="657">
        <f t="shared" si="0"/>
        <v>30246575</v>
      </c>
      <c r="O12" s="650" t="s">
        <v>491</v>
      </c>
      <c r="P12" s="657"/>
      <c r="Q12" s="641"/>
      <c r="R12" s="462"/>
      <c r="T12" s="627">
        <v>39972</v>
      </c>
      <c r="U12" s="657">
        <v>6500</v>
      </c>
      <c r="V12" s="657">
        <v>18640.786153846155</v>
      </c>
      <c r="W12" s="657">
        <v>121165110</v>
      </c>
    </row>
    <row r="13" spans="1:34">
      <c r="A13" s="505" t="s">
        <v>508</v>
      </c>
      <c r="B13" s="654" t="s">
        <v>490</v>
      </c>
      <c r="C13" s="654" t="s">
        <v>507</v>
      </c>
      <c r="D13" s="652"/>
      <c r="E13" s="654"/>
      <c r="F13" s="654"/>
      <c r="G13" s="657"/>
      <c r="H13" s="493"/>
      <c r="I13" s="652">
        <v>40203</v>
      </c>
      <c r="J13" s="654"/>
      <c r="K13" s="654"/>
      <c r="L13" s="657">
        <v>30246575</v>
      </c>
      <c r="M13" s="657"/>
      <c r="N13" s="657">
        <f t="shared" si="0"/>
        <v>30246575</v>
      </c>
      <c r="O13" s="650" t="s">
        <v>491</v>
      </c>
      <c r="P13" s="657">
        <f>+SUM(G12:G13)-SUM(M12:M13)</f>
        <v>0</v>
      </c>
      <c r="Q13" s="641"/>
      <c r="R13" s="462"/>
      <c r="T13" s="627">
        <v>39973</v>
      </c>
      <c r="U13" s="657">
        <v>12840</v>
      </c>
      <c r="V13" s="657">
        <v>18095.257632398752</v>
      </c>
      <c r="W13" s="657">
        <v>232343108</v>
      </c>
    </row>
    <row r="14" spans="1:34">
      <c r="A14" s="505" t="s">
        <v>508</v>
      </c>
      <c r="B14" s="655" t="s">
        <v>490</v>
      </c>
      <c r="C14" s="655" t="s">
        <v>507</v>
      </c>
      <c r="D14" s="651"/>
      <c r="E14" s="655"/>
      <c r="F14" s="655"/>
      <c r="G14" s="614"/>
      <c r="H14" s="494"/>
      <c r="I14" s="651">
        <v>40227</v>
      </c>
      <c r="J14" s="655"/>
      <c r="K14" s="655"/>
      <c r="L14" s="614">
        <v>2566027398</v>
      </c>
      <c r="M14" s="614">
        <v>2400000000</v>
      </c>
      <c r="N14" s="614">
        <f t="shared" si="0"/>
        <v>166027398</v>
      </c>
      <c r="O14" s="613" t="s">
        <v>503</v>
      </c>
      <c r="P14" s="614">
        <f>+SUM(G11:G14)-SUM(M11:M14)</f>
        <v>0</v>
      </c>
      <c r="Q14" s="641"/>
      <c r="R14" s="462"/>
      <c r="T14" s="627">
        <v>39974</v>
      </c>
      <c r="U14" s="657">
        <v>14840</v>
      </c>
      <c r="V14" s="657">
        <v>18161.927358490568</v>
      </c>
      <c r="W14" s="657">
        <v>269523002</v>
      </c>
    </row>
    <row r="15" spans="1:34">
      <c r="A15" s="505" t="s">
        <v>508</v>
      </c>
      <c r="B15" s="656" t="s">
        <v>280</v>
      </c>
      <c r="C15" s="656" t="s">
        <v>1304</v>
      </c>
      <c r="D15" s="642">
        <v>39958</v>
      </c>
      <c r="E15" s="610">
        <v>281250</v>
      </c>
      <c r="F15" s="610">
        <v>3200</v>
      </c>
      <c r="G15" s="610">
        <f>+E15*F15</f>
        <v>900000000</v>
      </c>
      <c r="H15" s="612" t="s">
        <v>350</v>
      </c>
      <c r="I15" s="605">
        <v>39972</v>
      </c>
      <c r="J15" s="610">
        <v>12840</v>
      </c>
      <c r="K15" s="610">
        <f>+L15/J15</f>
        <v>19301.73769470405</v>
      </c>
      <c r="L15" s="610">
        <v>247834312</v>
      </c>
      <c r="M15" s="610">
        <f t="shared" ref="M15:M37" si="1">+J15*$F$15</f>
        <v>41088000</v>
      </c>
      <c r="N15" s="610">
        <f t="shared" si="0"/>
        <v>206746312</v>
      </c>
      <c r="O15" s="612" t="s">
        <v>1310</v>
      </c>
      <c r="P15" s="610"/>
      <c r="Q15" s="610"/>
      <c r="R15" s="492" t="s">
        <v>1311</v>
      </c>
      <c r="T15" s="627">
        <v>39975</v>
      </c>
      <c r="U15" s="657">
        <v>12840</v>
      </c>
      <c r="V15" s="657">
        <v>18606.014252336448</v>
      </c>
      <c r="W15" s="657">
        <v>238901223</v>
      </c>
    </row>
    <row r="16" spans="1:34">
      <c r="A16" s="505" t="s">
        <v>508</v>
      </c>
      <c r="B16" s="654" t="s">
        <v>487</v>
      </c>
      <c r="C16" s="654" t="s">
        <v>506</v>
      </c>
      <c r="D16" s="654"/>
      <c r="E16" s="657"/>
      <c r="F16" s="657"/>
      <c r="G16" s="657"/>
      <c r="H16" s="650"/>
      <c r="I16" s="627">
        <v>39973</v>
      </c>
      <c r="J16" s="657">
        <v>12840</v>
      </c>
      <c r="K16" s="657">
        <f t="shared" ref="K16:K37" si="2">+L16/J16</f>
        <v>18767.085280373831</v>
      </c>
      <c r="L16" s="657">
        <v>240969375</v>
      </c>
      <c r="M16" s="657">
        <f t="shared" si="1"/>
        <v>41088000</v>
      </c>
      <c r="N16" s="657">
        <f t="shared" ref="N16:N37" si="3">+L16-M16</f>
        <v>199881375</v>
      </c>
      <c r="O16" s="650" t="s">
        <v>1310</v>
      </c>
      <c r="P16" s="657"/>
      <c r="Q16" s="657"/>
      <c r="R16" s="493" t="s">
        <v>488</v>
      </c>
      <c r="T16" s="627">
        <v>39976</v>
      </c>
      <c r="U16" s="657">
        <v>12840</v>
      </c>
      <c r="V16" s="657">
        <v>18753.817056074768</v>
      </c>
      <c r="W16" s="657">
        <v>240799011</v>
      </c>
    </row>
    <row r="17" spans="1:29">
      <c r="A17" s="505" t="s">
        <v>508</v>
      </c>
      <c r="B17" s="654" t="s">
        <v>487</v>
      </c>
      <c r="C17" s="654" t="s">
        <v>506</v>
      </c>
      <c r="D17" s="654"/>
      <c r="E17" s="654"/>
      <c r="F17" s="654"/>
      <c r="G17" s="657"/>
      <c r="H17" s="650"/>
      <c r="I17" s="627">
        <v>39974</v>
      </c>
      <c r="J17" s="657">
        <v>6500</v>
      </c>
      <c r="K17" s="657">
        <f t="shared" si="2"/>
        <v>18640.786153846155</v>
      </c>
      <c r="L17" s="657">
        <v>121165110</v>
      </c>
      <c r="M17" s="657">
        <f t="shared" si="1"/>
        <v>20800000</v>
      </c>
      <c r="N17" s="657">
        <f t="shared" si="3"/>
        <v>100365110</v>
      </c>
      <c r="O17" s="650" t="s">
        <v>1310</v>
      </c>
      <c r="P17" s="657"/>
      <c r="Q17" s="657"/>
      <c r="R17" s="493" t="s">
        <v>488</v>
      </c>
      <c r="T17" s="627">
        <v>39979</v>
      </c>
      <c r="U17" s="657">
        <v>12840</v>
      </c>
      <c r="V17" s="657">
        <v>18273.86316199377</v>
      </c>
      <c r="W17" s="657">
        <v>234636403</v>
      </c>
    </row>
    <row r="18" spans="1:29">
      <c r="A18" s="505" t="s">
        <v>508</v>
      </c>
      <c r="B18" s="654" t="s">
        <v>487</v>
      </c>
      <c r="C18" s="654" t="s">
        <v>506</v>
      </c>
      <c r="D18" s="654"/>
      <c r="E18" s="654"/>
      <c r="F18" s="654"/>
      <c r="G18" s="657"/>
      <c r="H18" s="650"/>
      <c r="I18" s="627">
        <v>39975</v>
      </c>
      <c r="J18" s="657">
        <v>12840</v>
      </c>
      <c r="K18" s="657">
        <f t="shared" si="2"/>
        <v>18095.257632398752</v>
      </c>
      <c r="L18" s="657">
        <v>232343108</v>
      </c>
      <c r="M18" s="657">
        <f t="shared" si="1"/>
        <v>41088000</v>
      </c>
      <c r="N18" s="657">
        <f t="shared" si="3"/>
        <v>191255108</v>
      </c>
      <c r="O18" s="650" t="s">
        <v>1310</v>
      </c>
      <c r="P18" s="657"/>
      <c r="Q18" s="657"/>
      <c r="R18" s="493" t="s">
        <v>488</v>
      </c>
      <c r="T18" s="627">
        <v>39980</v>
      </c>
      <c r="U18" s="657">
        <v>12840</v>
      </c>
      <c r="V18" s="657">
        <v>17944.024454828661</v>
      </c>
      <c r="W18" s="657">
        <v>230401274</v>
      </c>
    </row>
    <row r="19" spans="1:29">
      <c r="A19" s="505" t="s">
        <v>508</v>
      </c>
      <c r="B19" s="654" t="s">
        <v>487</v>
      </c>
      <c r="C19" s="654" t="s">
        <v>506</v>
      </c>
      <c r="D19" s="654"/>
      <c r="E19" s="654"/>
      <c r="F19" s="654"/>
      <c r="G19" s="657"/>
      <c r="H19" s="650"/>
      <c r="I19" s="627">
        <v>39976</v>
      </c>
      <c r="J19" s="657">
        <v>14840</v>
      </c>
      <c r="K19" s="657">
        <f t="shared" si="2"/>
        <v>18161.927358490568</v>
      </c>
      <c r="L19" s="657">
        <v>269523002</v>
      </c>
      <c r="M19" s="657">
        <f t="shared" si="1"/>
        <v>47488000</v>
      </c>
      <c r="N19" s="657">
        <f t="shared" si="3"/>
        <v>222035002</v>
      </c>
      <c r="O19" s="650" t="s">
        <v>1310</v>
      </c>
      <c r="P19" s="657"/>
      <c r="Q19" s="657"/>
      <c r="R19" s="493" t="s">
        <v>488</v>
      </c>
      <c r="T19" s="627">
        <v>39981</v>
      </c>
      <c r="U19" s="657">
        <v>6420</v>
      </c>
      <c r="V19" s="657">
        <v>17433.827102803738</v>
      </c>
      <c r="W19" s="657">
        <v>111925170</v>
      </c>
    </row>
    <row r="20" spans="1:29">
      <c r="A20" s="505" t="s">
        <v>508</v>
      </c>
      <c r="B20" s="654" t="s">
        <v>487</v>
      </c>
      <c r="C20" s="654" t="s">
        <v>506</v>
      </c>
      <c r="D20" s="654"/>
      <c r="E20" s="654"/>
      <c r="F20" s="654"/>
      <c r="G20" s="657"/>
      <c r="H20" s="650"/>
      <c r="I20" s="627">
        <v>39979</v>
      </c>
      <c r="J20" s="657">
        <v>12840</v>
      </c>
      <c r="K20" s="657">
        <f t="shared" si="2"/>
        <v>18606.014252336448</v>
      </c>
      <c r="L20" s="657">
        <v>238901223</v>
      </c>
      <c r="M20" s="657">
        <f t="shared" si="1"/>
        <v>41088000</v>
      </c>
      <c r="N20" s="657">
        <f t="shared" si="3"/>
        <v>197813223</v>
      </c>
      <c r="O20" s="650" t="s">
        <v>1310</v>
      </c>
      <c r="P20" s="657"/>
      <c r="Q20" s="657"/>
      <c r="R20" s="493" t="s">
        <v>488</v>
      </c>
      <c r="T20" s="627">
        <v>39982</v>
      </c>
      <c r="U20" s="657">
        <v>12840</v>
      </c>
      <c r="V20" s="657">
        <v>17931.936915887851</v>
      </c>
      <c r="W20" s="657">
        <v>230246070</v>
      </c>
    </row>
    <row r="21" spans="1:29">
      <c r="A21" s="505" t="s">
        <v>508</v>
      </c>
      <c r="B21" s="654" t="s">
        <v>487</v>
      </c>
      <c r="C21" s="654" t="s">
        <v>506</v>
      </c>
      <c r="D21" s="654"/>
      <c r="E21" s="654"/>
      <c r="F21" s="654"/>
      <c r="G21" s="657"/>
      <c r="H21" s="650"/>
      <c r="I21" s="627">
        <v>39980</v>
      </c>
      <c r="J21" s="657">
        <v>12840</v>
      </c>
      <c r="K21" s="657">
        <f t="shared" si="2"/>
        <v>18753.817056074768</v>
      </c>
      <c r="L21" s="657">
        <v>240799011</v>
      </c>
      <c r="M21" s="657">
        <f t="shared" si="1"/>
        <v>41088000</v>
      </c>
      <c r="N21" s="657">
        <f t="shared" si="3"/>
        <v>199711011</v>
      </c>
      <c r="O21" s="650" t="s">
        <v>1310</v>
      </c>
      <c r="P21" s="657"/>
      <c r="Q21" s="657"/>
      <c r="R21" s="493" t="s">
        <v>488</v>
      </c>
      <c r="T21" s="627">
        <v>39983</v>
      </c>
      <c r="U21" s="657">
        <v>12840</v>
      </c>
      <c r="V21" s="657">
        <v>17882.126713395639</v>
      </c>
      <c r="W21" s="657">
        <v>229606507</v>
      </c>
    </row>
    <row r="22" spans="1:29">
      <c r="A22" s="505" t="s">
        <v>508</v>
      </c>
      <c r="B22" s="654" t="s">
        <v>487</v>
      </c>
      <c r="C22" s="654" t="s">
        <v>506</v>
      </c>
      <c r="D22" s="654"/>
      <c r="E22" s="654"/>
      <c r="F22" s="654"/>
      <c r="G22" s="657"/>
      <c r="H22" s="650"/>
      <c r="I22" s="627">
        <v>39981</v>
      </c>
      <c r="J22" s="657">
        <v>12840</v>
      </c>
      <c r="K22" s="657">
        <f t="shared" si="2"/>
        <v>18273.86316199377</v>
      </c>
      <c r="L22" s="657">
        <v>234636403</v>
      </c>
      <c r="M22" s="657">
        <f t="shared" si="1"/>
        <v>41088000</v>
      </c>
      <c r="N22" s="657">
        <f t="shared" si="3"/>
        <v>193548403</v>
      </c>
      <c r="O22" s="650" t="s">
        <v>1310</v>
      </c>
      <c r="P22" s="657"/>
      <c r="Q22" s="657"/>
      <c r="R22" s="493" t="s">
        <v>488</v>
      </c>
      <c r="T22" s="627">
        <v>39986</v>
      </c>
      <c r="U22" s="657">
        <v>12840</v>
      </c>
      <c r="V22" s="657">
        <v>17807.409813084112</v>
      </c>
      <c r="W22" s="657">
        <v>228647142</v>
      </c>
    </row>
    <row r="23" spans="1:29">
      <c r="A23" s="505" t="s">
        <v>508</v>
      </c>
      <c r="B23" s="654" t="s">
        <v>487</v>
      </c>
      <c r="C23" s="654" t="s">
        <v>506</v>
      </c>
      <c r="D23" s="654"/>
      <c r="E23" s="654"/>
      <c r="F23" s="654"/>
      <c r="G23" s="657"/>
      <c r="H23" s="650"/>
      <c r="I23" s="627">
        <v>39982</v>
      </c>
      <c r="J23" s="657">
        <v>12840</v>
      </c>
      <c r="K23" s="657">
        <f t="shared" si="2"/>
        <v>17944.024454828661</v>
      </c>
      <c r="L23" s="657">
        <v>230401274</v>
      </c>
      <c r="M23" s="657">
        <f t="shared" si="1"/>
        <v>41088000</v>
      </c>
      <c r="N23" s="657">
        <f t="shared" si="3"/>
        <v>189313274</v>
      </c>
      <c r="O23" s="650" t="s">
        <v>1310</v>
      </c>
      <c r="P23" s="657"/>
      <c r="Q23" s="657"/>
      <c r="R23" s="493" t="s">
        <v>488</v>
      </c>
      <c r="T23" s="627">
        <v>39987</v>
      </c>
      <c r="U23" s="657">
        <v>6420</v>
      </c>
      <c r="V23" s="657">
        <v>17334.206853582553</v>
      </c>
      <c r="W23" s="657">
        <v>111285608</v>
      </c>
    </row>
    <row r="24" spans="1:29" ht="16.5">
      <c r="A24" s="505" t="s">
        <v>508</v>
      </c>
      <c r="B24" s="654" t="s">
        <v>487</v>
      </c>
      <c r="C24" s="654" t="s">
        <v>506</v>
      </c>
      <c r="D24" s="654"/>
      <c r="E24" s="654"/>
      <c r="F24" s="654"/>
      <c r="G24" s="657"/>
      <c r="H24" s="650"/>
      <c r="I24" s="627">
        <v>39983</v>
      </c>
      <c r="J24" s="657">
        <v>6420</v>
      </c>
      <c r="K24" s="657">
        <f t="shared" si="2"/>
        <v>17433.827102803738</v>
      </c>
      <c r="L24" s="657">
        <v>111925170</v>
      </c>
      <c r="M24" s="657">
        <f t="shared" si="1"/>
        <v>20544000</v>
      </c>
      <c r="N24" s="657">
        <f t="shared" si="3"/>
        <v>91381170</v>
      </c>
      <c r="O24" s="650" t="s">
        <v>1310</v>
      </c>
      <c r="P24" s="657"/>
      <c r="Q24" s="657"/>
      <c r="R24" s="493" t="s">
        <v>488</v>
      </c>
      <c r="T24" s="627">
        <v>39988</v>
      </c>
      <c r="U24" s="657">
        <v>12940</v>
      </c>
      <c r="V24" s="657">
        <v>16790.519165378671</v>
      </c>
      <c r="W24" s="657">
        <v>217269318</v>
      </c>
      <c r="X24" s="435"/>
      <c r="Y24" s="435"/>
      <c r="Z24" s="435"/>
      <c r="AA24" s="435"/>
      <c r="AB24" s="435"/>
      <c r="AC24" s="435"/>
    </row>
    <row r="25" spans="1:29" ht="16.5">
      <c r="A25" s="505" t="s">
        <v>508</v>
      </c>
      <c r="B25" s="654" t="s">
        <v>487</v>
      </c>
      <c r="C25" s="654" t="s">
        <v>506</v>
      </c>
      <c r="D25" s="654"/>
      <c r="E25" s="654"/>
      <c r="F25" s="654"/>
      <c r="G25" s="657"/>
      <c r="H25" s="650"/>
      <c r="I25" s="627">
        <v>39986</v>
      </c>
      <c r="J25" s="657">
        <v>12840</v>
      </c>
      <c r="K25" s="657">
        <f t="shared" si="2"/>
        <v>17931.936915887851</v>
      </c>
      <c r="L25" s="657">
        <v>230246070</v>
      </c>
      <c r="M25" s="657">
        <f t="shared" si="1"/>
        <v>41088000</v>
      </c>
      <c r="N25" s="657">
        <f t="shared" si="3"/>
        <v>189158070</v>
      </c>
      <c r="O25" s="650" t="s">
        <v>1310</v>
      </c>
      <c r="P25" s="657"/>
      <c r="Q25" s="657"/>
      <c r="R25" s="493" t="s">
        <v>488</v>
      </c>
      <c r="T25" s="627">
        <v>39989</v>
      </c>
      <c r="U25" s="657">
        <v>12840</v>
      </c>
      <c r="V25" s="657">
        <v>16935.718068535825</v>
      </c>
      <c r="W25" s="657">
        <v>217454620</v>
      </c>
      <c r="X25" s="435"/>
      <c r="Y25" s="435"/>
      <c r="Z25" s="435"/>
      <c r="AA25" s="435"/>
      <c r="AB25" s="435"/>
      <c r="AC25" s="435"/>
    </row>
    <row r="26" spans="1:29" ht="16.5">
      <c r="A26" s="505" t="s">
        <v>508</v>
      </c>
      <c r="B26" s="654" t="s">
        <v>487</v>
      </c>
      <c r="C26" s="654" t="s">
        <v>506</v>
      </c>
      <c r="D26" s="654"/>
      <c r="E26" s="654"/>
      <c r="F26" s="654"/>
      <c r="G26" s="657"/>
      <c r="H26" s="650"/>
      <c r="I26" s="627">
        <v>39987</v>
      </c>
      <c r="J26" s="657">
        <v>12840</v>
      </c>
      <c r="K26" s="657">
        <f t="shared" si="2"/>
        <v>17882.126713395639</v>
      </c>
      <c r="L26" s="657">
        <v>229606507</v>
      </c>
      <c r="M26" s="657">
        <f t="shared" si="1"/>
        <v>41088000</v>
      </c>
      <c r="N26" s="657">
        <f t="shared" si="3"/>
        <v>188518507</v>
      </c>
      <c r="O26" s="650" t="s">
        <v>1310</v>
      </c>
      <c r="P26" s="657"/>
      <c r="Q26" s="657"/>
      <c r="R26" s="493" t="s">
        <v>488</v>
      </c>
      <c r="T26" s="627">
        <v>39990</v>
      </c>
      <c r="U26" s="657">
        <v>12840</v>
      </c>
      <c r="V26" s="657">
        <v>17284.394859813085</v>
      </c>
      <c r="W26" s="657">
        <v>221931630</v>
      </c>
      <c r="X26" s="435"/>
      <c r="Y26" s="435"/>
      <c r="Z26" s="435"/>
      <c r="AA26" s="435"/>
      <c r="AB26" s="435"/>
      <c r="AC26" s="435"/>
    </row>
    <row r="27" spans="1:29" ht="16.5">
      <c r="A27" s="505" t="s">
        <v>508</v>
      </c>
      <c r="B27" s="654" t="s">
        <v>487</v>
      </c>
      <c r="C27" s="654" t="s">
        <v>506</v>
      </c>
      <c r="D27" s="654"/>
      <c r="E27" s="654"/>
      <c r="F27" s="654"/>
      <c r="G27" s="657"/>
      <c r="H27" s="650"/>
      <c r="I27" s="627">
        <v>39988</v>
      </c>
      <c r="J27" s="657">
        <v>12840</v>
      </c>
      <c r="K27" s="657">
        <f t="shared" si="2"/>
        <v>17807.409813084112</v>
      </c>
      <c r="L27" s="657">
        <v>228647142</v>
      </c>
      <c r="M27" s="657">
        <f t="shared" si="1"/>
        <v>41088000</v>
      </c>
      <c r="N27" s="657">
        <f t="shared" si="3"/>
        <v>187559142</v>
      </c>
      <c r="O27" s="650" t="s">
        <v>1310</v>
      </c>
      <c r="P27" s="657"/>
      <c r="Q27" s="657"/>
      <c r="R27" s="493" t="s">
        <v>488</v>
      </c>
      <c r="T27" s="627">
        <v>39993</v>
      </c>
      <c r="U27" s="657">
        <v>12840</v>
      </c>
      <c r="V27" s="657">
        <v>17082.431775700934</v>
      </c>
      <c r="W27" s="657">
        <v>219338424</v>
      </c>
      <c r="X27" s="435"/>
      <c r="Y27" s="435"/>
      <c r="Z27" s="435"/>
      <c r="AA27" s="435"/>
      <c r="AB27" s="435"/>
      <c r="AC27" s="435"/>
    </row>
    <row r="28" spans="1:29" ht="16.5">
      <c r="A28" s="505" t="s">
        <v>508</v>
      </c>
      <c r="B28" s="654" t="s">
        <v>487</v>
      </c>
      <c r="C28" s="654" t="s">
        <v>506</v>
      </c>
      <c r="D28" s="654"/>
      <c r="E28" s="654"/>
      <c r="F28" s="654"/>
      <c r="G28" s="657"/>
      <c r="H28" s="650"/>
      <c r="I28" s="627">
        <v>39989</v>
      </c>
      <c r="J28" s="657">
        <v>6420</v>
      </c>
      <c r="K28" s="657">
        <f t="shared" si="2"/>
        <v>17334.206853582553</v>
      </c>
      <c r="L28" s="657">
        <v>111285608</v>
      </c>
      <c r="M28" s="657">
        <f t="shared" si="1"/>
        <v>20544000</v>
      </c>
      <c r="N28" s="657">
        <f t="shared" si="3"/>
        <v>90741608</v>
      </c>
      <c r="O28" s="650" t="s">
        <v>1310</v>
      </c>
      <c r="P28" s="657"/>
      <c r="Q28" s="657"/>
      <c r="R28" s="493" t="s">
        <v>488</v>
      </c>
      <c r="T28" s="627">
        <v>39994</v>
      </c>
      <c r="U28" s="657">
        <v>12840</v>
      </c>
      <c r="V28" s="657">
        <v>16491.990186915889</v>
      </c>
      <c r="W28" s="657">
        <v>211757154</v>
      </c>
      <c r="X28" s="435"/>
      <c r="Y28" s="435"/>
      <c r="Z28" s="435"/>
      <c r="AA28" s="435"/>
      <c r="AB28" s="435"/>
      <c r="AC28" s="435"/>
    </row>
    <row r="29" spans="1:29" ht="16.5">
      <c r="A29" s="505" t="s">
        <v>508</v>
      </c>
      <c r="B29" s="654" t="s">
        <v>487</v>
      </c>
      <c r="C29" s="654" t="s">
        <v>506</v>
      </c>
      <c r="D29" s="654"/>
      <c r="E29" s="654"/>
      <c r="F29" s="654"/>
      <c r="G29" s="657"/>
      <c r="H29" s="650"/>
      <c r="I29" s="627">
        <v>39990</v>
      </c>
      <c r="J29" s="657">
        <v>12940</v>
      </c>
      <c r="K29" s="657">
        <f t="shared" si="2"/>
        <v>16790.519165378671</v>
      </c>
      <c r="L29" s="657">
        <v>217269318</v>
      </c>
      <c r="M29" s="657">
        <f t="shared" si="1"/>
        <v>41408000</v>
      </c>
      <c r="N29" s="657">
        <f t="shared" si="3"/>
        <v>175861318</v>
      </c>
      <c r="O29" s="650" t="s">
        <v>1310</v>
      </c>
      <c r="P29" s="657"/>
      <c r="Q29" s="657"/>
      <c r="R29" s="493" t="s">
        <v>488</v>
      </c>
      <c r="T29" s="627">
        <v>39995</v>
      </c>
      <c r="U29" s="657">
        <v>12840</v>
      </c>
      <c r="V29" s="657">
        <v>16797.154906542055</v>
      </c>
      <c r="W29" s="657">
        <v>215675469</v>
      </c>
      <c r="X29" s="435"/>
      <c r="Y29" s="435"/>
      <c r="Z29" s="435"/>
      <c r="AA29" s="435"/>
      <c r="AB29" s="435"/>
      <c r="AC29" s="435"/>
    </row>
    <row r="30" spans="1:29" ht="16.5">
      <c r="A30" s="505" t="s">
        <v>508</v>
      </c>
      <c r="B30" s="654" t="s">
        <v>487</v>
      </c>
      <c r="C30" s="654" t="s">
        <v>506</v>
      </c>
      <c r="D30" s="654"/>
      <c r="E30" s="654"/>
      <c r="F30" s="654"/>
      <c r="G30" s="657"/>
      <c r="H30" s="650"/>
      <c r="I30" s="627">
        <v>39993</v>
      </c>
      <c r="J30" s="657">
        <v>12840</v>
      </c>
      <c r="K30" s="657">
        <f t="shared" si="2"/>
        <v>16935.718068535825</v>
      </c>
      <c r="L30" s="657">
        <v>217454620</v>
      </c>
      <c r="M30" s="657">
        <f t="shared" si="1"/>
        <v>41088000</v>
      </c>
      <c r="N30" s="657">
        <f t="shared" si="3"/>
        <v>176366620</v>
      </c>
      <c r="O30" s="650" t="s">
        <v>1310</v>
      </c>
      <c r="P30" s="657"/>
      <c r="Q30" s="657"/>
      <c r="R30" s="493" t="s">
        <v>488</v>
      </c>
      <c r="T30" s="627">
        <v>39996</v>
      </c>
      <c r="U30" s="657">
        <v>6420</v>
      </c>
      <c r="V30" s="657">
        <v>16736.474143302181</v>
      </c>
      <c r="W30" s="657">
        <v>107448164</v>
      </c>
      <c r="X30" s="435"/>
      <c r="Y30" s="435"/>
      <c r="Z30" s="435"/>
      <c r="AA30" s="435"/>
      <c r="AB30" s="435"/>
      <c r="AC30" s="435"/>
    </row>
    <row r="31" spans="1:29" ht="16.5">
      <c r="A31" s="505" t="s">
        <v>508</v>
      </c>
      <c r="B31" s="654" t="s">
        <v>487</v>
      </c>
      <c r="C31" s="654" t="s">
        <v>506</v>
      </c>
      <c r="D31" s="654"/>
      <c r="E31" s="654"/>
      <c r="F31" s="654"/>
      <c r="G31" s="657"/>
      <c r="H31" s="650"/>
      <c r="I31" s="627">
        <v>39994</v>
      </c>
      <c r="J31" s="657">
        <v>12840</v>
      </c>
      <c r="K31" s="657">
        <f t="shared" si="2"/>
        <v>17284.394859813085</v>
      </c>
      <c r="L31" s="657">
        <v>221931630</v>
      </c>
      <c r="M31" s="657">
        <f t="shared" si="1"/>
        <v>41088000</v>
      </c>
      <c r="N31" s="657">
        <f t="shared" si="3"/>
        <v>180843630</v>
      </c>
      <c r="O31" s="650" t="s">
        <v>1310</v>
      </c>
      <c r="P31" s="657"/>
      <c r="Q31" s="657"/>
      <c r="R31" s="493" t="s">
        <v>488</v>
      </c>
      <c r="T31" s="627">
        <v>39997</v>
      </c>
      <c r="U31" s="657">
        <v>19260</v>
      </c>
      <c r="V31" s="657">
        <v>16961.448546209762</v>
      </c>
      <c r="W31" s="657">
        <v>326677499</v>
      </c>
      <c r="X31" s="435"/>
      <c r="Y31" s="642">
        <v>39645</v>
      </c>
      <c r="Z31" s="656"/>
      <c r="AA31" s="656"/>
      <c r="AB31" s="610">
        <v>-1300000000</v>
      </c>
      <c r="AC31" s="435"/>
    </row>
    <row r="32" spans="1:29" ht="16.5">
      <c r="A32" s="505" t="s">
        <v>508</v>
      </c>
      <c r="B32" s="654" t="s">
        <v>487</v>
      </c>
      <c r="C32" s="654" t="s">
        <v>506</v>
      </c>
      <c r="D32" s="654"/>
      <c r="E32" s="654"/>
      <c r="F32" s="654"/>
      <c r="G32" s="657"/>
      <c r="H32" s="650"/>
      <c r="I32" s="627">
        <v>39995</v>
      </c>
      <c r="J32" s="657">
        <v>12840</v>
      </c>
      <c r="K32" s="657">
        <f t="shared" si="2"/>
        <v>17082.431775700934</v>
      </c>
      <c r="L32" s="657">
        <v>219338424</v>
      </c>
      <c r="M32" s="657">
        <f t="shared" si="1"/>
        <v>41088000</v>
      </c>
      <c r="N32" s="657">
        <f t="shared" si="3"/>
        <v>178250424</v>
      </c>
      <c r="O32" s="650" t="s">
        <v>1310</v>
      </c>
      <c r="P32" s="657"/>
      <c r="Q32" s="657"/>
      <c r="R32" s="493" t="s">
        <v>488</v>
      </c>
      <c r="T32" s="606">
        <v>40000</v>
      </c>
      <c r="U32" s="614">
        <v>15850</v>
      </c>
      <c r="V32" s="614">
        <v>17910</v>
      </c>
      <c r="W32" s="614">
        <v>283873500</v>
      </c>
      <c r="X32" s="682">
        <f>+XIRR(W6:W32,T6:T32)</f>
        <v>2.134799599647522</v>
      </c>
      <c r="Y32" s="642">
        <v>40298</v>
      </c>
      <c r="Z32" s="610"/>
      <c r="AA32" s="610"/>
      <c r="AB32" s="610">
        <v>758352110</v>
      </c>
      <c r="AC32" s="435"/>
    </row>
    <row r="33" spans="1:34" ht="16.5">
      <c r="A33" s="505" t="s">
        <v>508</v>
      </c>
      <c r="B33" s="654" t="s">
        <v>487</v>
      </c>
      <c r="C33" s="654" t="s">
        <v>506</v>
      </c>
      <c r="D33" s="654"/>
      <c r="E33" s="654"/>
      <c r="F33" s="654"/>
      <c r="G33" s="657"/>
      <c r="H33" s="650"/>
      <c r="I33" s="627">
        <v>39996</v>
      </c>
      <c r="J33" s="657">
        <v>12840</v>
      </c>
      <c r="K33" s="657">
        <f t="shared" si="2"/>
        <v>16491.990186915889</v>
      </c>
      <c r="L33" s="657">
        <v>211757154</v>
      </c>
      <c r="M33" s="657">
        <f t="shared" si="1"/>
        <v>41088000</v>
      </c>
      <c r="N33" s="657">
        <f t="shared" si="3"/>
        <v>170669154</v>
      </c>
      <c r="O33" s="650" t="s">
        <v>1310</v>
      </c>
      <c r="P33" s="657"/>
      <c r="Q33" s="657"/>
      <c r="R33" s="493" t="s">
        <v>488</v>
      </c>
      <c r="T33" s="435"/>
      <c r="U33" s="435"/>
      <c r="V33" s="435"/>
      <c r="W33" s="435"/>
      <c r="X33" s="435"/>
      <c r="Y33" s="651">
        <v>40421</v>
      </c>
      <c r="Z33" s="614"/>
      <c r="AA33" s="614"/>
      <c r="AB33" s="614">
        <v>780698090</v>
      </c>
      <c r="AC33" s="682">
        <f>+XIRR(AB31:AB33,Y31:Y33)</f>
        <v>9.0000000596046487E-2</v>
      </c>
    </row>
    <row r="34" spans="1:34" ht="16.5">
      <c r="A34" s="491" t="s">
        <v>508</v>
      </c>
      <c r="B34" s="654" t="s">
        <v>487</v>
      </c>
      <c r="C34" s="654" t="s">
        <v>506</v>
      </c>
      <c r="D34" s="654"/>
      <c r="E34" s="654"/>
      <c r="F34" s="654"/>
      <c r="G34" s="657"/>
      <c r="H34" s="650"/>
      <c r="I34" s="627">
        <v>39997</v>
      </c>
      <c r="J34" s="657">
        <v>12840</v>
      </c>
      <c r="K34" s="657">
        <f t="shared" si="2"/>
        <v>16797.154906542055</v>
      </c>
      <c r="L34" s="657">
        <v>215675469</v>
      </c>
      <c r="M34" s="657">
        <f t="shared" si="1"/>
        <v>41088000</v>
      </c>
      <c r="N34" s="657">
        <f t="shared" si="3"/>
        <v>174587469</v>
      </c>
      <c r="O34" s="650" t="s">
        <v>1310</v>
      </c>
      <c r="P34" s="657"/>
      <c r="Q34" s="657"/>
      <c r="R34" s="493" t="s">
        <v>488</v>
      </c>
      <c r="T34" s="642">
        <v>39813</v>
      </c>
      <c r="U34" s="656"/>
      <c r="V34" s="656"/>
      <c r="W34" s="610">
        <v>-5000000000</v>
      </c>
      <c r="X34" s="435"/>
      <c r="Y34" s="435"/>
      <c r="Z34" s="435"/>
      <c r="AA34" s="435"/>
      <c r="AB34" s="435"/>
      <c r="AC34" s="435"/>
    </row>
    <row r="35" spans="1:34" ht="16.5">
      <c r="A35" s="491" t="s">
        <v>508</v>
      </c>
      <c r="B35" s="654" t="s">
        <v>487</v>
      </c>
      <c r="C35" s="654" t="s">
        <v>506</v>
      </c>
      <c r="D35" s="654"/>
      <c r="E35" s="654"/>
      <c r="F35" s="654"/>
      <c r="G35" s="657"/>
      <c r="H35" s="650"/>
      <c r="I35" s="627">
        <v>40000</v>
      </c>
      <c r="J35" s="657">
        <v>6420</v>
      </c>
      <c r="K35" s="657">
        <f t="shared" si="2"/>
        <v>16736.474143302181</v>
      </c>
      <c r="L35" s="657">
        <v>107448164</v>
      </c>
      <c r="M35" s="657">
        <f t="shared" si="1"/>
        <v>20544000</v>
      </c>
      <c r="N35" s="657">
        <f t="shared" si="3"/>
        <v>86904164</v>
      </c>
      <c r="O35" s="650" t="s">
        <v>1310</v>
      </c>
      <c r="P35" s="657"/>
      <c r="Q35" s="657"/>
      <c r="R35" s="493" t="s">
        <v>488</v>
      </c>
      <c r="T35" s="642">
        <v>39882</v>
      </c>
      <c r="U35" s="656"/>
      <c r="V35" s="656"/>
      <c r="W35" s="610">
        <v>2064273973</v>
      </c>
      <c r="X35" s="435"/>
      <c r="Y35" s="642">
        <v>39927</v>
      </c>
      <c r="Z35" s="656"/>
      <c r="AA35" s="656"/>
      <c r="AB35" s="610">
        <v>-2400000000</v>
      </c>
      <c r="AC35" s="435"/>
    </row>
    <row r="36" spans="1:34" ht="16.5">
      <c r="A36" s="491" t="s">
        <v>508</v>
      </c>
      <c r="B36" s="654" t="s">
        <v>487</v>
      </c>
      <c r="C36" s="654" t="s">
        <v>506</v>
      </c>
      <c r="D36" s="654"/>
      <c r="E36" s="654"/>
      <c r="F36" s="654"/>
      <c r="G36" s="657"/>
      <c r="H36" s="650"/>
      <c r="I36" s="627">
        <v>40001</v>
      </c>
      <c r="J36" s="657">
        <v>19260</v>
      </c>
      <c r="K36" s="657">
        <f t="shared" si="2"/>
        <v>16961.448546209762</v>
      </c>
      <c r="L36" s="657">
        <v>326677499</v>
      </c>
      <c r="M36" s="657">
        <f t="shared" si="1"/>
        <v>61632000</v>
      </c>
      <c r="N36" s="657">
        <f t="shared" si="3"/>
        <v>265045499</v>
      </c>
      <c r="O36" s="650" t="s">
        <v>1310</v>
      </c>
      <c r="P36" s="657"/>
      <c r="Q36" s="657"/>
      <c r="R36" s="493" t="s">
        <v>488</v>
      </c>
      <c r="T36" s="651">
        <v>40535</v>
      </c>
      <c r="U36" s="655"/>
      <c r="V36" s="655"/>
      <c r="W36" s="614">
        <v>3956879887</v>
      </c>
      <c r="X36" s="682">
        <f>+XIRR(W34:W36,T34:T36)</f>
        <v>0.1521170198917389</v>
      </c>
      <c r="Y36" s="642">
        <v>40018</v>
      </c>
      <c r="Z36" s="656"/>
      <c r="AA36" s="656"/>
      <c r="AB36" s="610">
        <v>29917808</v>
      </c>
      <c r="AC36" s="435"/>
      <c r="AD36" s="653" t="s">
        <v>1312</v>
      </c>
      <c r="AE36" s="645">
        <v>40052</v>
      </c>
      <c r="AF36" s="644">
        <v>-20000</v>
      </c>
      <c r="AG36" s="644">
        <v>15000</v>
      </c>
      <c r="AH36" s="644">
        <f>+AF36*AG36</f>
        <v>-300000000</v>
      </c>
    </row>
    <row r="37" spans="1:34" ht="16.5">
      <c r="A37" s="491" t="s">
        <v>508</v>
      </c>
      <c r="B37" s="654" t="s">
        <v>487</v>
      </c>
      <c r="C37" s="655" t="s">
        <v>506</v>
      </c>
      <c r="D37" s="655"/>
      <c r="E37" s="655"/>
      <c r="F37" s="655"/>
      <c r="G37" s="614"/>
      <c r="H37" s="613"/>
      <c r="I37" s="606">
        <v>40002</v>
      </c>
      <c r="J37" s="614">
        <v>15850</v>
      </c>
      <c r="K37" s="614">
        <f t="shared" si="2"/>
        <v>17910</v>
      </c>
      <c r="L37" s="614">
        <v>283873500</v>
      </c>
      <c r="M37" s="614">
        <f t="shared" si="1"/>
        <v>50720000</v>
      </c>
      <c r="N37" s="614">
        <f t="shared" si="3"/>
        <v>233153500</v>
      </c>
      <c r="O37" s="613" t="s">
        <v>1310</v>
      </c>
      <c r="P37" s="614">
        <f>+SUM(G15:G37)-SUM(M15:M37)</f>
        <v>0</v>
      </c>
      <c r="Q37" s="614"/>
      <c r="R37" s="494" t="s">
        <v>488</v>
      </c>
      <c r="T37" s="435"/>
      <c r="U37" s="435"/>
      <c r="V37" s="435"/>
      <c r="W37" s="435"/>
      <c r="X37" s="435"/>
      <c r="Y37" s="652">
        <v>40112</v>
      </c>
      <c r="Z37" s="654"/>
      <c r="AA37" s="654"/>
      <c r="AB37" s="657">
        <v>30246575</v>
      </c>
      <c r="AC37" s="435"/>
      <c r="AE37" s="681">
        <v>41634</v>
      </c>
      <c r="AH37" s="611">
        <v>300000000</v>
      </c>
    </row>
    <row r="38" spans="1:34" ht="16.5">
      <c r="A38" s="491" t="s">
        <v>508</v>
      </c>
      <c r="B38" s="609" t="s">
        <v>1447</v>
      </c>
      <c r="C38" s="609" t="s">
        <v>1445</v>
      </c>
      <c r="D38" s="640">
        <v>39993</v>
      </c>
      <c r="E38" s="609"/>
      <c r="F38" s="609"/>
      <c r="G38" s="641">
        <v>1800000000</v>
      </c>
      <c r="H38" s="462" t="s">
        <v>1448</v>
      </c>
      <c r="I38" s="640">
        <v>40004</v>
      </c>
      <c r="J38" s="609"/>
      <c r="K38" s="609"/>
      <c r="L38" s="641">
        <v>1805967123</v>
      </c>
      <c r="M38" s="641">
        <v>1800000000</v>
      </c>
      <c r="N38" s="641">
        <f>+L38-M38</f>
        <v>5967123</v>
      </c>
      <c r="O38" s="464" t="s">
        <v>1309</v>
      </c>
      <c r="P38" s="641">
        <f>+G38-M38</f>
        <v>0</v>
      </c>
      <c r="Q38" s="641"/>
      <c r="R38" s="462" t="s">
        <v>1309</v>
      </c>
      <c r="T38" s="435"/>
      <c r="U38" s="435"/>
      <c r="V38" s="435"/>
      <c r="W38" s="435"/>
      <c r="X38" s="435"/>
      <c r="Y38" s="652">
        <v>40203</v>
      </c>
      <c r="Z38" s="654"/>
      <c r="AA38" s="654"/>
      <c r="AB38" s="657">
        <v>30246575</v>
      </c>
      <c r="AC38" s="435"/>
      <c r="AH38" s="677">
        <f>+XIRR(AH36:AH37,AE36:AE37)</f>
        <v>2.9802322387695314E-9</v>
      </c>
    </row>
    <row r="39" spans="1:34" ht="16.5">
      <c r="A39" s="491" t="s">
        <v>508</v>
      </c>
      <c r="B39" s="653" t="s">
        <v>280</v>
      </c>
      <c r="C39" s="653" t="s">
        <v>1312</v>
      </c>
      <c r="D39" s="645">
        <v>40052</v>
      </c>
      <c r="E39" s="644">
        <v>20000</v>
      </c>
      <c r="F39" s="644">
        <v>15000</v>
      </c>
      <c r="G39" s="644">
        <f>+E39*F39</f>
        <v>300000000</v>
      </c>
      <c r="H39" s="743" t="s">
        <v>1276</v>
      </c>
      <c r="I39" s="604"/>
      <c r="J39" s="644"/>
      <c r="K39" s="644"/>
      <c r="L39" s="644"/>
      <c r="M39" s="644"/>
      <c r="N39" s="644"/>
      <c r="O39" s="743"/>
      <c r="P39" s="644">
        <f>+G39-M39</f>
        <v>300000000</v>
      </c>
      <c r="Q39" s="644"/>
      <c r="R39" s="392"/>
      <c r="T39" s="640">
        <v>39993</v>
      </c>
      <c r="U39" s="609"/>
      <c r="V39" s="609"/>
      <c r="W39" s="641">
        <v>-1800000000</v>
      </c>
      <c r="X39" s="435"/>
      <c r="Y39" s="651">
        <v>40227</v>
      </c>
      <c r="Z39" s="655"/>
      <c r="AA39" s="655"/>
      <c r="AB39" s="614">
        <v>2566027398</v>
      </c>
      <c r="AC39" s="682">
        <f>+XIRR(AB35:AB39,Y35:Y39)</f>
        <v>0.13337753415107728</v>
      </c>
    </row>
    <row r="40" spans="1:34" ht="16.5">
      <c r="A40" s="491" t="s">
        <v>1449</v>
      </c>
      <c r="B40" s="656" t="s">
        <v>1447</v>
      </c>
      <c r="C40" s="656" t="s">
        <v>1445</v>
      </c>
      <c r="D40" s="642">
        <v>40175</v>
      </c>
      <c r="E40" s="656"/>
      <c r="F40" s="656"/>
      <c r="G40" s="610">
        <v>1700000000</v>
      </c>
      <c r="H40" s="492" t="s">
        <v>1448</v>
      </c>
      <c r="I40" s="642">
        <v>40289</v>
      </c>
      <c r="J40" s="656"/>
      <c r="K40" s="656"/>
      <c r="L40" s="610">
        <v>206246575</v>
      </c>
      <c r="M40" s="610">
        <v>200000000</v>
      </c>
      <c r="N40" s="610">
        <f>+L40-M40</f>
        <v>6246575</v>
      </c>
      <c r="O40" s="612" t="s">
        <v>816</v>
      </c>
      <c r="P40" s="610"/>
      <c r="Q40" s="610"/>
      <c r="R40" s="308"/>
      <c r="T40" s="640">
        <v>40004</v>
      </c>
      <c r="U40" s="609"/>
      <c r="V40" s="609"/>
      <c r="W40" s="641">
        <v>1805967123</v>
      </c>
      <c r="X40" s="682">
        <f>+XIRR(W39:W40,T39:T40)</f>
        <v>0.11607499718666078</v>
      </c>
      <c r="Y40" s="435"/>
      <c r="Z40" s="435"/>
      <c r="AA40" s="435"/>
      <c r="AB40" s="435"/>
    </row>
    <row r="41" spans="1:34" ht="16.5">
      <c r="A41" s="491" t="s">
        <v>1449</v>
      </c>
      <c r="B41" s="654" t="s">
        <v>1447</v>
      </c>
      <c r="C41" s="654" t="s">
        <v>1445</v>
      </c>
      <c r="D41" s="652"/>
      <c r="E41" s="654"/>
      <c r="F41" s="654"/>
      <c r="G41" s="657"/>
      <c r="H41" s="493"/>
      <c r="I41" s="652">
        <v>40297</v>
      </c>
      <c r="J41" s="654"/>
      <c r="K41" s="654"/>
      <c r="L41" s="657">
        <v>1500000000</v>
      </c>
      <c r="M41" s="657">
        <v>1500000000</v>
      </c>
      <c r="N41" s="657">
        <f>+L41-M41</f>
        <v>0</v>
      </c>
      <c r="O41" s="650" t="s">
        <v>797</v>
      </c>
      <c r="P41" s="657"/>
      <c r="Q41" s="657"/>
      <c r="R41" s="492"/>
      <c r="T41" s="435"/>
      <c r="U41" s="435"/>
      <c r="V41" s="435"/>
      <c r="W41" s="435"/>
      <c r="X41" s="435"/>
      <c r="Y41" s="435"/>
      <c r="Z41" s="435"/>
      <c r="AA41" s="435"/>
      <c r="AB41" s="435"/>
    </row>
    <row r="42" spans="1:34" ht="16.5">
      <c r="A42" s="491" t="s">
        <v>1449</v>
      </c>
      <c r="B42" s="655" t="s">
        <v>1447</v>
      </c>
      <c r="C42" s="655" t="s">
        <v>1445</v>
      </c>
      <c r="D42" s="651"/>
      <c r="E42" s="655"/>
      <c r="F42" s="655"/>
      <c r="G42" s="614"/>
      <c r="H42" s="494"/>
      <c r="I42" s="651">
        <v>40653</v>
      </c>
      <c r="J42" s="655"/>
      <c r="K42" s="655"/>
      <c r="L42" s="614">
        <v>50136986</v>
      </c>
      <c r="M42" s="614">
        <v>0</v>
      </c>
      <c r="N42" s="614">
        <f>+L42-M42</f>
        <v>50136986</v>
      </c>
      <c r="O42" s="613" t="s">
        <v>792</v>
      </c>
      <c r="P42" s="614">
        <f>+G40-SUM(M40:M42)</f>
        <v>0</v>
      </c>
      <c r="Q42" s="614"/>
      <c r="R42" s="494"/>
      <c r="T42" s="642">
        <v>40175</v>
      </c>
      <c r="U42" s="656"/>
      <c r="V42" s="656"/>
      <c r="W42" s="610">
        <v>-1700000000</v>
      </c>
      <c r="X42" s="435"/>
      <c r="Y42" s="642">
        <v>40297</v>
      </c>
      <c r="Z42" s="610">
        <v>125000</v>
      </c>
      <c r="AA42" s="610">
        <v>12000</v>
      </c>
      <c r="AB42" s="610">
        <v>-1500000000</v>
      </c>
    </row>
    <row r="43" spans="1:34" ht="16.5">
      <c r="A43" s="491" t="s">
        <v>508</v>
      </c>
      <c r="B43" s="656" t="s">
        <v>280</v>
      </c>
      <c r="C43" s="656" t="s">
        <v>651</v>
      </c>
      <c r="D43" s="642">
        <v>40297</v>
      </c>
      <c r="E43" s="610">
        <v>125000</v>
      </c>
      <c r="F43" s="610">
        <v>12000</v>
      </c>
      <c r="G43" s="610">
        <f>+E43*F43</f>
        <v>1500000000</v>
      </c>
      <c r="H43" s="612" t="s">
        <v>350</v>
      </c>
      <c r="I43" s="605">
        <v>40347</v>
      </c>
      <c r="J43" s="610">
        <v>12500</v>
      </c>
      <c r="K43" s="610">
        <f>+L43/J43</f>
        <v>20992.155200000001</v>
      </c>
      <c r="L43" s="610">
        <v>262401940</v>
      </c>
      <c r="M43" s="610">
        <f>+J43*12000</f>
        <v>150000000</v>
      </c>
      <c r="N43" s="610">
        <f t="shared" ref="N43:N50" si="4">+L43-M43</f>
        <v>112401940</v>
      </c>
      <c r="O43" s="612" t="s">
        <v>352</v>
      </c>
      <c r="P43" s="610"/>
      <c r="Q43" s="610"/>
      <c r="R43" s="492"/>
      <c r="T43" s="642">
        <v>40289</v>
      </c>
      <c r="U43" s="656"/>
      <c r="V43" s="656"/>
      <c r="W43" s="610">
        <v>206246575</v>
      </c>
      <c r="X43" s="435"/>
      <c r="Y43" s="605">
        <v>40347</v>
      </c>
      <c r="Z43" s="610">
        <v>12500</v>
      </c>
      <c r="AA43" s="610">
        <v>20992.155200000001</v>
      </c>
      <c r="AB43" s="610">
        <v>262401940</v>
      </c>
    </row>
    <row r="44" spans="1:34" ht="16.5">
      <c r="A44" s="491" t="s">
        <v>508</v>
      </c>
      <c r="B44" s="654" t="s">
        <v>280</v>
      </c>
      <c r="C44" s="654" t="s">
        <v>651</v>
      </c>
      <c r="D44" s="652">
        <v>40543</v>
      </c>
      <c r="E44" s="657"/>
      <c r="F44" s="657"/>
      <c r="G44" s="657">
        <v>806250000</v>
      </c>
      <c r="H44" s="650" t="s">
        <v>1313</v>
      </c>
      <c r="I44" s="627">
        <v>40350</v>
      </c>
      <c r="J44" s="657">
        <v>12500</v>
      </c>
      <c r="K44" s="657">
        <f>+L44/J44</f>
        <v>21198.410400000001</v>
      </c>
      <c r="L44" s="657">
        <v>264980130</v>
      </c>
      <c r="M44" s="657">
        <f t="shared" ref="M44:M51" si="5">+J44*12000</f>
        <v>150000000</v>
      </c>
      <c r="N44" s="657">
        <f t="shared" si="4"/>
        <v>114980130</v>
      </c>
      <c r="O44" s="650" t="s">
        <v>352</v>
      </c>
      <c r="P44" s="657"/>
      <c r="Q44" s="657"/>
      <c r="R44" s="493"/>
      <c r="T44" s="652">
        <v>40297</v>
      </c>
      <c r="U44" s="654"/>
      <c r="V44" s="654"/>
      <c r="W44" s="657">
        <v>1500000000</v>
      </c>
      <c r="X44" s="435"/>
      <c r="Y44" s="627">
        <v>40350</v>
      </c>
      <c r="Z44" s="657">
        <v>12500</v>
      </c>
      <c r="AA44" s="657">
        <v>21198.410400000001</v>
      </c>
      <c r="AB44" s="657">
        <v>264980130</v>
      </c>
    </row>
    <row r="45" spans="1:34" ht="16.5">
      <c r="A45" s="491" t="s">
        <v>508</v>
      </c>
      <c r="B45" s="654" t="s">
        <v>280</v>
      </c>
      <c r="C45" s="654" t="s">
        <v>651</v>
      </c>
      <c r="D45" s="652">
        <v>40908</v>
      </c>
      <c r="E45" s="657"/>
      <c r="F45" s="657"/>
      <c r="G45" s="657">
        <v>-403125000</v>
      </c>
      <c r="H45" s="650" t="s">
        <v>1314</v>
      </c>
      <c r="I45" s="627">
        <v>40351</v>
      </c>
      <c r="J45" s="657">
        <v>6250</v>
      </c>
      <c r="K45" s="657">
        <f>+L45/J45</f>
        <v>20974.221280000002</v>
      </c>
      <c r="L45" s="657">
        <v>131088883</v>
      </c>
      <c r="M45" s="657">
        <f t="shared" si="5"/>
        <v>75000000</v>
      </c>
      <c r="N45" s="657">
        <f t="shared" si="4"/>
        <v>56088883</v>
      </c>
      <c r="O45" s="650" t="s">
        <v>352</v>
      </c>
      <c r="P45" s="657"/>
      <c r="Q45" s="657"/>
      <c r="R45" s="493"/>
      <c r="T45" s="651">
        <v>40653</v>
      </c>
      <c r="U45" s="655"/>
      <c r="V45" s="655"/>
      <c r="W45" s="614">
        <v>50136986</v>
      </c>
      <c r="X45" s="682">
        <f>+XIRR(W42:W45,T42:T45)</f>
        <v>9.5329841971397405E-2</v>
      </c>
      <c r="Y45" s="627">
        <v>40351</v>
      </c>
      <c r="Z45" s="657">
        <v>6250</v>
      </c>
      <c r="AA45" s="657">
        <v>20974.221280000002</v>
      </c>
      <c r="AB45" s="657">
        <v>131088883</v>
      </c>
    </row>
    <row r="46" spans="1:34" ht="16.5">
      <c r="A46" s="491" t="s">
        <v>508</v>
      </c>
      <c r="B46" s="654" t="s">
        <v>280</v>
      </c>
      <c r="C46" s="654" t="s">
        <v>651</v>
      </c>
      <c r="D46" s="652">
        <v>40908</v>
      </c>
      <c r="E46" s="657"/>
      <c r="F46" s="657"/>
      <c r="G46" s="657">
        <v>52500000</v>
      </c>
      <c r="H46" s="650" t="s">
        <v>1315</v>
      </c>
      <c r="I46" s="627">
        <v>40352</v>
      </c>
      <c r="J46" s="657">
        <v>6250</v>
      </c>
      <c r="K46" s="657">
        <f>+L46/J46</f>
        <v>21522.240000000002</v>
      </c>
      <c r="L46" s="657">
        <v>134514000</v>
      </c>
      <c r="M46" s="657">
        <f t="shared" si="5"/>
        <v>75000000</v>
      </c>
      <c r="N46" s="657">
        <f t="shared" si="4"/>
        <v>59514000</v>
      </c>
      <c r="O46" s="650" t="s">
        <v>352</v>
      </c>
      <c r="P46" s="657"/>
      <c r="Q46" s="657"/>
      <c r="R46" s="493"/>
      <c r="T46" s="435"/>
      <c r="U46" s="435"/>
      <c r="V46" s="435"/>
      <c r="W46" s="435"/>
      <c r="X46" s="435"/>
      <c r="Y46" s="627">
        <v>40352</v>
      </c>
      <c r="Z46" s="657">
        <v>6250</v>
      </c>
      <c r="AA46" s="657">
        <v>21522.240000000002</v>
      </c>
      <c r="AB46" s="657">
        <v>134514000</v>
      </c>
    </row>
    <row r="47" spans="1:34" ht="16.5">
      <c r="A47" s="505" t="s">
        <v>508</v>
      </c>
      <c r="B47" s="654" t="s">
        <v>280</v>
      </c>
      <c r="C47" s="654" t="s">
        <v>651</v>
      </c>
      <c r="D47" s="652">
        <v>41089</v>
      </c>
      <c r="E47" s="657">
        <v>6375</v>
      </c>
      <c r="F47" s="657"/>
      <c r="G47" s="657"/>
      <c r="H47" s="650" t="s">
        <v>1316</v>
      </c>
      <c r="I47" s="627">
        <v>40353</v>
      </c>
      <c r="J47" s="657">
        <v>12500</v>
      </c>
      <c r="K47" s="657">
        <f>+L47/J47</f>
        <v>21920.799999999999</v>
      </c>
      <c r="L47" s="657">
        <v>274010000</v>
      </c>
      <c r="M47" s="657">
        <f t="shared" si="5"/>
        <v>150000000</v>
      </c>
      <c r="N47" s="657">
        <f t="shared" si="4"/>
        <v>124010000</v>
      </c>
      <c r="O47" s="650" t="s">
        <v>352</v>
      </c>
      <c r="P47" s="657"/>
      <c r="Q47" s="657"/>
      <c r="R47" s="493"/>
      <c r="T47" s="435"/>
      <c r="U47" s="435"/>
      <c r="V47" s="435"/>
      <c r="W47" s="435"/>
      <c r="X47" s="435"/>
      <c r="Y47" s="627">
        <v>40353</v>
      </c>
      <c r="Z47" s="657">
        <v>12500</v>
      </c>
      <c r="AA47" s="657">
        <v>21920.799999999999</v>
      </c>
      <c r="AB47" s="657">
        <v>274010000</v>
      </c>
    </row>
    <row r="48" spans="1:34" ht="16.5">
      <c r="A48" s="505" t="s">
        <v>508</v>
      </c>
      <c r="B48" s="654" t="s">
        <v>280</v>
      </c>
      <c r="C48" s="654" t="s">
        <v>651</v>
      </c>
      <c r="D48" s="652">
        <v>41093</v>
      </c>
      <c r="E48" s="657"/>
      <c r="F48" s="657"/>
      <c r="G48" s="657">
        <v>-455625000</v>
      </c>
      <c r="H48" s="650" t="s">
        <v>1474</v>
      </c>
      <c r="I48" s="627">
        <v>40372</v>
      </c>
      <c r="J48" s="657">
        <v>12500</v>
      </c>
      <c r="K48" s="657">
        <v>20732</v>
      </c>
      <c r="L48" s="657">
        <v>258217067</v>
      </c>
      <c r="M48" s="657">
        <f t="shared" si="5"/>
        <v>150000000</v>
      </c>
      <c r="N48" s="657">
        <f t="shared" si="4"/>
        <v>108217067</v>
      </c>
      <c r="O48" s="650" t="s">
        <v>352</v>
      </c>
      <c r="P48" s="657"/>
      <c r="Q48" s="657"/>
      <c r="R48" s="493"/>
      <c r="T48" s="435"/>
      <c r="U48" s="435"/>
      <c r="V48" s="435"/>
      <c r="W48" s="435"/>
      <c r="X48" s="435"/>
      <c r="Y48" s="627">
        <v>40372</v>
      </c>
      <c r="Z48" s="657">
        <v>12500</v>
      </c>
      <c r="AA48" s="657">
        <v>20732</v>
      </c>
      <c r="AB48" s="657">
        <v>258217067</v>
      </c>
    </row>
    <row r="49" spans="1:29" ht="16.5">
      <c r="A49" s="505" t="s">
        <v>508</v>
      </c>
      <c r="B49" s="654" t="s">
        <v>280</v>
      </c>
      <c r="C49" s="654" t="s">
        <v>651</v>
      </c>
      <c r="D49" s="652"/>
      <c r="E49" s="657"/>
      <c r="F49" s="657"/>
      <c r="G49" s="657"/>
      <c r="H49" s="650"/>
      <c r="I49" s="627">
        <v>40374</v>
      </c>
      <c r="J49" s="657">
        <v>12500</v>
      </c>
      <c r="K49" s="657">
        <v>20900</v>
      </c>
      <c r="L49" s="657">
        <v>260309502</v>
      </c>
      <c r="M49" s="657">
        <f t="shared" si="5"/>
        <v>150000000</v>
      </c>
      <c r="N49" s="657">
        <f t="shared" si="4"/>
        <v>110309502</v>
      </c>
      <c r="O49" s="650" t="s">
        <v>352</v>
      </c>
      <c r="P49" s="657"/>
      <c r="Q49" s="657"/>
      <c r="R49" s="493"/>
      <c r="T49" s="435"/>
      <c r="U49" s="435"/>
      <c r="V49" s="435"/>
      <c r="W49" s="435"/>
      <c r="X49" s="435"/>
      <c r="Y49" s="627">
        <v>40374</v>
      </c>
      <c r="Z49" s="657">
        <v>12500</v>
      </c>
      <c r="AA49" s="657">
        <v>20900</v>
      </c>
      <c r="AB49" s="657">
        <v>260309502</v>
      </c>
    </row>
    <row r="50" spans="1:29" ht="16.5">
      <c r="A50" s="505" t="s">
        <v>508</v>
      </c>
      <c r="B50" s="654" t="s">
        <v>280</v>
      </c>
      <c r="C50" s="654" t="s">
        <v>651</v>
      </c>
      <c r="D50" s="652"/>
      <c r="E50" s="657"/>
      <c r="F50" s="657"/>
      <c r="G50" s="657"/>
      <c r="H50" s="650"/>
      <c r="I50" s="627">
        <v>40375</v>
      </c>
      <c r="J50" s="657">
        <v>12500</v>
      </c>
      <c r="K50" s="657">
        <v>21000</v>
      </c>
      <c r="L50" s="657">
        <v>261555000</v>
      </c>
      <c r="M50" s="657">
        <f t="shared" si="5"/>
        <v>150000000</v>
      </c>
      <c r="N50" s="657">
        <f t="shared" si="4"/>
        <v>111555000</v>
      </c>
      <c r="O50" s="650" t="s">
        <v>352</v>
      </c>
      <c r="P50" s="657"/>
      <c r="Q50" s="657"/>
      <c r="R50" s="493"/>
      <c r="T50" s="435"/>
      <c r="U50" s="435"/>
      <c r="V50" s="435"/>
      <c r="W50" s="435"/>
      <c r="X50" s="435"/>
      <c r="Y50" s="627">
        <v>40375</v>
      </c>
      <c r="Z50" s="657">
        <v>12500</v>
      </c>
      <c r="AA50" s="657">
        <v>21000</v>
      </c>
      <c r="AB50" s="657">
        <v>261555000</v>
      </c>
    </row>
    <row r="51" spans="1:29" ht="16.5">
      <c r="A51" s="505" t="s">
        <v>508</v>
      </c>
      <c r="B51" s="654" t="s">
        <v>280</v>
      </c>
      <c r="C51" s="654" t="s">
        <v>651</v>
      </c>
      <c r="D51" s="652"/>
      <c r="E51" s="657"/>
      <c r="F51" s="657"/>
      <c r="G51" s="657"/>
      <c r="H51" s="650"/>
      <c r="I51" s="627">
        <v>40648</v>
      </c>
      <c r="J51" s="657">
        <v>0</v>
      </c>
      <c r="K51" s="657">
        <v>0</v>
      </c>
      <c r="L51" s="657">
        <v>2812500</v>
      </c>
      <c r="M51" s="657">
        <f t="shared" si="5"/>
        <v>0</v>
      </c>
      <c r="N51" s="657">
        <f t="shared" ref="N51:N63" si="6">+L51-M51</f>
        <v>2812500</v>
      </c>
      <c r="O51" s="650" t="s">
        <v>1003</v>
      </c>
      <c r="P51" s="657"/>
      <c r="Q51" s="657"/>
      <c r="R51" s="494"/>
      <c r="T51" s="435"/>
      <c r="U51" s="435"/>
      <c r="V51" s="435"/>
      <c r="W51" s="435"/>
      <c r="X51" s="435"/>
      <c r="Y51" s="627">
        <v>40648</v>
      </c>
      <c r="Z51" s="657">
        <v>0</v>
      </c>
      <c r="AA51" s="657">
        <v>0</v>
      </c>
      <c r="AB51" s="657">
        <v>2812500</v>
      </c>
    </row>
    <row r="52" spans="1:29" ht="16.5">
      <c r="A52" s="505" t="s">
        <v>508</v>
      </c>
      <c r="B52" s="654" t="s">
        <v>280</v>
      </c>
      <c r="C52" s="654" t="s">
        <v>651</v>
      </c>
      <c r="D52" s="652"/>
      <c r="E52" s="657"/>
      <c r="F52" s="657"/>
      <c r="G52" s="657"/>
      <c r="H52" s="650"/>
      <c r="I52" s="627">
        <v>40752</v>
      </c>
      <c r="J52" s="657">
        <v>3750</v>
      </c>
      <c r="K52" s="657">
        <v>50000</v>
      </c>
      <c r="L52" s="657">
        <v>186825000</v>
      </c>
      <c r="M52" s="657">
        <f t="shared" ref="M52:M58" si="7">+J52*12000</f>
        <v>45000000</v>
      </c>
      <c r="N52" s="657">
        <f t="shared" si="6"/>
        <v>141825000</v>
      </c>
      <c r="O52" s="650" t="s">
        <v>352</v>
      </c>
      <c r="P52" s="657"/>
      <c r="Q52" s="657"/>
      <c r="R52" s="392"/>
      <c r="T52" s="435"/>
      <c r="U52" s="435"/>
      <c r="V52" s="435"/>
      <c r="W52" s="435"/>
      <c r="X52" s="435"/>
      <c r="Y52" s="627">
        <v>40752</v>
      </c>
      <c r="Z52" s="657">
        <v>3750</v>
      </c>
      <c r="AA52" s="657">
        <v>50000</v>
      </c>
      <c r="AB52" s="657">
        <v>186825000</v>
      </c>
    </row>
    <row r="53" spans="1:29" ht="16.5">
      <c r="A53" s="505" t="s">
        <v>508</v>
      </c>
      <c r="B53" s="654" t="s">
        <v>280</v>
      </c>
      <c r="C53" s="654" t="s">
        <v>651</v>
      </c>
      <c r="D53" s="652"/>
      <c r="E53" s="657"/>
      <c r="F53" s="657"/>
      <c r="G53" s="657"/>
      <c r="H53" s="650"/>
      <c r="I53" s="627">
        <v>40760</v>
      </c>
      <c r="J53" s="657">
        <v>3600</v>
      </c>
      <c r="K53" s="657">
        <f>+L53/J53</f>
        <v>46769.153333333335</v>
      </c>
      <c r="L53" s="657">
        <v>168368952</v>
      </c>
      <c r="M53" s="657">
        <f t="shared" si="7"/>
        <v>43200000</v>
      </c>
      <c r="N53" s="657">
        <f t="shared" si="6"/>
        <v>125168952</v>
      </c>
      <c r="O53" s="650" t="s">
        <v>352</v>
      </c>
      <c r="P53" s="657"/>
      <c r="Q53" s="657"/>
      <c r="R53" s="392"/>
      <c r="T53" s="435"/>
      <c r="U53" s="435"/>
      <c r="V53" s="435"/>
      <c r="W53" s="435"/>
      <c r="X53" s="435"/>
      <c r="Y53" s="627">
        <v>40760</v>
      </c>
      <c r="Z53" s="657">
        <v>3600</v>
      </c>
      <c r="AA53" s="657">
        <v>46769.153333333335</v>
      </c>
      <c r="AB53" s="657">
        <v>168368952</v>
      </c>
    </row>
    <row r="54" spans="1:29" ht="16.5">
      <c r="A54" s="505" t="s">
        <v>508</v>
      </c>
      <c r="B54" s="654" t="s">
        <v>280</v>
      </c>
      <c r="C54" s="654" t="s">
        <v>651</v>
      </c>
      <c r="D54" s="652"/>
      <c r="E54" s="657"/>
      <c r="F54" s="657"/>
      <c r="G54" s="657"/>
      <c r="H54" s="650"/>
      <c r="I54" s="627">
        <v>40763</v>
      </c>
      <c r="J54" s="666">
        <v>900</v>
      </c>
      <c r="K54" s="666">
        <v>48800</v>
      </c>
      <c r="L54" s="666">
        <v>43761893</v>
      </c>
      <c r="M54" s="666">
        <f t="shared" si="7"/>
        <v>10800000</v>
      </c>
      <c r="N54" s="657">
        <f t="shared" si="6"/>
        <v>32961893</v>
      </c>
      <c r="O54" s="650" t="s">
        <v>352</v>
      </c>
      <c r="P54" s="657"/>
      <c r="Q54" s="657"/>
      <c r="R54" s="392"/>
      <c r="T54" s="435"/>
      <c r="U54" s="435"/>
      <c r="V54" s="435"/>
      <c r="W54" s="435"/>
      <c r="X54" s="435"/>
      <c r="Y54" s="627">
        <v>40763</v>
      </c>
      <c r="Z54" s="666">
        <v>900</v>
      </c>
      <c r="AA54" s="666">
        <v>48800</v>
      </c>
      <c r="AB54" s="666">
        <v>43761893</v>
      </c>
    </row>
    <row r="55" spans="1:29" ht="16.5">
      <c r="A55" s="505" t="s">
        <v>508</v>
      </c>
      <c r="B55" s="654" t="s">
        <v>280</v>
      </c>
      <c r="C55" s="654" t="s">
        <v>651</v>
      </c>
      <c r="D55" s="652"/>
      <c r="E55" s="657"/>
      <c r="F55" s="657"/>
      <c r="G55" s="657"/>
      <c r="H55" s="650"/>
      <c r="I55" s="627">
        <v>40772</v>
      </c>
      <c r="J55" s="666">
        <v>6750</v>
      </c>
      <c r="K55" s="666">
        <v>45650</v>
      </c>
      <c r="L55" s="666">
        <v>307028208</v>
      </c>
      <c r="M55" s="666">
        <f t="shared" si="7"/>
        <v>81000000</v>
      </c>
      <c r="N55" s="657">
        <f t="shared" si="6"/>
        <v>226028208</v>
      </c>
      <c r="O55" s="650" t="s">
        <v>352</v>
      </c>
      <c r="P55" s="657"/>
      <c r="Q55" s="657"/>
      <c r="R55" s="392"/>
      <c r="T55" s="435"/>
      <c r="U55" s="435"/>
      <c r="V55" s="435"/>
      <c r="W55" s="435"/>
      <c r="X55" s="435"/>
      <c r="Y55" s="627">
        <v>40772</v>
      </c>
      <c r="Z55" s="666">
        <v>6750</v>
      </c>
      <c r="AA55" s="666">
        <v>45650</v>
      </c>
      <c r="AB55" s="666">
        <v>307028208</v>
      </c>
    </row>
    <row r="56" spans="1:29" ht="16.5">
      <c r="A56" s="505" t="s">
        <v>508</v>
      </c>
      <c r="B56" s="654" t="s">
        <v>280</v>
      </c>
      <c r="C56" s="654" t="s">
        <v>651</v>
      </c>
      <c r="D56" s="652"/>
      <c r="E56" s="657"/>
      <c r="F56" s="657"/>
      <c r="G56" s="657"/>
      <c r="H56" s="650"/>
      <c r="I56" s="627">
        <v>40773</v>
      </c>
      <c r="J56" s="666">
        <v>3750</v>
      </c>
      <c r="K56" s="666">
        <v>46000</v>
      </c>
      <c r="L56" s="666">
        <v>171879000</v>
      </c>
      <c r="M56" s="666">
        <f t="shared" si="7"/>
        <v>45000000</v>
      </c>
      <c r="N56" s="657">
        <f t="shared" si="6"/>
        <v>126879000</v>
      </c>
      <c r="O56" s="650" t="s">
        <v>352</v>
      </c>
      <c r="P56" s="657"/>
      <c r="Q56" s="657"/>
      <c r="R56" s="392"/>
      <c r="T56" s="435"/>
      <c r="U56" s="435"/>
      <c r="V56" s="435"/>
      <c r="W56" s="435"/>
      <c r="X56" s="435"/>
      <c r="Y56" s="627">
        <v>40773</v>
      </c>
      <c r="Z56" s="666">
        <v>3750</v>
      </c>
      <c r="AA56" s="666">
        <v>46000</v>
      </c>
      <c r="AB56" s="666">
        <v>171879000</v>
      </c>
    </row>
    <row r="57" spans="1:29" ht="16.5">
      <c r="A57" s="505" t="s">
        <v>508</v>
      </c>
      <c r="B57" s="654" t="s">
        <v>280</v>
      </c>
      <c r="C57" s="654" t="s">
        <v>651</v>
      </c>
      <c r="D57" s="652"/>
      <c r="E57" s="657"/>
      <c r="F57" s="657"/>
      <c r="G57" s="657"/>
      <c r="H57" s="650"/>
      <c r="I57" s="627">
        <v>41018</v>
      </c>
      <c r="J57" s="666">
        <v>0</v>
      </c>
      <c r="K57" s="666">
        <v>0</v>
      </c>
      <c r="L57" s="666">
        <v>1875000</v>
      </c>
      <c r="M57" s="666">
        <v>0</v>
      </c>
      <c r="N57" s="657">
        <f t="shared" si="6"/>
        <v>1875000</v>
      </c>
      <c r="O57" s="650" t="s">
        <v>1003</v>
      </c>
      <c r="P57" s="657"/>
      <c r="Q57" s="657"/>
      <c r="R57" s="392"/>
      <c r="T57" s="435"/>
      <c r="U57" s="435"/>
      <c r="V57" s="435"/>
      <c r="W57" s="435"/>
      <c r="X57" s="435"/>
      <c r="Y57" s="627">
        <v>41018</v>
      </c>
      <c r="Z57" s="666">
        <v>0</v>
      </c>
      <c r="AA57" s="666">
        <v>0</v>
      </c>
      <c r="AB57" s="666">
        <v>1875000</v>
      </c>
    </row>
    <row r="58" spans="1:29" ht="16.5">
      <c r="A58" s="505" t="s">
        <v>508</v>
      </c>
      <c r="B58" s="654" t="s">
        <v>280</v>
      </c>
      <c r="C58" s="654" t="s">
        <v>651</v>
      </c>
      <c r="D58" s="652"/>
      <c r="E58" s="657"/>
      <c r="F58" s="657"/>
      <c r="G58" s="657"/>
      <c r="H58" s="650"/>
      <c r="I58" s="627">
        <v>41045</v>
      </c>
      <c r="J58" s="617">
        <v>6000</v>
      </c>
      <c r="K58" s="666">
        <f t="shared" ref="K58:K63" si="8">+L58/J58</f>
        <v>48451.179666666663</v>
      </c>
      <c r="L58" s="666">
        <v>290707078</v>
      </c>
      <c r="M58" s="666">
        <f t="shared" si="7"/>
        <v>72000000</v>
      </c>
      <c r="N58" s="657">
        <f t="shared" si="6"/>
        <v>218707078</v>
      </c>
      <c r="O58" s="650" t="s">
        <v>352</v>
      </c>
      <c r="P58" s="657"/>
      <c r="Q58" s="657"/>
      <c r="R58" s="392"/>
      <c r="T58" s="435"/>
      <c r="U58" s="435"/>
      <c r="V58" s="435"/>
      <c r="W58" s="435"/>
      <c r="X58" s="435"/>
      <c r="Y58" s="627">
        <v>41045</v>
      </c>
      <c r="Z58" s="617">
        <v>6000</v>
      </c>
      <c r="AA58" s="666">
        <v>48451.179666666663</v>
      </c>
      <c r="AB58" s="666">
        <v>290707078</v>
      </c>
    </row>
    <row r="59" spans="1:29" ht="16.5">
      <c r="A59" s="505" t="s">
        <v>508</v>
      </c>
      <c r="B59" s="654" t="s">
        <v>280</v>
      </c>
      <c r="C59" s="654" t="s">
        <v>651</v>
      </c>
      <c r="D59" s="652"/>
      <c r="E59" s="657"/>
      <c r="F59" s="657"/>
      <c r="G59" s="657"/>
      <c r="H59" s="650"/>
      <c r="I59" s="627">
        <v>41064</v>
      </c>
      <c r="J59" s="617">
        <v>3600</v>
      </c>
      <c r="K59" s="666">
        <f t="shared" si="8"/>
        <v>32881.199999999997</v>
      </c>
      <c r="L59" s="666">
        <v>118372320</v>
      </c>
      <c r="M59" s="666">
        <f>+J59*12000</f>
        <v>43200000</v>
      </c>
      <c r="N59" s="657">
        <f t="shared" si="6"/>
        <v>75172320</v>
      </c>
      <c r="O59" s="650" t="s">
        <v>352</v>
      </c>
      <c r="P59" s="657"/>
      <c r="Q59" s="657"/>
      <c r="R59" s="392"/>
      <c r="T59" s="435"/>
      <c r="U59" s="435"/>
      <c r="V59" s="435"/>
      <c r="W59" s="435"/>
      <c r="X59" s="435"/>
      <c r="Y59" s="627">
        <v>41064</v>
      </c>
      <c r="Z59" s="617">
        <v>3600</v>
      </c>
      <c r="AA59" s="666">
        <v>32881.199999999997</v>
      </c>
      <c r="AB59" s="666">
        <v>118372320</v>
      </c>
    </row>
    <row r="60" spans="1:29" ht="16.5">
      <c r="A60" s="505" t="s">
        <v>508</v>
      </c>
      <c r="B60" s="654" t="s">
        <v>280</v>
      </c>
      <c r="C60" s="654" t="s">
        <v>651</v>
      </c>
      <c r="D60" s="652"/>
      <c r="E60" s="657"/>
      <c r="F60" s="657"/>
      <c r="G60" s="657"/>
      <c r="H60" s="650"/>
      <c r="I60" s="627">
        <v>41065</v>
      </c>
      <c r="J60" s="617">
        <v>3600</v>
      </c>
      <c r="K60" s="666">
        <f t="shared" si="8"/>
        <v>34375.80027777778</v>
      </c>
      <c r="L60" s="666">
        <v>123752881</v>
      </c>
      <c r="M60" s="666">
        <f>+J60*12000</f>
        <v>43200000</v>
      </c>
      <c r="N60" s="657">
        <f t="shared" si="6"/>
        <v>80552881</v>
      </c>
      <c r="O60" s="650" t="s">
        <v>352</v>
      </c>
      <c r="P60" s="657"/>
      <c r="Q60" s="657"/>
      <c r="R60" s="392"/>
      <c r="T60" s="435"/>
      <c r="U60" s="435"/>
      <c r="V60" s="435"/>
      <c r="W60" s="435"/>
      <c r="X60" s="435"/>
      <c r="Y60" s="627">
        <v>41065</v>
      </c>
      <c r="Z60" s="617">
        <v>3600</v>
      </c>
      <c r="AA60" s="666">
        <v>34375.80027777778</v>
      </c>
      <c r="AB60" s="666">
        <v>123752881</v>
      </c>
    </row>
    <row r="61" spans="1:29" ht="16.5">
      <c r="A61" s="505" t="s">
        <v>508</v>
      </c>
      <c r="B61" s="654" t="s">
        <v>280</v>
      </c>
      <c r="C61" s="654" t="s">
        <v>651</v>
      </c>
      <c r="D61" s="652"/>
      <c r="E61" s="657"/>
      <c r="F61" s="657"/>
      <c r="G61" s="657"/>
      <c r="H61" s="650"/>
      <c r="I61" s="627">
        <v>41068</v>
      </c>
      <c r="J61" s="617">
        <v>3600</v>
      </c>
      <c r="K61" s="666">
        <f t="shared" si="8"/>
        <v>32980.843888888892</v>
      </c>
      <c r="L61" s="666">
        <v>118731038</v>
      </c>
      <c r="M61" s="666">
        <f>+J61*12000</f>
        <v>43200000</v>
      </c>
      <c r="N61" s="657">
        <f t="shared" si="6"/>
        <v>75531038</v>
      </c>
      <c r="O61" s="650" t="s">
        <v>352</v>
      </c>
      <c r="P61" s="657"/>
      <c r="Q61" s="657"/>
      <c r="R61" s="392"/>
      <c r="T61" s="435"/>
      <c r="U61" s="435"/>
      <c r="V61" s="435"/>
      <c r="W61" s="435"/>
      <c r="X61" s="435"/>
      <c r="Y61" s="627">
        <v>41068</v>
      </c>
      <c r="Z61" s="617">
        <v>3600</v>
      </c>
      <c r="AA61" s="666">
        <v>32980.843888888892</v>
      </c>
      <c r="AB61" s="666">
        <v>118731038</v>
      </c>
    </row>
    <row r="62" spans="1:29" ht="16.5">
      <c r="A62" s="505" t="s">
        <v>508</v>
      </c>
      <c r="B62" s="654" t="s">
        <v>280</v>
      </c>
      <c r="C62" s="654" t="s">
        <v>651</v>
      </c>
      <c r="D62" s="652"/>
      <c r="E62" s="657"/>
      <c r="F62" s="657"/>
      <c r="G62" s="657"/>
      <c r="H62" s="650"/>
      <c r="I62" s="627">
        <v>41071</v>
      </c>
      <c r="J62" s="617">
        <v>1950</v>
      </c>
      <c r="K62" s="666">
        <f t="shared" si="8"/>
        <v>33877.599999999999</v>
      </c>
      <c r="L62" s="666">
        <v>66061320</v>
      </c>
      <c r="M62" s="666">
        <f>+J62*12000</f>
        <v>23400000</v>
      </c>
      <c r="N62" s="657">
        <f t="shared" si="6"/>
        <v>42661320</v>
      </c>
      <c r="O62" s="650" t="s">
        <v>352</v>
      </c>
      <c r="P62" s="657"/>
      <c r="Q62" s="657"/>
      <c r="R62" s="392"/>
      <c r="T62" s="435"/>
      <c r="U62" s="435"/>
      <c r="V62" s="435"/>
      <c r="W62" s="435"/>
      <c r="X62" s="435"/>
      <c r="Y62" s="627">
        <v>41071</v>
      </c>
      <c r="Z62" s="617">
        <v>1950</v>
      </c>
      <c r="AA62" s="666">
        <v>33877.599999999999</v>
      </c>
      <c r="AB62" s="666">
        <v>66061320</v>
      </c>
    </row>
    <row r="63" spans="1:29" ht="16.5">
      <c r="A63" s="505" t="s">
        <v>508</v>
      </c>
      <c r="B63" s="655" t="s">
        <v>280</v>
      </c>
      <c r="C63" s="655" t="s">
        <v>651</v>
      </c>
      <c r="D63" s="651"/>
      <c r="E63" s="614"/>
      <c r="F63" s="614"/>
      <c r="G63" s="614"/>
      <c r="H63" s="613"/>
      <c r="I63" s="606">
        <v>41093</v>
      </c>
      <c r="J63" s="622">
        <v>6375</v>
      </c>
      <c r="K63" s="618">
        <f t="shared" si="8"/>
        <v>29393.801568627452</v>
      </c>
      <c r="L63" s="618">
        <v>187385485</v>
      </c>
      <c r="M63" s="618">
        <v>0</v>
      </c>
      <c r="N63" s="614">
        <f t="shared" si="6"/>
        <v>187385485</v>
      </c>
      <c r="O63" s="613" t="s">
        <v>1317</v>
      </c>
      <c r="P63" s="614">
        <f>+G43-SUM(M43:M63)</f>
        <v>0</v>
      </c>
      <c r="Q63" s="614"/>
      <c r="R63" s="392"/>
      <c r="T63" s="435"/>
      <c r="U63" s="435"/>
      <c r="V63" s="435"/>
      <c r="W63" s="435"/>
      <c r="X63" s="435"/>
      <c r="Y63" s="606">
        <v>41093</v>
      </c>
      <c r="Z63" s="622">
        <v>6375</v>
      </c>
      <c r="AA63" s="618">
        <v>29393.801568627452</v>
      </c>
      <c r="AB63" s="618">
        <v>187385485</v>
      </c>
      <c r="AC63" s="682">
        <f>+XIRR(AB42:AB63,Y42:Y63)</f>
        <v>4.5152902126312258</v>
      </c>
    </row>
    <row r="64" spans="1:29" ht="16.5">
      <c r="A64" s="505" t="s">
        <v>508</v>
      </c>
      <c r="B64" s="653" t="s">
        <v>1450</v>
      </c>
      <c r="C64" s="653" t="s">
        <v>1445</v>
      </c>
      <c r="D64" s="645">
        <v>40323</v>
      </c>
      <c r="E64" s="644"/>
      <c r="F64" s="644"/>
      <c r="G64" s="644">
        <v>6194434616</v>
      </c>
      <c r="H64" s="743" t="s">
        <v>1451</v>
      </c>
      <c r="I64" s="604">
        <v>40535</v>
      </c>
      <c r="J64" s="644">
        <v>0</v>
      </c>
      <c r="K64" s="644">
        <v>0</v>
      </c>
      <c r="L64" s="644">
        <v>6562053638</v>
      </c>
      <c r="M64" s="644">
        <v>6194434616</v>
      </c>
      <c r="N64" s="644">
        <f>+L64-M64</f>
        <v>367619022</v>
      </c>
      <c r="O64" s="743">
        <v>0</v>
      </c>
      <c r="P64" s="644">
        <f>+G64-M64</f>
        <v>0</v>
      </c>
      <c r="Q64" s="644"/>
      <c r="R64" s="392"/>
      <c r="T64" s="435"/>
      <c r="U64" s="435"/>
      <c r="V64" s="435"/>
      <c r="W64" s="435"/>
      <c r="X64" s="435"/>
      <c r="Y64" s="435"/>
      <c r="Z64" s="435"/>
      <c r="AA64" s="435"/>
      <c r="AB64" s="435"/>
    </row>
    <row r="65" spans="1:35" ht="16.5">
      <c r="A65" s="505" t="s">
        <v>508</v>
      </c>
      <c r="B65" s="502" t="s">
        <v>280</v>
      </c>
      <c r="C65" s="502" t="s">
        <v>1318</v>
      </c>
      <c r="D65" s="507">
        <v>40325</v>
      </c>
      <c r="E65" s="484">
        <v>13000</v>
      </c>
      <c r="F65" s="484">
        <v>90000</v>
      </c>
      <c r="G65" s="484">
        <f>+E65*F65</f>
        <v>1170000000</v>
      </c>
      <c r="H65" s="485" t="s">
        <v>1319</v>
      </c>
      <c r="I65" s="721"/>
      <c r="J65" s="484"/>
      <c r="K65" s="484"/>
      <c r="L65" s="484"/>
      <c r="M65" s="484"/>
      <c r="N65" s="484"/>
      <c r="O65" s="485"/>
      <c r="P65" s="484">
        <f>+G65-M65</f>
        <v>1170000000</v>
      </c>
      <c r="Q65" s="644"/>
      <c r="R65" s="392"/>
      <c r="T65" s="435"/>
      <c r="U65" s="435"/>
      <c r="V65" s="435"/>
      <c r="W65" s="435"/>
      <c r="X65" s="435"/>
      <c r="Y65" s="435"/>
      <c r="Z65" s="435"/>
      <c r="AA65" s="435"/>
      <c r="AB65" s="435"/>
      <c r="AD65" s="502" t="s">
        <v>1318</v>
      </c>
      <c r="AE65" s="507">
        <v>40325</v>
      </c>
      <c r="AF65" s="484">
        <v>13000</v>
      </c>
      <c r="AG65" s="484">
        <v>-90000</v>
      </c>
      <c r="AH65" s="484">
        <f>+AF65*AG65</f>
        <v>-1170000000</v>
      </c>
    </row>
    <row r="66" spans="1:35" ht="16.5">
      <c r="A66" s="505" t="s">
        <v>508</v>
      </c>
      <c r="B66" s="653" t="s">
        <v>280</v>
      </c>
      <c r="C66" s="653" t="s">
        <v>1318</v>
      </c>
      <c r="D66" s="645">
        <v>41417</v>
      </c>
      <c r="E66" s="644">
        <v>104000</v>
      </c>
      <c r="F66" s="644"/>
      <c r="G66" s="644"/>
      <c r="H66" s="743" t="s">
        <v>1320</v>
      </c>
      <c r="I66" s="604"/>
      <c r="J66" s="644"/>
      <c r="K66" s="644"/>
      <c r="L66" s="644"/>
      <c r="M66" s="644"/>
      <c r="N66" s="644"/>
      <c r="O66" s="743"/>
      <c r="P66" s="644"/>
      <c r="Q66" s="644"/>
      <c r="R66" s="392"/>
      <c r="T66" s="645">
        <v>40323</v>
      </c>
      <c r="U66" s="644"/>
      <c r="V66" s="644"/>
      <c r="W66" s="644">
        <v>-6194434616</v>
      </c>
      <c r="X66" s="435"/>
      <c r="Y66" s="435"/>
      <c r="Z66" s="435"/>
      <c r="AA66" s="435"/>
      <c r="AB66" s="435"/>
      <c r="AE66" s="681">
        <v>41634</v>
      </c>
      <c r="AH66" s="611">
        <v>1170000000</v>
      </c>
      <c r="AI66" s="677">
        <f>+XIRR(AH65:AH66,AE65:AE66)</f>
        <v>2.9802322387695314E-9</v>
      </c>
    </row>
    <row r="67" spans="1:35" ht="16.5">
      <c r="A67" s="505" t="s">
        <v>508</v>
      </c>
      <c r="B67" s="653" t="s">
        <v>280</v>
      </c>
      <c r="C67" s="653" t="s">
        <v>1318</v>
      </c>
      <c r="D67" s="645">
        <v>40325</v>
      </c>
      <c r="E67" s="644">
        <v>2249</v>
      </c>
      <c r="F67" s="644">
        <v>80000</v>
      </c>
      <c r="G67" s="644">
        <f>+E67*F67</f>
        <v>179920000</v>
      </c>
      <c r="H67" s="743" t="s">
        <v>1254</v>
      </c>
      <c r="I67" s="604"/>
      <c r="J67" s="644"/>
      <c r="K67" s="644"/>
      <c r="L67" s="644"/>
      <c r="M67" s="644"/>
      <c r="N67" s="644"/>
      <c r="O67" s="743"/>
      <c r="P67" s="644">
        <f>+G67-M67</f>
        <v>179920000</v>
      </c>
      <c r="Q67" s="644"/>
      <c r="R67" s="392"/>
      <c r="T67" s="604">
        <v>40535</v>
      </c>
      <c r="U67" s="644">
        <v>0</v>
      </c>
      <c r="V67" s="644">
        <v>0</v>
      </c>
      <c r="W67" s="644">
        <v>6562053638</v>
      </c>
      <c r="X67" s="682">
        <f>+XIRR(W66:W67,T66:T67)</f>
        <v>0.10435335040092469</v>
      </c>
      <c r="Y67" s="435"/>
      <c r="Z67" s="435"/>
      <c r="AA67" s="435"/>
      <c r="AB67" s="435"/>
      <c r="AD67" s="653" t="s">
        <v>1318</v>
      </c>
      <c r="AE67" s="645">
        <v>40325</v>
      </c>
      <c r="AF67" s="644">
        <v>-2249</v>
      </c>
      <c r="AG67" s="644">
        <v>80000</v>
      </c>
      <c r="AH67" s="644">
        <f>+AF67*AG67</f>
        <v>-179920000</v>
      </c>
    </row>
    <row r="68" spans="1:35" ht="16.5">
      <c r="A68" s="505" t="s">
        <v>508</v>
      </c>
      <c r="B68" s="656" t="s">
        <v>280</v>
      </c>
      <c r="C68" s="656" t="s">
        <v>1318</v>
      </c>
      <c r="D68" s="642">
        <v>40339</v>
      </c>
      <c r="E68" s="610"/>
      <c r="F68" s="610"/>
      <c r="G68" s="610">
        <v>1350000000</v>
      </c>
      <c r="H68" s="612" t="s">
        <v>1287</v>
      </c>
      <c r="I68" s="605">
        <v>40430</v>
      </c>
      <c r="J68" s="610"/>
      <c r="K68" s="610"/>
      <c r="L68" s="610">
        <v>13610957</v>
      </c>
      <c r="M68" s="610">
        <v>0</v>
      </c>
      <c r="N68" s="610">
        <f t="shared" ref="N68:N74" si="9">+L68-M68</f>
        <v>13610957</v>
      </c>
      <c r="O68" s="612" t="s">
        <v>491</v>
      </c>
      <c r="P68" s="610">
        <f>+SUM(G68:G80)-SUM(M68:M80)</f>
        <v>1350000000</v>
      </c>
      <c r="Q68" s="610"/>
      <c r="R68" s="492"/>
      <c r="T68" s="435"/>
      <c r="U68" s="435"/>
      <c r="V68" s="435"/>
      <c r="W68" s="435"/>
      <c r="X68" s="435"/>
      <c r="Y68" s="435"/>
      <c r="Z68" s="435"/>
      <c r="AA68" s="435"/>
      <c r="AB68" s="435"/>
      <c r="AE68" s="681">
        <v>41634</v>
      </c>
      <c r="AH68" s="611">
        <v>179920000</v>
      </c>
      <c r="AI68" s="677">
        <f>+XIRR(AH67:AH68,AE67:AE68)</f>
        <v>2.9802322387695314E-9</v>
      </c>
    </row>
    <row r="69" spans="1:35" ht="16.5">
      <c r="A69" s="505" t="s">
        <v>508</v>
      </c>
      <c r="B69" s="654" t="s">
        <v>280</v>
      </c>
      <c r="C69" s="654" t="s">
        <v>1318</v>
      </c>
      <c r="D69" s="652">
        <v>41485</v>
      </c>
      <c r="E69" s="657">
        <v>135000</v>
      </c>
      <c r="F69" s="657">
        <v>10000</v>
      </c>
      <c r="G69" s="657"/>
      <c r="H69" s="650" t="s">
        <v>1321</v>
      </c>
      <c r="I69" s="627">
        <v>40521</v>
      </c>
      <c r="J69" s="657"/>
      <c r="K69" s="657"/>
      <c r="L69" s="657">
        <v>13463012</v>
      </c>
      <c r="M69" s="657">
        <v>0</v>
      </c>
      <c r="N69" s="657">
        <f t="shared" si="9"/>
        <v>13463012</v>
      </c>
      <c r="O69" s="650" t="s">
        <v>491</v>
      </c>
      <c r="P69" s="657"/>
      <c r="Q69" s="657"/>
      <c r="R69" s="493"/>
      <c r="T69" s="435"/>
      <c r="U69" s="435"/>
      <c r="V69" s="435"/>
      <c r="W69" s="435"/>
      <c r="X69" s="435"/>
      <c r="Y69" s="435"/>
      <c r="Z69" s="435"/>
      <c r="AA69" s="435"/>
      <c r="AB69" s="435"/>
      <c r="AD69" s="656" t="s">
        <v>1318</v>
      </c>
      <c r="AE69" s="642">
        <v>40339</v>
      </c>
      <c r="AF69" s="610"/>
      <c r="AG69" s="610"/>
      <c r="AH69" s="610">
        <v>-1350000000</v>
      </c>
    </row>
    <row r="70" spans="1:35" ht="16.5">
      <c r="A70" s="505" t="s">
        <v>508</v>
      </c>
      <c r="B70" s="654" t="s">
        <v>280</v>
      </c>
      <c r="C70" s="654" t="s">
        <v>1318</v>
      </c>
      <c r="D70" s="652"/>
      <c r="E70" s="657"/>
      <c r="F70" s="657"/>
      <c r="G70" s="657"/>
      <c r="H70" s="650"/>
      <c r="I70" s="627">
        <v>40611</v>
      </c>
      <c r="J70" s="657"/>
      <c r="K70" s="657"/>
      <c r="L70" s="657">
        <v>13315066</v>
      </c>
      <c r="M70" s="657">
        <v>0</v>
      </c>
      <c r="N70" s="657">
        <f t="shared" si="9"/>
        <v>13315066</v>
      </c>
      <c r="O70" s="650" t="s">
        <v>491</v>
      </c>
      <c r="P70" s="506"/>
      <c r="Q70" s="657"/>
      <c r="R70" s="493"/>
      <c r="T70" s="435"/>
      <c r="U70" s="435"/>
      <c r="V70" s="435"/>
      <c r="W70" s="435"/>
      <c r="X70" s="435"/>
      <c r="Y70" s="435"/>
      <c r="Z70" s="435"/>
      <c r="AA70" s="435"/>
      <c r="AB70" s="435"/>
      <c r="AE70" s="605">
        <v>40430</v>
      </c>
      <c r="AF70" s="610"/>
      <c r="AG70" s="610"/>
      <c r="AH70" s="610">
        <v>13610957</v>
      </c>
    </row>
    <row r="71" spans="1:35" ht="16.5">
      <c r="A71" s="505" t="s">
        <v>508</v>
      </c>
      <c r="B71" s="476" t="s">
        <v>280</v>
      </c>
      <c r="C71" s="476" t="s">
        <v>1318</v>
      </c>
      <c r="D71" s="646"/>
      <c r="E71" s="647"/>
      <c r="F71" s="647"/>
      <c r="G71" s="647"/>
      <c r="H71" s="742"/>
      <c r="I71" s="658">
        <v>40703</v>
      </c>
      <c r="J71" s="647"/>
      <c r="K71" s="647"/>
      <c r="L71" s="647">
        <v>13610957</v>
      </c>
      <c r="M71" s="657">
        <v>0</v>
      </c>
      <c r="N71" s="647">
        <f t="shared" si="9"/>
        <v>13610957</v>
      </c>
      <c r="O71" s="742" t="s">
        <v>491</v>
      </c>
      <c r="P71" s="722"/>
      <c r="Q71" s="647"/>
      <c r="R71" s="307"/>
      <c r="T71" s="435"/>
      <c r="U71" s="435"/>
      <c r="V71" s="435"/>
      <c r="W71" s="435"/>
      <c r="X71" s="435"/>
      <c r="Y71" s="435"/>
      <c r="Z71" s="435"/>
      <c r="AA71" s="435"/>
      <c r="AB71" s="435"/>
      <c r="AE71" s="627">
        <v>40521</v>
      </c>
      <c r="AF71" s="657"/>
      <c r="AG71" s="657"/>
      <c r="AH71" s="657">
        <v>13463012</v>
      </c>
    </row>
    <row r="72" spans="1:35" ht="16.5">
      <c r="A72" s="505" t="s">
        <v>508</v>
      </c>
      <c r="B72" s="654" t="s">
        <v>280</v>
      </c>
      <c r="C72" s="654" t="s">
        <v>1318</v>
      </c>
      <c r="D72" s="652"/>
      <c r="E72" s="657"/>
      <c r="F72" s="657"/>
      <c r="G72" s="657"/>
      <c r="H72" s="650"/>
      <c r="I72" s="627">
        <v>40795</v>
      </c>
      <c r="J72" s="657"/>
      <c r="K72" s="657"/>
      <c r="L72" s="657">
        <v>13610957</v>
      </c>
      <c r="M72" s="657">
        <v>0</v>
      </c>
      <c r="N72" s="657">
        <f t="shared" si="9"/>
        <v>13610957</v>
      </c>
      <c r="O72" s="650" t="s">
        <v>491</v>
      </c>
      <c r="P72" s="657"/>
      <c r="Q72" s="614"/>
      <c r="R72" s="494"/>
      <c r="T72" s="435"/>
      <c r="U72" s="435"/>
      <c r="V72" s="435"/>
      <c r="W72" s="435"/>
      <c r="X72" s="435"/>
      <c r="AE72" s="627">
        <v>40611</v>
      </c>
      <c r="AF72" s="657"/>
      <c r="AG72" s="657"/>
      <c r="AH72" s="657">
        <v>13315066</v>
      </c>
    </row>
    <row r="73" spans="1:35" ht="16.5">
      <c r="A73" s="505" t="s">
        <v>508</v>
      </c>
      <c r="B73" s="654" t="s">
        <v>280</v>
      </c>
      <c r="C73" s="654" t="s">
        <v>1318</v>
      </c>
      <c r="D73" s="652"/>
      <c r="E73" s="657"/>
      <c r="F73" s="657"/>
      <c r="G73" s="657"/>
      <c r="H73" s="650"/>
      <c r="I73" s="627">
        <v>40886</v>
      </c>
      <c r="J73" s="657"/>
      <c r="K73" s="657"/>
      <c r="L73" s="657">
        <v>13463012</v>
      </c>
      <c r="M73" s="657">
        <v>0</v>
      </c>
      <c r="N73" s="657">
        <f t="shared" si="9"/>
        <v>13463012</v>
      </c>
      <c r="O73" s="650" t="s">
        <v>491</v>
      </c>
      <c r="P73" s="657"/>
      <c r="Q73" s="644"/>
      <c r="R73" s="392"/>
      <c r="T73" s="435"/>
      <c r="U73" s="435"/>
      <c r="V73" s="435"/>
      <c r="W73" s="435"/>
      <c r="X73" s="435"/>
      <c r="AE73" s="658">
        <v>40703</v>
      </c>
      <c r="AF73" s="647"/>
      <c r="AG73" s="647"/>
      <c r="AH73" s="647">
        <v>13610957</v>
      </c>
    </row>
    <row r="74" spans="1:35" ht="16.5">
      <c r="A74" s="505" t="s">
        <v>508</v>
      </c>
      <c r="B74" s="654" t="s">
        <v>280</v>
      </c>
      <c r="C74" s="654" t="s">
        <v>1318</v>
      </c>
      <c r="D74" s="652"/>
      <c r="E74" s="657"/>
      <c r="F74" s="657"/>
      <c r="G74" s="657"/>
      <c r="H74" s="650"/>
      <c r="I74" s="627">
        <v>40977</v>
      </c>
      <c r="J74" s="657"/>
      <c r="K74" s="657"/>
      <c r="L74" s="657">
        <v>13463012</v>
      </c>
      <c r="M74" s="657">
        <v>0</v>
      </c>
      <c r="N74" s="657">
        <f t="shared" si="9"/>
        <v>13463012</v>
      </c>
      <c r="O74" s="650" t="s">
        <v>491</v>
      </c>
      <c r="P74" s="657"/>
      <c r="Q74" s="644"/>
      <c r="R74" s="392"/>
      <c r="T74" s="435"/>
      <c r="U74" s="435"/>
      <c r="V74" s="435"/>
      <c r="W74" s="435"/>
      <c r="X74" s="435"/>
      <c r="AE74" s="627">
        <v>40795</v>
      </c>
      <c r="AF74" s="657"/>
      <c r="AG74" s="657"/>
      <c r="AH74" s="657">
        <v>13610957</v>
      </c>
    </row>
    <row r="75" spans="1:35" ht="16.5">
      <c r="A75" s="505" t="s">
        <v>508</v>
      </c>
      <c r="B75" s="654" t="s">
        <v>280</v>
      </c>
      <c r="C75" s="654" t="s">
        <v>1318</v>
      </c>
      <c r="D75" s="652"/>
      <c r="E75" s="657"/>
      <c r="F75" s="657"/>
      <c r="G75" s="657"/>
      <c r="H75" s="650"/>
      <c r="I75" s="627">
        <v>41071</v>
      </c>
      <c r="J75" s="657"/>
      <c r="K75" s="657"/>
      <c r="L75" s="657">
        <v>13906845</v>
      </c>
      <c r="M75" s="657">
        <v>0</v>
      </c>
      <c r="N75" s="657">
        <f t="shared" ref="N75:N80" si="10">+L75-M75</f>
        <v>13906845</v>
      </c>
      <c r="O75" s="650" t="s">
        <v>491</v>
      </c>
      <c r="P75" s="657"/>
      <c r="Q75" s="644"/>
      <c r="R75" s="392"/>
      <c r="T75" s="435"/>
      <c r="U75" s="435"/>
      <c r="V75" s="435"/>
      <c r="W75" s="435"/>
      <c r="X75" s="435"/>
      <c r="AE75" s="627">
        <v>40886</v>
      </c>
      <c r="AF75" s="657"/>
      <c r="AG75" s="657"/>
      <c r="AH75" s="657">
        <v>13463012</v>
      </c>
    </row>
    <row r="76" spans="1:35" ht="16.5">
      <c r="A76" s="505" t="s">
        <v>508</v>
      </c>
      <c r="B76" s="654" t="s">
        <v>280</v>
      </c>
      <c r="C76" s="654" t="s">
        <v>1318</v>
      </c>
      <c r="D76" s="652"/>
      <c r="E76" s="657"/>
      <c r="F76" s="657"/>
      <c r="G76" s="657"/>
      <c r="H76" s="650"/>
      <c r="I76" s="627">
        <v>41162</v>
      </c>
      <c r="J76" s="657"/>
      <c r="K76" s="657"/>
      <c r="L76" s="657">
        <v>13463012</v>
      </c>
      <c r="M76" s="657">
        <v>0</v>
      </c>
      <c r="N76" s="657">
        <f t="shared" si="10"/>
        <v>13463012</v>
      </c>
      <c r="O76" s="650" t="s">
        <v>491</v>
      </c>
      <c r="P76" s="657"/>
      <c r="Q76" s="644"/>
      <c r="R76" s="392"/>
      <c r="T76" s="435"/>
      <c r="U76" s="435"/>
      <c r="V76" s="435"/>
      <c r="W76" s="435"/>
      <c r="X76" s="435"/>
      <c r="AE76" s="627">
        <v>40977</v>
      </c>
      <c r="AF76" s="657"/>
      <c r="AG76" s="657"/>
      <c r="AH76" s="657">
        <v>13463012</v>
      </c>
    </row>
    <row r="77" spans="1:35" ht="16.5">
      <c r="A77" s="505" t="s">
        <v>508</v>
      </c>
      <c r="B77" s="654" t="s">
        <v>280</v>
      </c>
      <c r="C77" s="654" t="s">
        <v>1318</v>
      </c>
      <c r="D77" s="652"/>
      <c r="E77" s="657"/>
      <c r="F77" s="657"/>
      <c r="G77" s="657"/>
      <c r="H77" s="650"/>
      <c r="I77" s="627">
        <v>41253</v>
      </c>
      <c r="J77" s="657"/>
      <c r="K77" s="657"/>
      <c r="L77" s="657">
        <v>13463012</v>
      </c>
      <c r="M77" s="657">
        <v>0</v>
      </c>
      <c r="N77" s="657">
        <f t="shared" si="10"/>
        <v>13463012</v>
      </c>
      <c r="O77" s="650" t="s">
        <v>491</v>
      </c>
      <c r="P77" s="657"/>
      <c r="Q77" s="644"/>
      <c r="R77" s="392"/>
      <c r="T77" s="435"/>
      <c r="U77" s="435"/>
      <c r="V77" s="435"/>
      <c r="W77" s="435"/>
      <c r="X77" s="435"/>
      <c r="AE77" s="627">
        <v>41071</v>
      </c>
      <c r="AF77" s="657"/>
      <c r="AG77" s="657"/>
      <c r="AH77" s="657">
        <v>13906845</v>
      </c>
    </row>
    <row r="78" spans="1:35" ht="16.5">
      <c r="A78" s="491" t="s">
        <v>508</v>
      </c>
      <c r="B78" s="654" t="s">
        <v>280</v>
      </c>
      <c r="C78" s="654" t="s">
        <v>1318</v>
      </c>
      <c r="D78" s="652"/>
      <c r="E78" s="657"/>
      <c r="F78" s="657"/>
      <c r="G78" s="657"/>
      <c r="H78" s="650"/>
      <c r="I78" s="627">
        <v>41344</v>
      </c>
      <c r="J78" s="657"/>
      <c r="K78" s="657"/>
      <c r="L78" s="657">
        <v>13463012</v>
      </c>
      <c r="M78" s="657">
        <v>0</v>
      </c>
      <c r="N78" s="657">
        <f t="shared" si="10"/>
        <v>13463012</v>
      </c>
      <c r="O78" s="650" t="s">
        <v>491</v>
      </c>
      <c r="P78" s="657"/>
      <c r="Q78" s="644"/>
      <c r="R78" s="392"/>
      <c r="T78" s="435"/>
      <c r="U78" s="435"/>
      <c r="V78" s="435"/>
      <c r="W78" s="435"/>
      <c r="X78" s="435"/>
      <c r="AE78" s="627">
        <v>41162</v>
      </c>
      <c r="AF78" s="657"/>
      <c r="AG78" s="657"/>
      <c r="AH78" s="657">
        <v>13463012</v>
      </c>
    </row>
    <row r="79" spans="1:35" ht="16.5">
      <c r="A79" s="491" t="s">
        <v>508</v>
      </c>
      <c r="B79" s="654" t="s">
        <v>280</v>
      </c>
      <c r="C79" s="654" t="s">
        <v>1318</v>
      </c>
      <c r="D79" s="652"/>
      <c r="E79" s="657"/>
      <c r="F79" s="657"/>
      <c r="G79" s="657"/>
      <c r="H79" s="650"/>
      <c r="I79" s="627">
        <v>41435</v>
      </c>
      <c r="J79" s="657"/>
      <c r="K79" s="657"/>
      <c r="L79" s="657">
        <v>13463012</v>
      </c>
      <c r="M79" s="657">
        <v>0</v>
      </c>
      <c r="N79" s="657">
        <f t="shared" si="10"/>
        <v>13463012</v>
      </c>
      <c r="O79" s="650" t="s">
        <v>491</v>
      </c>
      <c r="P79" s="657"/>
      <c r="Q79" s="644"/>
      <c r="R79" s="392"/>
      <c r="T79" s="435"/>
      <c r="U79" s="435"/>
      <c r="V79" s="435"/>
      <c r="W79" s="435"/>
      <c r="X79" s="435"/>
      <c r="AE79" s="627">
        <v>41253</v>
      </c>
      <c r="AF79" s="657"/>
      <c r="AG79" s="657"/>
      <c r="AH79" s="657">
        <v>13463012</v>
      </c>
    </row>
    <row r="80" spans="1:35" ht="16.5">
      <c r="A80" s="491" t="s">
        <v>508</v>
      </c>
      <c r="B80" s="655" t="s">
        <v>280</v>
      </c>
      <c r="C80" s="655" t="s">
        <v>1318</v>
      </c>
      <c r="D80" s="651"/>
      <c r="E80" s="614"/>
      <c r="F80" s="614"/>
      <c r="G80" s="614"/>
      <c r="H80" s="613"/>
      <c r="I80" s="606">
        <v>41936</v>
      </c>
      <c r="J80" s="614"/>
      <c r="K80" s="614"/>
      <c r="L80" s="614">
        <v>9225290</v>
      </c>
      <c r="M80" s="614"/>
      <c r="N80" s="614">
        <f t="shared" si="10"/>
        <v>9225290</v>
      </c>
      <c r="O80" s="613" t="s">
        <v>1488</v>
      </c>
      <c r="P80" s="614"/>
      <c r="Q80" s="669"/>
      <c r="R80" s="741"/>
      <c r="T80" s="435"/>
      <c r="U80" s="435"/>
      <c r="V80" s="435"/>
      <c r="W80" s="435"/>
      <c r="X80" s="435"/>
      <c r="AE80" s="627"/>
      <c r="AF80" s="657"/>
      <c r="AG80" s="657"/>
      <c r="AH80" s="657"/>
    </row>
    <row r="81" spans="1:35" ht="16.5">
      <c r="A81" s="491" t="s">
        <v>508</v>
      </c>
      <c r="B81" s="656" t="s">
        <v>278</v>
      </c>
      <c r="C81" s="656" t="s">
        <v>517</v>
      </c>
      <c r="D81" s="642">
        <v>40724</v>
      </c>
      <c r="E81" s="610">
        <v>5201</v>
      </c>
      <c r="F81" s="610">
        <f>SUM(G81:G82)/E81</f>
        <v>2307500</v>
      </c>
      <c r="G81" s="610">
        <v>10021480204</v>
      </c>
      <c r="H81" s="612" t="s">
        <v>1254</v>
      </c>
      <c r="I81" s="605"/>
      <c r="J81" s="610"/>
      <c r="K81" s="610"/>
      <c r="L81" s="610"/>
      <c r="M81" s="610"/>
      <c r="N81" s="610"/>
      <c r="O81" s="612"/>
      <c r="P81" s="610">
        <f>+SUM(G81:G82)-SUM(M81:M82)</f>
        <v>12001307500</v>
      </c>
      <c r="Q81" s="610"/>
      <c r="R81" s="492"/>
      <c r="T81" s="435"/>
      <c r="U81" s="435"/>
      <c r="V81" s="435"/>
      <c r="W81" s="435"/>
      <c r="X81" s="435"/>
      <c r="AE81" s="627">
        <v>41344</v>
      </c>
      <c r="AF81" s="657"/>
      <c r="AG81" s="657"/>
      <c r="AH81" s="657">
        <v>13463012</v>
      </c>
    </row>
    <row r="82" spans="1:35" ht="16.5">
      <c r="A82" s="491" t="s">
        <v>508</v>
      </c>
      <c r="B82" s="655" t="s">
        <v>278</v>
      </c>
      <c r="C82" s="655" t="s">
        <v>517</v>
      </c>
      <c r="D82" s="651">
        <v>40900</v>
      </c>
      <c r="E82" s="614"/>
      <c r="F82" s="614"/>
      <c r="G82" s="614">
        <v>1979827296</v>
      </c>
      <c r="H82" s="613"/>
      <c r="I82" s="606"/>
      <c r="J82" s="614"/>
      <c r="K82" s="614"/>
      <c r="L82" s="614"/>
      <c r="M82" s="614"/>
      <c r="N82" s="614"/>
      <c r="O82" s="613"/>
      <c r="P82" s="614"/>
      <c r="Q82" s="614"/>
      <c r="R82" s="494"/>
      <c r="T82" s="435"/>
      <c r="U82" s="435"/>
      <c r="V82" s="435"/>
      <c r="W82" s="435"/>
      <c r="X82" s="435"/>
      <c r="AE82" s="658"/>
      <c r="AF82" s="647"/>
      <c r="AG82" s="647"/>
      <c r="AH82" s="647"/>
    </row>
    <row r="83" spans="1:35" ht="16.5">
      <c r="A83" s="491" t="s">
        <v>508</v>
      </c>
      <c r="B83" s="609" t="s">
        <v>280</v>
      </c>
      <c r="C83" s="653" t="s">
        <v>1322</v>
      </c>
      <c r="D83" s="645">
        <v>41122</v>
      </c>
      <c r="E83" s="644">
        <v>15000</v>
      </c>
      <c r="F83" s="644">
        <v>10000</v>
      </c>
      <c r="G83" s="644">
        <v>150000000</v>
      </c>
      <c r="H83" s="743" t="s">
        <v>1323</v>
      </c>
      <c r="I83" s="604"/>
      <c r="J83" s="644"/>
      <c r="K83" s="644"/>
      <c r="L83" s="644"/>
      <c r="M83" s="644"/>
      <c r="N83" s="644"/>
      <c r="O83" s="743"/>
      <c r="P83" s="644">
        <f>+G83-M83</f>
        <v>150000000</v>
      </c>
      <c r="Q83" s="644"/>
      <c r="R83" s="392"/>
      <c r="T83" s="435"/>
      <c r="U83" s="435"/>
      <c r="V83" s="435"/>
      <c r="W83" s="435"/>
      <c r="X83" s="435"/>
      <c r="AE83" s="606">
        <v>41435</v>
      </c>
      <c r="AF83" s="614"/>
      <c r="AG83" s="614"/>
      <c r="AH83" s="614">
        <v>13463012</v>
      </c>
    </row>
    <row r="84" spans="1:35" ht="16.5">
      <c r="A84" s="491" t="s">
        <v>508</v>
      </c>
      <c r="B84" s="609" t="s">
        <v>279</v>
      </c>
      <c r="C84" s="653" t="s">
        <v>1322</v>
      </c>
      <c r="D84" s="645">
        <v>41122</v>
      </c>
      <c r="E84" s="644">
        <v>0</v>
      </c>
      <c r="F84" s="644">
        <v>0</v>
      </c>
      <c r="G84" s="644">
        <v>150000000</v>
      </c>
      <c r="H84" s="743" t="s">
        <v>351</v>
      </c>
      <c r="I84" s="604"/>
      <c r="J84" s="644"/>
      <c r="K84" s="644"/>
      <c r="L84" s="644"/>
      <c r="M84" s="644"/>
      <c r="N84" s="644"/>
      <c r="O84" s="743"/>
      <c r="P84" s="644">
        <f>+G84-M84</f>
        <v>150000000</v>
      </c>
      <c r="Q84" s="644"/>
      <c r="R84" s="392"/>
      <c r="T84" s="435"/>
      <c r="U84" s="435"/>
      <c r="V84" s="435"/>
      <c r="W84" s="435"/>
      <c r="X84" s="435"/>
      <c r="AE84" s="681">
        <v>41634</v>
      </c>
      <c r="AH84" s="611">
        <v>1350000000</v>
      </c>
      <c r="AI84" s="677">
        <f>+XIRR(AH69:AH84,AE69:AE84)</f>
        <v>3.4636595845222468E-2</v>
      </c>
    </row>
    <row r="85" spans="1:35" ht="16.5">
      <c r="A85" s="653" t="s">
        <v>508</v>
      </c>
      <c r="B85" s="609" t="s">
        <v>279</v>
      </c>
      <c r="C85" s="653" t="s">
        <v>1322</v>
      </c>
      <c r="D85" s="645">
        <v>41456</v>
      </c>
      <c r="E85" s="644">
        <v>0</v>
      </c>
      <c r="F85" s="644">
        <v>0</v>
      </c>
      <c r="G85" s="644">
        <v>200000000</v>
      </c>
      <c r="H85" s="743" t="s">
        <v>351</v>
      </c>
      <c r="I85" s="604"/>
      <c r="J85" s="644"/>
      <c r="K85" s="644"/>
      <c r="L85" s="644"/>
      <c r="M85" s="644"/>
      <c r="N85" s="644"/>
      <c r="O85" s="743"/>
      <c r="P85" s="644">
        <f>+G85-M85</f>
        <v>200000000</v>
      </c>
      <c r="Q85" s="644"/>
      <c r="R85" s="392"/>
      <c r="T85" s="435"/>
      <c r="U85" s="435"/>
      <c r="V85" s="435"/>
      <c r="W85" s="435"/>
      <c r="X85" s="435"/>
      <c r="AD85" s="653" t="s">
        <v>517</v>
      </c>
      <c r="AE85" s="645">
        <v>40900</v>
      </c>
      <c r="AF85" s="644">
        <v>5201</v>
      </c>
      <c r="AG85" s="644">
        <f>AH85/AF85</f>
        <v>-2307500</v>
      </c>
      <c r="AH85" s="644">
        <v>-12001307500</v>
      </c>
    </row>
    <row r="86" spans="1:35" ht="16.5">
      <c r="A86" s="653" t="s">
        <v>508</v>
      </c>
      <c r="B86" s="609" t="s">
        <v>1490</v>
      </c>
      <c r="C86" s="653" t="s">
        <v>1491</v>
      </c>
      <c r="D86" s="645">
        <v>41943</v>
      </c>
      <c r="E86" s="644"/>
      <c r="F86" s="644"/>
      <c r="G86" s="644">
        <v>200000000</v>
      </c>
      <c r="H86" s="743" t="s">
        <v>1490</v>
      </c>
      <c r="I86" s="604"/>
      <c r="J86" s="644"/>
      <c r="K86" s="644"/>
      <c r="L86" s="644"/>
      <c r="M86" s="644"/>
      <c r="N86" s="644"/>
      <c r="O86" s="743"/>
      <c r="P86" s="644"/>
      <c r="Q86" s="644"/>
      <c r="R86" s="392"/>
      <c r="T86" s="435"/>
      <c r="U86" s="435"/>
      <c r="V86" s="435"/>
      <c r="W86" s="435"/>
      <c r="X86" s="435"/>
      <c r="AE86" s="681"/>
      <c r="AF86" s="611"/>
      <c r="AG86" s="611"/>
    </row>
    <row r="87" spans="1:35" s="615" customFormat="1" ht="16.5">
      <c r="A87" s="472" t="s">
        <v>508</v>
      </c>
      <c r="B87" s="467" t="s">
        <v>502</v>
      </c>
      <c r="C87" s="467"/>
      <c r="D87" s="467"/>
      <c r="E87" s="467"/>
      <c r="F87" s="467"/>
      <c r="G87" s="498">
        <f>SUM(G4:G86)</f>
        <v>38995662116</v>
      </c>
      <c r="H87" s="468"/>
      <c r="I87" s="467"/>
      <c r="J87" s="498"/>
      <c r="K87" s="498"/>
      <c r="L87" s="498">
        <f>SUM(L4:L86)</f>
        <v>31744020646</v>
      </c>
      <c r="M87" s="498">
        <f>SUM(M4:M86)</f>
        <v>23294434616</v>
      </c>
      <c r="N87" s="498">
        <f>SUM(N4:N86)</f>
        <v>8449586030</v>
      </c>
      <c r="O87" s="498">
        <f>SUM(O4:O43)</f>
        <v>0</v>
      </c>
      <c r="P87" s="498">
        <f>SUM(P4:P85)</f>
        <v>15501227500</v>
      </c>
      <c r="Q87" s="498"/>
      <c r="R87" s="478"/>
      <c r="T87" s="574"/>
      <c r="U87" s="574"/>
      <c r="V87" s="574"/>
      <c r="W87" s="574"/>
      <c r="X87" s="574"/>
      <c r="AE87" s="583">
        <v>41634</v>
      </c>
      <c r="AH87" s="582">
        <f>+-AH85</f>
        <v>12001307500</v>
      </c>
      <c r="AI87" s="677">
        <f>+XIRR(AH85:AH87,AE85:AE87)</f>
        <v>2.9802322387695314E-9</v>
      </c>
    </row>
    <row r="88" spans="1:35" ht="16.5">
      <c r="A88" s="491" t="s">
        <v>505</v>
      </c>
      <c r="B88" s="656" t="s">
        <v>1297</v>
      </c>
      <c r="C88" s="656" t="s">
        <v>1304</v>
      </c>
      <c r="D88" s="642">
        <v>39583</v>
      </c>
      <c r="E88" s="610"/>
      <c r="F88" s="610"/>
      <c r="G88" s="610">
        <v>1000000000</v>
      </c>
      <c r="H88" s="612" t="s">
        <v>1287</v>
      </c>
      <c r="I88" s="642">
        <v>39708</v>
      </c>
      <c r="J88" s="610">
        <v>0</v>
      </c>
      <c r="K88" s="610">
        <v>0</v>
      </c>
      <c r="L88" s="610">
        <v>512842466</v>
      </c>
      <c r="M88" s="610">
        <v>500000000</v>
      </c>
      <c r="N88" s="610">
        <f t="shared" ref="N88:N93" si="11">+L88-M88</f>
        <v>12842466</v>
      </c>
      <c r="O88" s="612" t="s">
        <v>491</v>
      </c>
      <c r="P88" s="610"/>
      <c r="Q88" s="641"/>
      <c r="R88" s="462" t="s">
        <v>1250</v>
      </c>
      <c r="T88" s="435"/>
      <c r="U88" s="435"/>
      <c r="V88" s="435"/>
      <c r="W88" s="435"/>
      <c r="X88" s="435"/>
      <c r="AD88" s="653" t="s">
        <v>1322</v>
      </c>
      <c r="AE88" s="645">
        <v>41122</v>
      </c>
      <c r="AF88" s="644">
        <v>15000</v>
      </c>
      <c r="AG88" s="644">
        <v>10000</v>
      </c>
      <c r="AH88" s="644">
        <v>-150000000</v>
      </c>
    </row>
    <row r="89" spans="1:35">
      <c r="A89" s="491" t="s">
        <v>505</v>
      </c>
      <c r="B89" s="655" t="s">
        <v>1297</v>
      </c>
      <c r="C89" s="655" t="s">
        <v>1304</v>
      </c>
      <c r="D89" s="651"/>
      <c r="E89" s="614"/>
      <c r="F89" s="614"/>
      <c r="G89" s="614"/>
      <c r="H89" s="613"/>
      <c r="I89" s="651">
        <v>40105</v>
      </c>
      <c r="J89" s="614">
        <v>0</v>
      </c>
      <c r="K89" s="614">
        <v>0</v>
      </c>
      <c r="L89" s="614">
        <v>554483224</v>
      </c>
      <c r="M89" s="614">
        <v>500000000</v>
      </c>
      <c r="N89" s="614">
        <f t="shared" si="11"/>
        <v>54483224</v>
      </c>
      <c r="O89" s="613" t="s">
        <v>491</v>
      </c>
      <c r="P89" s="614">
        <f>+SUM(G88:G89)-SUM(M88:M89)</f>
        <v>0</v>
      </c>
      <c r="Q89" s="641"/>
      <c r="R89" s="462"/>
      <c r="T89" s="615"/>
      <c r="U89" s="615"/>
      <c r="V89" s="615"/>
      <c r="W89" s="615"/>
      <c r="X89" s="680"/>
      <c r="AE89" s="681">
        <v>41634</v>
      </c>
      <c r="AH89" s="611">
        <f>+-AH88</f>
        <v>150000000</v>
      </c>
      <c r="AI89" s="677">
        <f>+XIRR(AH88:AH89,AE88:AE89)</f>
        <v>2.9802322387695314E-9</v>
      </c>
    </row>
    <row r="90" spans="1:35" ht="16.5">
      <c r="A90" s="491" t="s">
        <v>505</v>
      </c>
      <c r="B90" s="656" t="s">
        <v>1297</v>
      </c>
      <c r="C90" s="656" t="s">
        <v>1305</v>
      </c>
      <c r="D90" s="642">
        <v>39645</v>
      </c>
      <c r="E90" s="610"/>
      <c r="F90" s="610"/>
      <c r="G90" s="610">
        <v>700000000</v>
      </c>
      <c r="H90" s="612" t="s">
        <v>1287</v>
      </c>
      <c r="I90" s="642">
        <v>40298</v>
      </c>
      <c r="J90" s="610"/>
      <c r="K90" s="610"/>
      <c r="L90" s="610">
        <v>408343444</v>
      </c>
      <c r="M90" s="610">
        <v>350000000</v>
      </c>
      <c r="N90" s="610">
        <f t="shared" si="11"/>
        <v>58343444</v>
      </c>
      <c r="O90" s="612" t="s">
        <v>1306</v>
      </c>
      <c r="P90" s="610"/>
      <c r="Q90" s="641"/>
      <c r="R90" s="462"/>
      <c r="T90" s="642">
        <v>39583</v>
      </c>
      <c r="U90" s="610"/>
      <c r="V90" s="610"/>
      <c r="W90" s="610">
        <v>-1000000000</v>
      </c>
      <c r="X90" s="435"/>
      <c r="AD90" s="653" t="s">
        <v>1322</v>
      </c>
      <c r="AE90" s="645">
        <v>41122</v>
      </c>
      <c r="AF90" s="644">
        <v>0</v>
      </c>
      <c r="AG90" s="644">
        <v>0</v>
      </c>
      <c r="AH90" s="644">
        <v>-150000000</v>
      </c>
    </row>
    <row r="91" spans="1:35">
      <c r="A91" s="491" t="s">
        <v>505</v>
      </c>
      <c r="B91" s="655" t="s">
        <v>1297</v>
      </c>
      <c r="C91" s="655" t="s">
        <v>1307</v>
      </c>
      <c r="D91" s="651"/>
      <c r="E91" s="614"/>
      <c r="F91" s="614"/>
      <c r="G91" s="614"/>
      <c r="H91" s="613"/>
      <c r="I91" s="651">
        <v>40421</v>
      </c>
      <c r="J91" s="614"/>
      <c r="K91" s="614"/>
      <c r="L91" s="614">
        <v>420375894</v>
      </c>
      <c r="M91" s="614">
        <v>350000000</v>
      </c>
      <c r="N91" s="614">
        <f t="shared" si="11"/>
        <v>70375894</v>
      </c>
      <c r="O91" s="613" t="s">
        <v>1306</v>
      </c>
      <c r="P91" s="614">
        <f>+G90-M90-M91</f>
        <v>0</v>
      </c>
      <c r="Q91" s="641"/>
      <c r="R91" s="462"/>
      <c r="T91" s="642">
        <v>39708</v>
      </c>
      <c r="U91" s="610">
        <v>0</v>
      </c>
      <c r="V91" s="610">
        <v>0</v>
      </c>
      <c r="W91" s="610">
        <v>512842466</v>
      </c>
      <c r="Y91" s="640">
        <v>39813</v>
      </c>
      <c r="Z91" s="641"/>
      <c r="AA91" s="641"/>
      <c r="AB91" s="641">
        <v>-3800000000</v>
      </c>
      <c r="AD91" s="653" t="s">
        <v>1322</v>
      </c>
      <c r="AE91" s="645">
        <v>41456</v>
      </c>
      <c r="AF91" s="644">
        <v>0</v>
      </c>
      <c r="AG91" s="644">
        <v>0</v>
      </c>
      <c r="AH91" s="644">
        <v>-200000000</v>
      </c>
    </row>
    <row r="92" spans="1:35">
      <c r="A92" s="491" t="s">
        <v>505</v>
      </c>
      <c r="B92" s="609" t="s">
        <v>1447</v>
      </c>
      <c r="C92" s="609" t="s">
        <v>1445</v>
      </c>
      <c r="D92" s="640">
        <v>39813</v>
      </c>
      <c r="E92" s="641"/>
      <c r="F92" s="641"/>
      <c r="G92" s="641">
        <v>3800000000</v>
      </c>
      <c r="H92" s="464" t="s">
        <v>1448</v>
      </c>
      <c r="I92" s="640">
        <v>39825</v>
      </c>
      <c r="J92" s="641"/>
      <c r="K92" s="641"/>
      <c r="L92" s="641">
        <v>3821238356</v>
      </c>
      <c r="M92" s="641">
        <v>3800000000</v>
      </c>
      <c r="N92" s="641">
        <f t="shared" si="11"/>
        <v>21238356</v>
      </c>
      <c r="O92" s="464" t="s">
        <v>1309</v>
      </c>
      <c r="P92" s="641">
        <f>+G92-M92</f>
        <v>0</v>
      </c>
      <c r="Q92" s="641"/>
      <c r="R92" s="462" t="s">
        <v>1309</v>
      </c>
      <c r="T92" s="651">
        <v>40105</v>
      </c>
      <c r="U92" s="614">
        <v>0</v>
      </c>
      <c r="V92" s="614">
        <v>0</v>
      </c>
      <c r="W92" s="614">
        <v>554483224</v>
      </c>
      <c r="Y92" s="640">
        <v>39825</v>
      </c>
      <c r="Z92" s="641"/>
      <c r="AA92" s="641"/>
      <c r="AB92" s="641">
        <v>3821238356</v>
      </c>
      <c r="AC92" s="677">
        <f>+XIRR(AB91:AB92,Y91:Y92)</f>
        <v>0.18474397063255313</v>
      </c>
      <c r="AE92" s="681">
        <v>41634</v>
      </c>
      <c r="AH92" s="611">
        <f>+-(AH90+AH91)</f>
        <v>350000000</v>
      </c>
      <c r="AI92" s="677">
        <f>+XIRR(AH90:AH92,AE90:AE92)</f>
        <v>2.9802322387695314E-9</v>
      </c>
    </row>
    <row r="93" spans="1:35">
      <c r="A93" s="502" t="s">
        <v>1324</v>
      </c>
      <c r="B93" s="656" t="s">
        <v>280</v>
      </c>
      <c r="C93" s="656" t="str">
        <f>+C88</f>
        <v>셀트리온(구오알켐)</v>
      </c>
      <c r="D93" s="642">
        <v>39958</v>
      </c>
      <c r="E93" s="610">
        <v>156250</v>
      </c>
      <c r="F93" s="610">
        <v>3200</v>
      </c>
      <c r="G93" s="610">
        <f>+E93*F93</f>
        <v>500000000</v>
      </c>
      <c r="H93" s="612" t="s">
        <v>350</v>
      </c>
      <c r="I93" s="628">
        <v>39972</v>
      </c>
      <c r="J93" s="612">
        <v>7160</v>
      </c>
      <c r="K93" s="612">
        <f>+L93/J93</f>
        <v>19285.049022346368</v>
      </c>
      <c r="L93" s="629">
        <v>138080951</v>
      </c>
      <c r="M93" s="610">
        <f t="shared" ref="M93:M114" si="12">+J93*$F$93</f>
        <v>22912000</v>
      </c>
      <c r="N93" s="503">
        <f t="shared" si="11"/>
        <v>115168951</v>
      </c>
      <c r="O93" s="532" t="s">
        <v>1310</v>
      </c>
      <c r="P93" s="503"/>
      <c r="Q93" s="503"/>
      <c r="R93" s="492" t="s">
        <v>1311</v>
      </c>
      <c r="T93" s="642">
        <v>39958</v>
      </c>
      <c r="U93" s="610">
        <v>156250</v>
      </c>
      <c r="V93" s="610">
        <v>3200</v>
      </c>
      <c r="W93" s="610">
        <v>-500000000</v>
      </c>
    </row>
    <row r="94" spans="1:35">
      <c r="A94" s="491" t="s">
        <v>505</v>
      </c>
      <c r="B94" s="654" t="s">
        <v>487</v>
      </c>
      <c r="C94" s="654" t="s">
        <v>506</v>
      </c>
      <c r="D94" s="654"/>
      <c r="E94" s="657"/>
      <c r="F94" s="657"/>
      <c r="G94" s="657"/>
      <c r="H94" s="650"/>
      <c r="I94" s="630">
        <v>39973</v>
      </c>
      <c r="J94" s="650">
        <v>7160</v>
      </c>
      <c r="K94" s="650">
        <f t="shared" ref="K94:K114" si="13">+L94/J94</f>
        <v>18753.817737430167</v>
      </c>
      <c r="L94" s="631">
        <v>134277335</v>
      </c>
      <c r="M94" s="657">
        <f t="shared" si="12"/>
        <v>22912000</v>
      </c>
      <c r="N94" s="504">
        <f t="shared" ref="N94:N114" si="14">+L94-M94</f>
        <v>111365335</v>
      </c>
      <c r="O94" s="533" t="s">
        <v>1310</v>
      </c>
      <c r="P94" s="504"/>
      <c r="Q94" s="504"/>
      <c r="R94" s="493" t="s">
        <v>488</v>
      </c>
      <c r="T94" s="628">
        <v>39968</v>
      </c>
      <c r="U94" s="612">
        <v>7160</v>
      </c>
      <c r="V94" s="612">
        <v>19285.049022346368</v>
      </c>
      <c r="W94" s="629">
        <v>138080951</v>
      </c>
    </row>
    <row r="95" spans="1:35">
      <c r="A95" s="491" t="s">
        <v>505</v>
      </c>
      <c r="B95" s="654" t="s">
        <v>487</v>
      </c>
      <c r="C95" s="654" t="s">
        <v>506</v>
      </c>
      <c r="D95" s="654"/>
      <c r="E95" s="657"/>
      <c r="F95" s="657"/>
      <c r="G95" s="657"/>
      <c r="H95" s="650"/>
      <c r="I95" s="630">
        <v>39975</v>
      </c>
      <c r="J95" s="650">
        <v>9413</v>
      </c>
      <c r="K95" s="650">
        <f t="shared" si="13"/>
        <v>18213.298523318816</v>
      </c>
      <c r="L95" s="631">
        <v>171441779</v>
      </c>
      <c r="M95" s="657">
        <f t="shared" si="12"/>
        <v>30121600</v>
      </c>
      <c r="N95" s="504">
        <f t="shared" si="14"/>
        <v>141320179</v>
      </c>
      <c r="O95" s="533" t="s">
        <v>1310</v>
      </c>
      <c r="P95" s="504"/>
      <c r="Q95" s="504"/>
      <c r="R95" s="493" t="s">
        <v>488</v>
      </c>
      <c r="T95" s="630">
        <v>39969</v>
      </c>
      <c r="U95" s="650">
        <v>7160</v>
      </c>
      <c r="V95" s="650">
        <v>18753.817737430167</v>
      </c>
      <c r="W95" s="631">
        <v>134277335</v>
      </c>
    </row>
    <row r="96" spans="1:35">
      <c r="A96" s="491" t="s">
        <v>505</v>
      </c>
      <c r="B96" s="654" t="s">
        <v>487</v>
      </c>
      <c r="C96" s="654" t="s">
        <v>506</v>
      </c>
      <c r="D96" s="654"/>
      <c r="E96" s="657"/>
      <c r="F96" s="657"/>
      <c r="G96" s="657"/>
      <c r="H96" s="650"/>
      <c r="I96" s="630">
        <v>39976</v>
      </c>
      <c r="J96" s="650">
        <v>8160</v>
      </c>
      <c r="K96" s="650">
        <f t="shared" si="13"/>
        <v>18196.283210784313</v>
      </c>
      <c r="L96" s="631">
        <v>148481671</v>
      </c>
      <c r="M96" s="657">
        <f t="shared" si="12"/>
        <v>26112000</v>
      </c>
      <c r="N96" s="504">
        <f t="shared" si="14"/>
        <v>122369671</v>
      </c>
      <c r="O96" s="533" t="s">
        <v>1310</v>
      </c>
      <c r="P96" s="504"/>
      <c r="Q96" s="504"/>
      <c r="R96" s="493" t="s">
        <v>488</v>
      </c>
      <c r="T96" s="630">
        <v>39973</v>
      </c>
      <c r="U96" s="650">
        <v>9413</v>
      </c>
      <c r="V96" s="650">
        <v>18213.298523318816</v>
      </c>
      <c r="W96" s="631">
        <v>171441779</v>
      </c>
    </row>
    <row r="97" spans="1:29">
      <c r="A97" s="491" t="s">
        <v>505</v>
      </c>
      <c r="B97" s="654" t="s">
        <v>487</v>
      </c>
      <c r="C97" s="654" t="s">
        <v>506</v>
      </c>
      <c r="D97" s="654"/>
      <c r="E97" s="657"/>
      <c r="F97" s="657"/>
      <c r="G97" s="657"/>
      <c r="H97" s="650"/>
      <c r="I97" s="630">
        <v>39979</v>
      </c>
      <c r="J97" s="650">
        <v>7160</v>
      </c>
      <c r="K97" s="650">
        <f t="shared" si="13"/>
        <v>18622.814944134079</v>
      </c>
      <c r="L97" s="631">
        <v>133339355</v>
      </c>
      <c r="M97" s="657">
        <f t="shared" si="12"/>
        <v>22912000</v>
      </c>
      <c r="N97" s="504">
        <f t="shared" si="14"/>
        <v>110427355</v>
      </c>
      <c r="O97" s="533" t="s">
        <v>1310</v>
      </c>
      <c r="P97" s="504"/>
      <c r="Q97" s="504"/>
      <c r="R97" s="493" t="s">
        <v>488</v>
      </c>
      <c r="T97" s="630">
        <v>39974</v>
      </c>
      <c r="U97" s="650">
        <v>8160</v>
      </c>
      <c r="V97" s="650">
        <v>18196.283210784313</v>
      </c>
      <c r="W97" s="631">
        <v>148481671</v>
      </c>
    </row>
    <row r="98" spans="1:29">
      <c r="A98" s="491" t="s">
        <v>505</v>
      </c>
      <c r="B98" s="654" t="s">
        <v>487</v>
      </c>
      <c r="C98" s="654" t="s">
        <v>506</v>
      </c>
      <c r="D98" s="654"/>
      <c r="E98" s="657"/>
      <c r="F98" s="657"/>
      <c r="G98" s="657"/>
      <c r="H98" s="650"/>
      <c r="I98" s="630">
        <v>39980</v>
      </c>
      <c r="J98" s="650">
        <v>7160</v>
      </c>
      <c r="K98" s="650">
        <f t="shared" si="13"/>
        <v>18753.816899441339</v>
      </c>
      <c r="L98" s="631">
        <v>134277329</v>
      </c>
      <c r="M98" s="657">
        <f t="shared" si="12"/>
        <v>22912000</v>
      </c>
      <c r="N98" s="504">
        <f t="shared" si="14"/>
        <v>111365329</v>
      </c>
      <c r="O98" s="533" t="s">
        <v>1310</v>
      </c>
      <c r="P98" s="504"/>
      <c r="Q98" s="504"/>
      <c r="R98" s="493" t="s">
        <v>488</v>
      </c>
      <c r="T98" s="630">
        <v>39975</v>
      </c>
      <c r="U98" s="650">
        <v>7160</v>
      </c>
      <c r="V98" s="650">
        <v>18622.814944134079</v>
      </c>
      <c r="W98" s="631">
        <v>133339355</v>
      </c>
    </row>
    <row r="99" spans="1:29">
      <c r="A99" s="491" t="s">
        <v>505</v>
      </c>
      <c r="B99" s="654" t="s">
        <v>487</v>
      </c>
      <c r="C99" s="654" t="s">
        <v>506</v>
      </c>
      <c r="D99" s="654"/>
      <c r="E99" s="657"/>
      <c r="F99" s="657"/>
      <c r="G99" s="657"/>
      <c r="H99" s="650"/>
      <c r="I99" s="630">
        <v>39981</v>
      </c>
      <c r="J99" s="650">
        <v>7160</v>
      </c>
      <c r="K99" s="650">
        <f t="shared" si="13"/>
        <v>18254.038547486034</v>
      </c>
      <c r="L99" s="631">
        <v>130698916</v>
      </c>
      <c r="M99" s="657">
        <f t="shared" si="12"/>
        <v>22912000</v>
      </c>
      <c r="N99" s="504">
        <f t="shared" si="14"/>
        <v>107786916</v>
      </c>
      <c r="O99" s="533" t="s">
        <v>1310</v>
      </c>
      <c r="P99" s="504"/>
      <c r="Q99" s="504"/>
      <c r="R99" s="493" t="s">
        <v>488</v>
      </c>
      <c r="T99" s="630">
        <v>39976</v>
      </c>
      <c r="U99" s="650">
        <v>7160</v>
      </c>
      <c r="V99" s="650">
        <v>18753.816899441339</v>
      </c>
      <c r="W99" s="631">
        <v>134277329</v>
      </c>
    </row>
    <row r="100" spans="1:29">
      <c r="A100" s="491" t="s">
        <v>505</v>
      </c>
      <c r="B100" s="654" t="s">
        <v>487</v>
      </c>
      <c r="C100" s="654" t="s">
        <v>506</v>
      </c>
      <c r="D100" s="654"/>
      <c r="E100" s="657"/>
      <c r="F100" s="657"/>
      <c r="G100" s="657"/>
      <c r="H100" s="650"/>
      <c r="I100" s="630">
        <v>39982</v>
      </c>
      <c r="J100" s="650">
        <v>7660</v>
      </c>
      <c r="K100" s="650">
        <f t="shared" si="13"/>
        <v>17941.691253263707</v>
      </c>
      <c r="L100" s="631">
        <v>137433355</v>
      </c>
      <c r="M100" s="657">
        <f t="shared" si="12"/>
        <v>24512000</v>
      </c>
      <c r="N100" s="504">
        <f t="shared" si="14"/>
        <v>112921355</v>
      </c>
      <c r="O100" s="533" t="s">
        <v>1310</v>
      </c>
      <c r="P100" s="504"/>
      <c r="Q100" s="504"/>
      <c r="R100" s="493" t="s">
        <v>488</v>
      </c>
      <c r="T100" s="630">
        <v>39979</v>
      </c>
      <c r="U100" s="650">
        <v>7160</v>
      </c>
      <c r="V100" s="650">
        <v>18254.038547486034</v>
      </c>
      <c r="W100" s="631">
        <v>130698916</v>
      </c>
    </row>
    <row r="101" spans="1:29">
      <c r="A101" s="491" t="s">
        <v>505</v>
      </c>
      <c r="B101" s="654" t="s">
        <v>487</v>
      </c>
      <c r="C101" s="654" t="s">
        <v>506</v>
      </c>
      <c r="D101" s="654"/>
      <c r="E101" s="657"/>
      <c r="F101" s="657"/>
      <c r="G101" s="657"/>
      <c r="H101" s="650"/>
      <c r="I101" s="630">
        <v>39983</v>
      </c>
      <c r="J101" s="650">
        <v>3580</v>
      </c>
      <c r="K101" s="650">
        <f t="shared" si="13"/>
        <v>17430.329608938548</v>
      </c>
      <c r="L101" s="631">
        <v>62400580</v>
      </c>
      <c r="M101" s="657">
        <f t="shared" si="12"/>
        <v>11456000</v>
      </c>
      <c r="N101" s="504">
        <f t="shared" si="14"/>
        <v>50944580</v>
      </c>
      <c r="O101" s="533" t="s">
        <v>1310</v>
      </c>
      <c r="P101" s="504"/>
      <c r="Q101" s="504"/>
      <c r="R101" s="493" t="s">
        <v>488</v>
      </c>
      <c r="T101" s="630">
        <v>39980</v>
      </c>
      <c r="U101" s="650">
        <v>7660</v>
      </c>
      <c r="V101" s="650">
        <v>17941.691253263707</v>
      </c>
      <c r="W101" s="631">
        <v>137433355</v>
      </c>
    </row>
    <row r="102" spans="1:29">
      <c r="A102" s="491" t="s">
        <v>505</v>
      </c>
      <c r="B102" s="654" t="s">
        <v>487</v>
      </c>
      <c r="C102" s="654" t="s">
        <v>506</v>
      </c>
      <c r="D102" s="654"/>
      <c r="E102" s="657"/>
      <c r="F102" s="657"/>
      <c r="G102" s="657"/>
      <c r="H102" s="650"/>
      <c r="I102" s="630">
        <v>39986</v>
      </c>
      <c r="J102" s="650">
        <v>7160</v>
      </c>
      <c r="K102" s="650">
        <f t="shared" si="13"/>
        <v>17931.937988826816</v>
      </c>
      <c r="L102" s="631">
        <v>128392676</v>
      </c>
      <c r="M102" s="657">
        <f t="shared" si="12"/>
        <v>22912000</v>
      </c>
      <c r="N102" s="504">
        <f t="shared" si="14"/>
        <v>105480676</v>
      </c>
      <c r="O102" s="533" t="s">
        <v>1310</v>
      </c>
      <c r="P102" s="504"/>
      <c r="Q102" s="504"/>
      <c r="R102" s="493" t="s">
        <v>488</v>
      </c>
      <c r="T102" s="630">
        <v>39981</v>
      </c>
      <c r="U102" s="650">
        <v>3580</v>
      </c>
      <c r="V102" s="650">
        <v>17430.329608938548</v>
      </c>
      <c r="W102" s="631">
        <v>62400580</v>
      </c>
    </row>
    <row r="103" spans="1:29">
      <c r="A103" s="491" t="s">
        <v>505</v>
      </c>
      <c r="B103" s="654" t="s">
        <v>487</v>
      </c>
      <c r="C103" s="654" t="s">
        <v>506</v>
      </c>
      <c r="D103" s="654"/>
      <c r="E103" s="657"/>
      <c r="F103" s="657"/>
      <c r="G103" s="657"/>
      <c r="H103" s="650"/>
      <c r="I103" s="630">
        <v>39987</v>
      </c>
      <c r="J103" s="650">
        <v>7160</v>
      </c>
      <c r="K103" s="650">
        <f t="shared" si="13"/>
        <v>17882.126675977655</v>
      </c>
      <c r="L103" s="631">
        <v>128036027</v>
      </c>
      <c r="M103" s="657">
        <f t="shared" si="12"/>
        <v>22912000</v>
      </c>
      <c r="N103" s="504">
        <f t="shared" si="14"/>
        <v>105124027</v>
      </c>
      <c r="O103" s="533" t="s">
        <v>1310</v>
      </c>
      <c r="P103" s="504"/>
      <c r="Q103" s="504"/>
      <c r="R103" s="493" t="s">
        <v>488</v>
      </c>
      <c r="T103" s="630">
        <v>39982</v>
      </c>
      <c r="U103" s="650">
        <v>7160</v>
      </c>
      <c r="V103" s="650">
        <v>17931.937988826816</v>
      </c>
      <c r="W103" s="631">
        <v>128392676</v>
      </c>
      <c r="Y103" s="640">
        <v>39993</v>
      </c>
      <c r="Z103" s="641"/>
      <c r="AA103" s="641"/>
      <c r="AB103" s="641">
        <v>-2200000000</v>
      </c>
    </row>
    <row r="104" spans="1:29">
      <c r="A104" s="491" t="s">
        <v>505</v>
      </c>
      <c r="B104" s="654" t="s">
        <v>487</v>
      </c>
      <c r="C104" s="654" t="s">
        <v>506</v>
      </c>
      <c r="D104" s="654"/>
      <c r="E104" s="657"/>
      <c r="F104" s="657"/>
      <c r="G104" s="657"/>
      <c r="H104" s="650"/>
      <c r="I104" s="630">
        <v>39988</v>
      </c>
      <c r="J104" s="650">
        <v>3580</v>
      </c>
      <c r="K104" s="650">
        <f t="shared" si="13"/>
        <v>17828.736033519552</v>
      </c>
      <c r="L104" s="631">
        <v>63826875</v>
      </c>
      <c r="M104" s="657">
        <f t="shared" si="12"/>
        <v>11456000</v>
      </c>
      <c r="N104" s="504">
        <f t="shared" si="14"/>
        <v>52370875</v>
      </c>
      <c r="O104" s="533" t="s">
        <v>1310</v>
      </c>
      <c r="P104" s="504"/>
      <c r="Q104" s="504"/>
      <c r="R104" s="493" t="s">
        <v>488</v>
      </c>
      <c r="T104" s="630">
        <v>39983</v>
      </c>
      <c r="U104" s="650">
        <v>7160</v>
      </c>
      <c r="V104" s="650">
        <v>17882.126675977655</v>
      </c>
      <c r="W104" s="631">
        <v>128036027</v>
      </c>
      <c r="Y104" s="640">
        <v>40004</v>
      </c>
      <c r="Z104" s="641"/>
      <c r="AA104" s="641"/>
      <c r="AB104" s="641">
        <v>2207293151</v>
      </c>
      <c r="AC104" s="677">
        <f>+XIRR(AB103:AB104,Y103:Y104)</f>
        <v>0.11607500910758972</v>
      </c>
    </row>
    <row r="105" spans="1:29">
      <c r="A105" s="491" t="s">
        <v>505</v>
      </c>
      <c r="B105" s="654" t="s">
        <v>487</v>
      </c>
      <c r="C105" s="654" t="s">
        <v>506</v>
      </c>
      <c r="D105" s="654"/>
      <c r="E105" s="657"/>
      <c r="F105" s="657"/>
      <c r="G105" s="657"/>
      <c r="H105" s="650"/>
      <c r="I105" s="630">
        <v>39989</v>
      </c>
      <c r="J105" s="650">
        <v>3580</v>
      </c>
      <c r="K105" s="650">
        <f t="shared" si="13"/>
        <v>17330.727374301678</v>
      </c>
      <c r="L105" s="631">
        <v>62044004</v>
      </c>
      <c r="M105" s="657">
        <f t="shared" si="12"/>
        <v>11456000</v>
      </c>
      <c r="N105" s="504">
        <f t="shared" si="14"/>
        <v>50588004</v>
      </c>
      <c r="O105" s="533" t="s">
        <v>1310</v>
      </c>
      <c r="P105" s="504"/>
      <c r="Q105" s="504"/>
      <c r="R105" s="493" t="s">
        <v>488</v>
      </c>
      <c r="T105" s="630">
        <v>39986</v>
      </c>
      <c r="U105" s="650">
        <v>3580</v>
      </c>
      <c r="V105" s="650">
        <v>17828.736033519552</v>
      </c>
      <c r="W105" s="631">
        <v>63826875</v>
      </c>
    </row>
    <row r="106" spans="1:29">
      <c r="A106" s="491" t="s">
        <v>505</v>
      </c>
      <c r="B106" s="654" t="s">
        <v>487</v>
      </c>
      <c r="C106" s="654" t="s">
        <v>506</v>
      </c>
      <c r="D106" s="654"/>
      <c r="E106" s="657"/>
      <c r="F106" s="657"/>
      <c r="G106" s="657"/>
      <c r="H106" s="650"/>
      <c r="I106" s="630">
        <v>39990</v>
      </c>
      <c r="J106" s="650">
        <v>7160</v>
      </c>
      <c r="K106" s="650">
        <f t="shared" si="13"/>
        <v>16811.190642458099</v>
      </c>
      <c r="L106" s="631">
        <v>120368125</v>
      </c>
      <c r="M106" s="657">
        <f t="shared" si="12"/>
        <v>22912000</v>
      </c>
      <c r="N106" s="504">
        <f t="shared" si="14"/>
        <v>97456125</v>
      </c>
      <c r="O106" s="533" t="s">
        <v>1310</v>
      </c>
      <c r="P106" s="504"/>
      <c r="Q106" s="504"/>
      <c r="R106" s="493" t="s">
        <v>488</v>
      </c>
      <c r="T106" s="630">
        <v>39987</v>
      </c>
      <c r="U106" s="650">
        <v>3580</v>
      </c>
      <c r="V106" s="650">
        <v>17330.727374301678</v>
      </c>
      <c r="W106" s="631">
        <v>62044004</v>
      </c>
    </row>
    <row r="107" spans="1:29" ht="16.5">
      <c r="A107" s="491" t="s">
        <v>505</v>
      </c>
      <c r="B107" s="654" t="s">
        <v>487</v>
      </c>
      <c r="C107" s="654" t="s">
        <v>506</v>
      </c>
      <c r="D107" s="654"/>
      <c r="E107" s="657"/>
      <c r="F107" s="657"/>
      <c r="G107" s="657"/>
      <c r="H107" s="650"/>
      <c r="I107" s="630">
        <v>39993</v>
      </c>
      <c r="J107" s="650">
        <v>7160</v>
      </c>
      <c r="K107" s="650">
        <f t="shared" si="13"/>
        <v>16946.522067039106</v>
      </c>
      <c r="L107" s="631">
        <v>121337098</v>
      </c>
      <c r="M107" s="657">
        <f t="shared" si="12"/>
        <v>22912000</v>
      </c>
      <c r="N107" s="504">
        <f t="shared" si="14"/>
        <v>98425098</v>
      </c>
      <c r="O107" s="533" t="s">
        <v>1310</v>
      </c>
      <c r="P107" s="504"/>
      <c r="Q107" s="504"/>
      <c r="R107" s="493" t="s">
        <v>488</v>
      </c>
      <c r="T107" s="630">
        <v>39988</v>
      </c>
      <c r="U107" s="650">
        <v>7160</v>
      </c>
      <c r="V107" s="650">
        <v>16811.190642458099</v>
      </c>
      <c r="W107" s="631">
        <v>120368125</v>
      </c>
      <c r="X107" s="435"/>
      <c r="Y107" s="435"/>
      <c r="Z107" s="435"/>
      <c r="AA107" s="435"/>
      <c r="AB107" s="435"/>
      <c r="AC107" s="435"/>
    </row>
    <row r="108" spans="1:29" ht="16.5">
      <c r="A108" s="491" t="s">
        <v>505</v>
      </c>
      <c r="B108" s="654" t="s">
        <v>487</v>
      </c>
      <c r="C108" s="654" t="s">
        <v>506</v>
      </c>
      <c r="D108" s="654"/>
      <c r="E108" s="657"/>
      <c r="F108" s="657"/>
      <c r="G108" s="657"/>
      <c r="H108" s="650"/>
      <c r="I108" s="630">
        <v>39994</v>
      </c>
      <c r="J108" s="650">
        <v>7160</v>
      </c>
      <c r="K108" s="650">
        <f t="shared" si="13"/>
        <v>17306.058100558661</v>
      </c>
      <c r="L108" s="631">
        <v>123911376</v>
      </c>
      <c r="M108" s="657">
        <f t="shared" si="12"/>
        <v>22912000</v>
      </c>
      <c r="N108" s="504">
        <f t="shared" si="14"/>
        <v>100999376</v>
      </c>
      <c r="O108" s="533" t="s">
        <v>1310</v>
      </c>
      <c r="P108" s="504"/>
      <c r="Q108" s="504"/>
      <c r="R108" s="493" t="s">
        <v>488</v>
      </c>
      <c r="T108" s="630">
        <v>39989</v>
      </c>
      <c r="U108" s="650">
        <v>7160</v>
      </c>
      <c r="V108" s="650">
        <v>16946.522067039106</v>
      </c>
      <c r="W108" s="631">
        <v>121337098</v>
      </c>
      <c r="X108" s="435"/>
      <c r="Y108" s="435"/>
      <c r="Z108" s="435"/>
      <c r="AA108" s="435"/>
      <c r="AB108" s="435"/>
      <c r="AC108" s="435"/>
    </row>
    <row r="109" spans="1:29" ht="16.5">
      <c r="A109" s="491" t="s">
        <v>505</v>
      </c>
      <c r="B109" s="654" t="s">
        <v>487</v>
      </c>
      <c r="C109" s="654" t="s">
        <v>506</v>
      </c>
      <c r="D109" s="654"/>
      <c r="E109" s="657"/>
      <c r="F109" s="657"/>
      <c r="G109" s="657"/>
      <c r="H109" s="650"/>
      <c r="I109" s="630">
        <v>39995</v>
      </c>
      <c r="J109" s="650">
        <v>7160</v>
      </c>
      <c r="K109" s="650">
        <f t="shared" si="13"/>
        <v>17102.863128491619</v>
      </c>
      <c r="L109" s="631">
        <v>122456500</v>
      </c>
      <c r="M109" s="657">
        <f t="shared" si="12"/>
        <v>22912000</v>
      </c>
      <c r="N109" s="504">
        <f t="shared" si="14"/>
        <v>99544500</v>
      </c>
      <c r="O109" s="533" t="s">
        <v>1310</v>
      </c>
      <c r="P109" s="504"/>
      <c r="Q109" s="504"/>
      <c r="R109" s="493" t="s">
        <v>488</v>
      </c>
      <c r="T109" s="630">
        <v>39990</v>
      </c>
      <c r="U109" s="650">
        <v>7160</v>
      </c>
      <c r="V109" s="650">
        <v>17306.058100558661</v>
      </c>
      <c r="W109" s="631">
        <v>123911376</v>
      </c>
      <c r="X109" s="435"/>
      <c r="Y109" s="435"/>
      <c r="Z109" s="435"/>
      <c r="AA109" s="435"/>
      <c r="AB109" s="435"/>
      <c r="AC109" s="435"/>
    </row>
    <row r="110" spans="1:29" ht="16.5">
      <c r="A110" s="491" t="s">
        <v>505</v>
      </c>
      <c r="B110" s="654" t="s">
        <v>487</v>
      </c>
      <c r="C110" s="654" t="s">
        <v>506</v>
      </c>
      <c r="D110" s="654"/>
      <c r="E110" s="657"/>
      <c r="F110" s="657"/>
      <c r="G110" s="657"/>
      <c r="H110" s="650"/>
      <c r="I110" s="630">
        <v>39996</v>
      </c>
      <c r="J110" s="650">
        <v>17160</v>
      </c>
      <c r="K110" s="650">
        <f t="shared" si="13"/>
        <v>16539.668997668996</v>
      </c>
      <c r="L110" s="631">
        <v>283820720</v>
      </c>
      <c r="M110" s="657">
        <f t="shared" si="12"/>
        <v>54912000</v>
      </c>
      <c r="N110" s="504">
        <f t="shared" si="14"/>
        <v>228908720</v>
      </c>
      <c r="O110" s="533" t="s">
        <v>1310</v>
      </c>
      <c r="P110" s="504"/>
      <c r="Q110" s="504"/>
      <c r="R110" s="493" t="s">
        <v>488</v>
      </c>
      <c r="T110" s="630">
        <v>39993</v>
      </c>
      <c r="U110" s="650">
        <v>7160</v>
      </c>
      <c r="V110" s="650">
        <v>17102.863128491619</v>
      </c>
      <c r="W110" s="631">
        <v>122456500</v>
      </c>
      <c r="X110" s="435"/>
      <c r="Y110" s="435"/>
      <c r="Z110" s="435"/>
      <c r="AA110" s="435"/>
      <c r="AB110" s="435"/>
      <c r="AC110" s="435"/>
    </row>
    <row r="111" spans="1:29" ht="16.5">
      <c r="A111" s="491" t="s">
        <v>505</v>
      </c>
      <c r="B111" s="654" t="s">
        <v>487</v>
      </c>
      <c r="C111" s="654" t="s">
        <v>506</v>
      </c>
      <c r="D111" s="654"/>
      <c r="E111" s="657"/>
      <c r="F111" s="657"/>
      <c r="G111" s="657"/>
      <c r="H111" s="650"/>
      <c r="I111" s="630">
        <v>39997</v>
      </c>
      <c r="J111" s="650">
        <v>7160</v>
      </c>
      <c r="K111" s="650">
        <f t="shared" si="13"/>
        <v>16786.28715083799</v>
      </c>
      <c r="L111" s="631">
        <v>120189816</v>
      </c>
      <c r="M111" s="657">
        <f t="shared" si="12"/>
        <v>22912000</v>
      </c>
      <c r="N111" s="504">
        <f t="shared" si="14"/>
        <v>97277816</v>
      </c>
      <c r="O111" s="533" t="s">
        <v>1310</v>
      </c>
      <c r="P111" s="504"/>
      <c r="Q111" s="504"/>
      <c r="R111" s="493" t="s">
        <v>488</v>
      </c>
      <c r="T111" s="630">
        <v>39994</v>
      </c>
      <c r="U111" s="650">
        <v>17160</v>
      </c>
      <c r="V111" s="650">
        <v>16539.668997668996</v>
      </c>
      <c r="W111" s="631">
        <v>283820720</v>
      </c>
      <c r="X111" s="435"/>
      <c r="Y111" s="435"/>
      <c r="Z111" s="435"/>
      <c r="AA111" s="435"/>
      <c r="AB111" s="435"/>
      <c r="AC111" s="435"/>
    </row>
    <row r="112" spans="1:29" ht="16.5">
      <c r="A112" s="491" t="s">
        <v>505</v>
      </c>
      <c r="B112" s="654" t="s">
        <v>487</v>
      </c>
      <c r="C112" s="654" t="s">
        <v>506</v>
      </c>
      <c r="D112" s="654"/>
      <c r="E112" s="657"/>
      <c r="F112" s="657"/>
      <c r="G112" s="657"/>
      <c r="H112" s="650"/>
      <c r="I112" s="630">
        <v>40000</v>
      </c>
      <c r="J112" s="650">
        <v>7160</v>
      </c>
      <c r="K112" s="650">
        <f t="shared" si="13"/>
        <v>16861.001675977655</v>
      </c>
      <c r="L112" s="631">
        <v>120724772</v>
      </c>
      <c r="M112" s="657">
        <f t="shared" si="12"/>
        <v>22912000</v>
      </c>
      <c r="N112" s="504">
        <f t="shared" si="14"/>
        <v>97812772</v>
      </c>
      <c r="O112" s="533" t="s">
        <v>1310</v>
      </c>
      <c r="P112" s="504"/>
      <c r="Q112" s="504"/>
      <c r="R112" s="493" t="s">
        <v>488</v>
      </c>
      <c r="T112" s="630">
        <v>39995</v>
      </c>
      <c r="U112" s="650">
        <v>7160</v>
      </c>
      <c r="V112" s="650">
        <v>16786.28715083799</v>
      </c>
      <c r="W112" s="631">
        <v>120189816</v>
      </c>
      <c r="X112" s="435"/>
      <c r="Y112" s="435"/>
      <c r="Z112" s="435"/>
      <c r="AA112" s="435"/>
      <c r="AB112" s="435"/>
      <c r="AC112" s="435"/>
    </row>
    <row r="113" spans="1:29" ht="16.5">
      <c r="A113" s="491" t="s">
        <v>505</v>
      </c>
      <c r="B113" s="654" t="s">
        <v>487</v>
      </c>
      <c r="C113" s="654" t="s">
        <v>506</v>
      </c>
      <c r="D113" s="654"/>
      <c r="E113" s="657"/>
      <c r="F113" s="657"/>
      <c r="G113" s="657"/>
      <c r="H113" s="650"/>
      <c r="I113" s="630">
        <v>40001</v>
      </c>
      <c r="J113" s="650">
        <v>7160</v>
      </c>
      <c r="K113" s="650">
        <f t="shared" si="13"/>
        <v>16952.881284916202</v>
      </c>
      <c r="L113" s="631">
        <v>121382630</v>
      </c>
      <c r="M113" s="657">
        <f t="shared" si="12"/>
        <v>22912000</v>
      </c>
      <c r="N113" s="657">
        <f t="shared" si="14"/>
        <v>98470630</v>
      </c>
      <c r="O113" s="533" t="s">
        <v>1310</v>
      </c>
      <c r="P113" s="657"/>
      <c r="Q113" s="657"/>
      <c r="R113" s="493" t="s">
        <v>488</v>
      </c>
      <c r="T113" s="630">
        <v>39996</v>
      </c>
      <c r="U113" s="650">
        <v>7160</v>
      </c>
      <c r="V113" s="650">
        <v>16861.001675977655</v>
      </c>
      <c r="W113" s="631">
        <v>120724772</v>
      </c>
      <c r="X113" s="435"/>
      <c r="Y113" s="435"/>
      <c r="Z113" s="435"/>
      <c r="AA113" s="435"/>
      <c r="AB113" s="435"/>
      <c r="AC113" s="435"/>
    </row>
    <row r="114" spans="1:29" ht="16.5">
      <c r="A114" s="491" t="s">
        <v>505</v>
      </c>
      <c r="B114" s="655" t="s">
        <v>487</v>
      </c>
      <c r="C114" s="655" t="s">
        <v>506</v>
      </c>
      <c r="D114" s="655"/>
      <c r="E114" s="614"/>
      <c r="F114" s="614"/>
      <c r="G114" s="614"/>
      <c r="H114" s="613"/>
      <c r="I114" s="632">
        <v>40002</v>
      </c>
      <c r="J114" s="613">
        <v>2877</v>
      </c>
      <c r="K114" s="613">
        <f t="shared" si="13"/>
        <v>17910.000695168579</v>
      </c>
      <c r="L114" s="633">
        <v>51527072</v>
      </c>
      <c r="M114" s="614">
        <f t="shared" si="12"/>
        <v>9206400</v>
      </c>
      <c r="N114" s="614">
        <f t="shared" si="14"/>
        <v>42320672</v>
      </c>
      <c r="O114" s="533" t="s">
        <v>1310</v>
      </c>
      <c r="P114" s="614">
        <f>+SUM(G93:G114)-SUM(M93:M114)</f>
        <v>0</v>
      </c>
      <c r="Q114" s="614"/>
      <c r="R114" s="494" t="s">
        <v>488</v>
      </c>
      <c r="T114" s="630">
        <v>39997</v>
      </c>
      <c r="U114" s="650">
        <v>7160</v>
      </c>
      <c r="V114" s="650">
        <v>16952.881284916202</v>
      </c>
      <c r="W114" s="631">
        <v>121382630</v>
      </c>
      <c r="X114" s="435"/>
      <c r="Y114" s="642">
        <v>39645</v>
      </c>
      <c r="Z114" s="610"/>
      <c r="AA114" s="610"/>
      <c r="AB114" s="610">
        <v>-700000000</v>
      </c>
      <c r="AC114" s="435"/>
    </row>
    <row r="115" spans="1:29" ht="16.5">
      <c r="A115" s="491" t="s">
        <v>505</v>
      </c>
      <c r="B115" s="609" t="s">
        <v>1447</v>
      </c>
      <c r="C115" s="609" t="s">
        <v>1445</v>
      </c>
      <c r="D115" s="640">
        <v>39993</v>
      </c>
      <c r="E115" s="641"/>
      <c r="F115" s="641"/>
      <c r="G115" s="641">
        <v>2200000000</v>
      </c>
      <c r="H115" s="464" t="s">
        <v>1448</v>
      </c>
      <c r="I115" s="640">
        <v>40004</v>
      </c>
      <c r="J115" s="641"/>
      <c r="K115" s="641"/>
      <c r="L115" s="641">
        <v>2207293151</v>
      </c>
      <c r="M115" s="641">
        <v>2200000000</v>
      </c>
      <c r="N115" s="641">
        <f>+L115-M115</f>
        <v>7293151</v>
      </c>
      <c r="O115" s="464" t="s">
        <v>1309</v>
      </c>
      <c r="P115" s="641">
        <f>+G115-M115</f>
        <v>0</v>
      </c>
      <c r="Q115" s="641"/>
      <c r="R115" s="462" t="s">
        <v>1309</v>
      </c>
      <c r="T115" s="632">
        <v>40000</v>
      </c>
      <c r="U115" s="613">
        <v>2877</v>
      </c>
      <c r="V115" s="613">
        <v>17910.000695168579</v>
      </c>
      <c r="W115" s="633">
        <v>51527072</v>
      </c>
      <c r="X115" s="682">
        <f>+XIRR(W90:W115,T90:T115)</f>
        <v>2.4427917242050179</v>
      </c>
      <c r="Y115" s="642">
        <v>40298</v>
      </c>
      <c r="Z115" s="610"/>
      <c r="AA115" s="610"/>
      <c r="AB115" s="610">
        <v>408343444</v>
      </c>
      <c r="AC115" s="435"/>
    </row>
    <row r="116" spans="1:29" ht="16.5">
      <c r="A116" s="491" t="s">
        <v>505</v>
      </c>
      <c r="B116" s="609" t="s">
        <v>1444</v>
      </c>
      <c r="C116" s="609" t="s">
        <v>1445</v>
      </c>
      <c r="D116" s="640">
        <v>39882</v>
      </c>
      <c r="E116" s="641"/>
      <c r="F116" s="641"/>
      <c r="G116" s="641">
        <v>2064273973</v>
      </c>
      <c r="H116" s="462" t="s">
        <v>1446</v>
      </c>
      <c r="I116" s="640">
        <v>40535</v>
      </c>
      <c r="J116" s="641"/>
      <c r="K116" s="641"/>
      <c r="L116" s="641">
        <v>2637919925</v>
      </c>
      <c r="M116" s="641">
        <v>2064273973</v>
      </c>
      <c r="N116" s="641">
        <f>+L116-M116</f>
        <v>573645952</v>
      </c>
      <c r="O116" s="464" t="s">
        <v>731</v>
      </c>
      <c r="P116" s="641">
        <f>+G116-M116</f>
        <v>0</v>
      </c>
      <c r="Q116" s="641"/>
      <c r="R116" s="462"/>
      <c r="T116" s="435"/>
      <c r="U116" s="435"/>
      <c r="V116" s="435"/>
      <c r="W116" s="435"/>
      <c r="X116" s="435"/>
      <c r="Y116" s="651">
        <v>40421</v>
      </c>
      <c r="Z116" s="614"/>
      <c r="AA116" s="614"/>
      <c r="AB116" s="614">
        <v>420375894</v>
      </c>
      <c r="AC116" s="682">
        <f>+XIRR(AB114:AB116,Y114:Y116)</f>
        <v>9.0000000596046487E-2</v>
      </c>
    </row>
    <row r="117" spans="1:29" ht="16.5">
      <c r="A117" s="491" t="s">
        <v>505</v>
      </c>
      <c r="B117" s="656" t="s">
        <v>490</v>
      </c>
      <c r="C117" s="656" t="s">
        <v>507</v>
      </c>
      <c r="D117" s="642">
        <v>39927</v>
      </c>
      <c r="E117" s="610"/>
      <c r="F117" s="610"/>
      <c r="G117" s="610">
        <v>600000000</v>
      </c>
      <c r="H117" s="492" t="s">
        <v>351</v>
      </c>
      <c r="I117" s="642">
        <v>40018</v>
      </c>
      <c r="J117" s="610"/>
      <c r="K117" s="610"/>
      <c r="L117" s="610">
        <v>7479452</v>
      </c>
      <c r="M117" s="610">
        <v>0</v>
      </c>
      <c r="N117" s="610">
        <f t="shared" ref="N117:N125" si="15">+L117-M117</f>
        <v>7479452</v>
      </c>
      <c r="O117" s="612" t="s">
        <v>491</v>
      </c>
      <c r="P117" s="610"/>
      <c r="Q117" s="641"/>
      <c r="R117" s="462" t="s">
        <v>338</v>
      </c>
      <c r="T117" s="640">
        <v>39882</v>
      </c>
      <c r="U117" s="641"/>
      <c r="V117" s="641"/>
      <c r="W117" s="641">
        <v>-2064273973</v>
      </c>
      <c r="X117" s="435"/>
      <c r="Y117" s="435"/>
      <c r="Z117" s="435"/>
      <c r="AA117" s="435"/>
      <c r="AB117" s="435"/>
      <c r="AC117" s="435"/>
    </row>
    <row r="118" spans="1:29" ht="16.5">
      <c r="A118" s="491" t="s">
        <v>505</v>
      </c>
      <c r="B118" s="654" t="s">
        <v>490</v>
      </c>
      <c r="C118" s="654" t="s">
        <v>507</v>
      </c>
      <c r="D118" s="652"/>
      <c r="E118" s="657"/>
      <c r="F118" s="657"/>
      <c r="G118" s="657"/>
      <c r="H118" s="493"/>
      <c r="I118" s="652">
        <v>40112</v>
      </c>
      <c r="J118" s="657"/>
      <c r="K118" s="657"/>
      <c r="L118" s="657">
        <v>7561644</v>
      </c>
      <c r="M118" s="657">
        <v>0</v>
      </c>
      <c r="N118" s="657">
        <f t="shared" si="15"/>
        <v>7561644</v>
      </c>
      <c r="O118" s="650" t="s">
        <v>491</v>
      </c>
      <c r="P118" s="657"/>
      <c r="Q118" s="484"/>
      <c r="R118" s="308"/>
      <c r="T118" s="640">
        <v>40535</v>
      </c>
      <c r="U118" s="641"/>
      <c r="V118" s="641"/>
      <c r="W118" s="641">
        <v>2637919925</v>
      </c>
      <c r="X118" s="682">
        <f>+XIRR(W117:W118,T117:T118)</f>
        <v>0.14690089821815497</v>
      </c>
      <c r="Y118" s="642">
        <v>39927</v>
      </c>
      <c r="Z118" s="610"/>
      <c r="AA118" s="610"/>
      <c r="AB118" s="610">
        <v>-600000000</v>
      </c>
      <c r="AC118" s="435"/>
    </row>
    <row r="119" spans="1:29" ht="16.5">
      <c r="A119" s="491" t="s">
        <v>505</v>
      </c>
      <c r="B119" s="654" t="s">
        <v>490</v>
      </c>
      <c r="C119" s="654" t="s">
        <v>507</v>
      </c>
      <c r="D119" s="652"/>
      <c r="E119" s="657"/>
      <c r="F119" s="657"/>
      <c r="G119" s="657"/>
      <c r="H119" s="493"/>
      <c r="I119" s="652">
        <v>40203</v>
      </c>
      <c r="J119" s="657"/>
      <c r="K119" s="657"/>
      <c r="L119" s="657">
        <v>7561644</v>
      </c>
      <c r="M119" s="657">
        <v>0</v>
      </c>
      <c r="N119" s="657">
        <f>+L119-M119</f>
        <v>7561644</v>
      </c>
      <c r="O119" s="650" t="s">
        <v>491</v>
      </c>
      <c r="P119" s="657">
        <f>+SUM(G118:G119)-SUM(M118:M119)</f>
        <v>0</v>
      </c>
      <c r="Q119" s="484"/>
      <c r="R119" s="308"/>
      <c r="T119" s="435"/>
      <c r="U119" s="435"/>
      <c r="V119" s="435"/>
      <c r="W119" s="435"/>
      <c r="X119" s="435"/>
      <c r="Y119" s="642">
        <v>40018</v>
      </c>
      <c r="Z119" s="610"/>
      <c r="AA119" s="610"/>
      <c r="AB119" s="610">
        <v>7479452</v>
      </c>
      <c r="AC119" s="435"/>
    </row>
    <row r="120" spans="1:29" ht="16.5">
      <c r="A120" s="491" t="s">
        <v>505</v>
      </c>
      <c r="B120" s="655" t="s">
        <v>490</v>
      </c>
      <c r="C120" s="655" t="s">
        <v>507</v>
      </c>
      <c r="D120" s="651"/>
      <c r="E120" s="614"/>
      <c r="F120" s="614"/>
      <c r="G120" s="614"/>
      <c r="H120" s="494"/>
      <c r="I120" s="651">
        <v>40227</v>
      </c>
      <c r="J120" s="614"/>
      <c r="K120" s="614"/>
      <c r="L120" s="614">
        <v>641506849</v>
      </c>
      <c r="M120" s="614">
        <v>600000000</v>
      </c>
      <c r="N120" s="614">
        <f>+L120-M120</f>
        <v>41506849</v>
      </c>
      <c r="O120" s="613" t="s">
        <v>503</v>
      </c>
      <c r="P120" s="614">
        <f>+SUM(G117:G120)-SUM(M117:M120)</f>
        <v>0</v>
      </c>
      <c r="Q120" s="484"/>
      <c r="R120" s="308"/>
      <c r="T120" s="435"/>
      <c r="U120" s="435"/>
      <c r="V120" s="435"/>
      <c r="W120" s="435"/>
      <c r="X120" s="435"/>
      <c r="Y120" s="652">
        <v>40112</v>
      </c>
      <c r="Z120" s="657"/>
      <c r="AA120" s="657"/>
      <c r="AB120" s="657">
        <v>7561644</v>
      </c>
      <c r="AC120" s="435"/>
    </row>
    <row r="121" spans="1:29" ht="16.5">
      <c r="A121" s="491" t="s">
        <v>505</v>
      </c>
      <c r="B121" s="656" t="s">
        <v>1325</v>
      </c>
      <c r="C121" s="656" t="s">
        <v>827</v>
      </c>
      <c r="D121" s="642">
        <v>39997</v>
      </c>
      <c r="E121" s="610"/>
      <c r="F121" s="610"/>
      <c r="G121" s="610">
        <v>1000000000</v>
      </c>
      <c r="H121" s="612" t="s">
        <v>1326</v>
      </c>
      <c r="I121" s="642">
        <v>40004</v>
      </c>
      <c r="J121" s="610"/>
      <c r="K121" s="610"/>
      <c r="L121" s="610">
        <v>170358630</v>
      </c>
      <c r="M121" s="610">
        <v>170000000</v>
      </c>
      <c r="N121" s="610">
        <f t="shared" si="15"/>
        <v>358630</v>
      </c>
      <c r="O121" s="612" t="s">
        <v>1327</v>
      </c>
      <c r="P121" s="610"/>
      <c r="Q121" s="610"/>
      <c r="R121" s="492" t="s">
        <v>1328</v>
      </c>
      <c r="T121" s="435"/>
      <c r="U121" s="435"/>
      <c r="V121" s="435"/>
      <c r="W121" s="435"/>
      <c r="X121" s="435"/>
      <c r="Y121" s="652">
        <v>40203</v>
      </c>
      <c r="Z121" s="657"/>
      <c r="AA121" s="657"/>
      <c r="AB121" s="657">
        <v>7561644</v>
      </c>
      <c r="AC121" s="435"/>
    </row>
    <row r="122" spans="1:29" ht="16.5">
      <c r="A122" s="491" t="s">
        <v>505</v>
      </c>
      <c r="B122" s="654" t="s">
        <v>1325</v>
      </c>
      <c r="C122" s="654" t="s">
        <v>827</v>
      </c>
      <c r="D122" s="652"/>
      <c r="E122" s="657"/>
      <c r="F122" s="657"/>
      <c r="G122" s="657"/>
      <c r="H122" s="650"/>
      <c r="I122" s="652">
        <v>40039</v>
      </c>
      <c r="J122" s="657"/>
      <c r="K122" s="657"/>
      <c r="L122" s="657">
        <v>303797260</v>
      </c>
      <c r="M122" s="657">
        <v>300000000</v>
      </c>
      <c r="N122" s="657">
        <f t="shared" si="15"/>
        <v>3797260</v>
      </c>
      <c r="O122" s="650" t="s">
        <v>1327</v>
      </c>
      <c r="P122" s="657"/>
      <c r="Q122" s="657"/>
      <c r="R122" s="493" t="s">
        <v>1328</v>
      </c>
      <c r="T122" s="642">
        <v>39997</v>
      </c>
      <c r="U122" s="610"/>
      <c r="V122" s="610"/>
      <c r="W122" s="610">
        <v>-1000000000</v>
      </c>
      <c r="X122" s="435"/>
      <c r="Y122" s="651">
        <v>40227</v>
      </c>
      <c r="Z122" s="614"/>
      <c r="AA122" s="614"/>
      <c r="AB122" s="614">
        <v>641506849</v>
      </c>
      <c r="AC122" s="682">
        <f>+XIRR(AB118:AB122,Y118:Y122)</f>
        <v>0.13337753415107728</v>
      </c>
    </row>
    <row r="123" spans="1:29" ht="16.5">
      <c r="A123" s="491" t="s">
        <v>505</v>
      </c>
      <c r="B123" s="654" t="s">
        <v>1325</v>
      </c>
      <c r="C123" s="654" t="s">
        <v>827</v>
      </c>
      <c r="D123" s="652"/>
      <c r="E123" s="657"/>
      <c r="F123" s="657"/>
      <c r="G123" s="657"/>
      <c r="H123" s="650"/>
      <c r="I123" s="652">
        <v>40085</v>
      </c>
      <c r="J123" s="657"/>
      <c r="K123" s="657"/>
      <c r="L123" s="657">
        <v>133447671</v>
      </c>
      <c r="M123" s="657">
        <v>130000000</v>
      </c>
      <c r="N123" s="657">
        <f t="shared" si="15"/>
        <v>3447671</v>
      </c>
      <c r="O123" s="650" t="s">
        <v>1327</v>
      </c>
      <c r="P123" s="657"/>
      <c r="Q123" s="657"/>
      <c r="R123" s="493"/>
      <c r="T123" s="642">
        <v>40004</v>
      </c>
      <c r="U123" s="610"/>
      <c r="V123" s="610"/>
      <c r="W123" s="610">
        <v>170358630</v>
      </c>
      <c r="X123" s="435"/>
      <c r="Y123" s="435"/>
      <c r="Z123" s="435"/>
      <c r="AA123" s="435"/>
      <c r="AB123" s="435"/>
    </row>
    <row r="124" spans="1:29" ht="16.5">
      <c r="A124" s="491" t="s">
        <v>505</v>
      </c>
      <c r="B124" s="654" t="s">
        <v>1325</v>
      </c>
      <c r="C124" s="654" t="s">
        <v>827</v>
      </c>
      <c r="D124" s="652"/>
      <c r="E124" s="657"/>
      <c r="F124" s="657"/>
      <c r="G124" s="657"/>
      <c r="H124" s="650"/>
      <c r="I124" s="652">
        <v>40085</v>
      </c>
      <c r="J124" s="657"/>
      <c r="K124" s="657"/>
      <c r="L124" s="657">
        <v>10728767</v>
      </c>
      <c r="M124" s="657">
        <v>0</v>
      </c>
      <c r="N124" s="657">
        <f t="shared" si="15"/>
        <v>10728767</v>
      </c>
      <c r="O124" s="650" t="s">
        <v>1327</v>
      </c>
      <c r="P124" s="657"/>
      <c r="Q124" s="657"/>
      <c r="R124" s="493"/>
      <c r="T124" s="652">
        <v>40039</v>
      </c>
      <c r="U124" s="657"/>
      <c r="V124" s="657"/>
      <c r="W124" s="657">
        <v>303797260</v>
      </c>
      <c r="X124" s="435"/>
      <c r="Y124" s="435"/>
      <c r="Z124" s="435"/>
      <c r="AA124" s="435"/>
      <c r="AB124" s="435"/>
    </row>
    <row r="125" spans="1:29" ht="16.5">
      <c r="A125" s="491" t="s">
        <v>505</v>
      </c>
      <c r="B125" s="654" t="s">
        <v>1325</v>
      </c>
      <c r="C125" s="654" t="s">
        <v>827</v>
      </c>
      <c r="D125" s="652"/>
      <c r="E125" s="657"/>
      <c r="F125" s="657"/>
      <c r="G125" s="657"/>
      <c r="H125" s="650"/>
      <c r="I125" s="652">
        <v>40178</v>
      </c>
      <c r="J125" s="657"/>
      <c r="K125" s="657"/>
      <c r="L125" s="657">
        <v>11090411</v>
      </c>
      <c r="M125" s="657">
        <v>0</v>
      </c>
      <c r="N125" s="657">
        <f t="shared" si="15"/>
        <v>11090411</v>
      </c>
      <c r="O125" s="650" t="s">
        <v>1327</v>
      </c>
      <c r="P125" s="657"/>
      <c r="Q125" s="657"/>
      <c r="R125" s="493"/>
      <c r="T125" s="652">
        <v>40085</v>
      </c>
      <c r="U125" s="657"/>
      <c r="V125" s="657"/>
      <c r="W125" s="657">
        <v>133447671</v>
      </c>
      <c r="X125" s="435"/>
      <c r="Y125" s="435"/>
      <c r="Z125" s="435"/>
      <c r="AA125" s="435"/>
      <c r="AB125" s="435"/>
    </row>
    <row r="126" spans="1:29" ht="16.5">
      <c r="A126" s="491" t="s">
        <v>505</v>
      </c>
      <c r="B126" s="654" t="s">
        <v>1325</v>
      </c>
      <c r="C126" s="654" t="s">
        <v>827</v>
      </c>
      <c r="D126" s="652"/>
      <c r="E126" s="657"/>
      <c r="F126" s="657"/>
      <c r="G126" s="657"/>
      <c r="H126" s="650"/>
      <c r="I126" s="652">
        <v>40269</v>
      </c>
      <c r="J126" s="657"/>
      <c r="K126" s="657"/>
      <c r="L126" s="657">
        <v>10849315</v>
      </c>
      <c r="M126" s="657"/>
      <c r="N126" s="657">
        <f t="shared" ref="N126:N134" si="16">+L126-M126</f>
        <v>10849315</v>
      </c>
      <c r="O126" s="650" t="s">
        <v>1327</v>
      </c>
      <c r="P126" s="657"/>
      <c r="Q126" s="657"/>
      <c r="R126" s="493"/>
      <c r="T126" s="652">
        <v>40085</v>
      </c>
      <c r="U126" s="657"/>
      <c r="V126" s="657"/>
      <c r="W126" s="657">
        <v>10728767</v>
      </c>
      <c r="X126" s="435"/>
      <c r="Y126" s="435"/>
      <c r="Z126" s="435"/>
      <c r="AA126" s="435"/>
      <c r="AB126" s="435"/>
    </row>
    <row r="127" spans="1:29" ht="16.5">
      <c r="A127" s="491" t="s">
        <v>505</v>
      </c>
      <c r="B127" s="654" t="s">
        <v>1325</v>
      </c>
      <c r="C127" s="654" t="s">
        <v>827</v>
      </c>
      <c r="D127" s="652"/>
      <c r="E127" s="657"/>
      <c r="F127" s="657"/>
      <c r="G127" s="657"/>
      <c r="H127" s="650"/>
      <c r="I127" s="652">
        <v>40329</v>
      </c>
      <c r="J127" s="657"/>
      <c r="K127" s="657"/>
      <c r="L127" s="657">
        <v>101838356</v>
      </c>
      <c r="M127" s="657">
        <v>100000000</v>
      </c>
      <c r="N127" s="657">
        <f t="shared" si="16"/>
        <v>1838356</v>
      </c>
      <c r="O127" s="650" t="s">
        <v>1327</v>
      </c>
      <c r="P127" s="657"/>
      <c r="Q127" s="657"/>
      <c r="R127" s="493"/>
      <c r="T127" s="652">
        <v>40178</v>
      </c>
      <c r="U127" s="657"/>
      <c r="V127" s="657"/>
      <c r="W127" s="657">
        <v>11090411</v>
      </c>
      <c r="X127" s="435"/>
      <c r="Y127" s="435"/>
      <c r="Z127" s="435"/>
      <c r="AA127" s="435"/>
      <c r="AB127" s="435"/>
    </row>
    <row r="128" spans="1:29" ht="16.5">
      <c r="A128" s="491" t="s">
        <v>505</v>
      </c>
      <c r="B128" s="654" t="s">
        <v>1325</v>
      </c>
      <c r="C128" s="654" t="s">
        <v>827</v>
      </c>
      <c r="D128" s="652"/>
      <c r="E128" s="657"/>
      <c r="F128" s="657"/>
      <c r="G128" s="657"/>
      <c r="H128" s="650"/>
      <c r="I128" s="652">
        <v>40359</v>
      </c>
      <c r="J128" s="657"/>
      <c r="K128" s="657"/>
      <c r="L128" s="657">
        <v>8227397</v>
      </c>
      <c r="M128" s="657">
        <v>0</v>
      </c>
      <c r="N128" s="657">
        <f t="shared" si="16"/>
        <v>8227397</v>
      </c>
      <c r="O128" s="650" t="s">
        <v>1327</v>
      </c>
      <c r="P128" s="657"/>
      <c r="Q128" s="657"/>
      <c r="R128" s="493"/>
      <c r="T128" s="652">
        <v>40269</v>
      </c>
      <c r="U128" s="657"/>
      <c r="V128" s="657"/>
      <c r="W128" s="657">
        <v>10849315</v>
      </c>
      <c r="X128" s="435"/>
      <c r="Y128" s="435"/>
      <c r="Z128" s="435"/>
      <c r="AA128" s="435"/>
      <c r="AB128" s="435"/>
    </row>
    <row r="129" spans="1:29" ht="16.5">
      <c r="A129" s="491" t="s">
        <v>505</v>
      </c>
      <c r="B129" s="654" t="s">
        <v>1325</v>
      </c>
      <c r="C129" s="654" t="s">
        <v>827</v>
      </c>
      <c r="D129" s="652"/>
      <c r="E129" s="657"/>
      <c r="F129" s="657"/>
      <c r="G129" s="657"/>
      <c r="H129" s="650"/>
      <c r="I129" s="652">
        <v>40452</v>
      </c>
      <c r="J129" s="657"/>
      <c r="K129" s="657"/>
      <c r="L129" s="657">
        <v>8317808</v>
      </c>
      <c r="M129" s="657">
        <v>0</v>
      </c>
      <c r="N129" s="657">
        <f t="shared" si="16"/>
        <v>8317808</v>
      </c>
      <c r="O129" s="650" t="s">
        <v>1327</v>
      </c>
      <c r="P129" s="657"/>
      <c r="Q129" s="657"/>
      <c r="R129" s="493"/>
      <c r="T129" s="652">
        <v>40329</v>
      </c>
      <c r="U129" s="657"/>
      <c r="V129" s="657"/>
      <c r="W129" s="657">
        <v>101838356</v>
      </c>
      <c r="X129" s="435"/>
      <c r="Y129" s="435"/>
      <c r="Z129" s="435"/>
      <c r="AA129" s="435"/>
      <c r="AB129" s="435"/>
    </row>
    <row r="130" spans="1:29" ht="16.5">
      <c r="A130" s="491" t="s">
        <v>505</v>
      </c>
      <c r="B130" s="654" t="s">
        <v>1325</v>
      </c>
      <c r="C130" s="654" t="s">
        <v>827</v>
      </c>
      <c r="D130" s="652"/>
      <c r="E130" s="657"/>
      <c r="F130" s="657"/>
      <c r="G130" s="657"/>
      <c r="H130" s="650"/>
      <c r="I130" s="652">
        <v>40546</v>
      </c>
      <c r="J130" s="657"/>
      <c r="K130" s="657"/>
      <c r="L130" s="657">
        <v>8317808</v>
      </c>
      <c r="M130" s="657">
        <v>0</v>
      </c>
      <c r="N130" s="657">
        <f t="shared" si="16"/>
        <v>8317808</v>
      </c>
      <c r="O130" s="650" t="s">
        <v>1327</v>
      </c>
      <c r="P130" s="657"/>
      <c r="Q130" s="657"/>
      <c r="R130" s="493"/>
      <c r="T130" s="652">
        <v>40359</v>
      </c>
      <c r="U130" s="657"/>
      <c r="V130" s="657"/>
      <c r="W130" s="657">
        <v>8227397</v>
      </c>
      <c r="X130" s="435"/>
      <c r="Y130" s="435"/>
      <c r="Z130" s="435"/>
      <c r="AA130" s="435"/>
      <c r="AB130" s="435"/>
    </row>
    <row r="131" spans="1:29" ht="16.5">
      <c r="A131" s="491" t="s">
        <v>505</v>
      </c>
      <c r="B131" s="654" t="s">
        <v>1325</v>
      </c>
      <c r="C131" s="654" t="s">
        <v>827</v>
      </c>
      <c r="D131" s="652"/>
      <c r="E131" s="657"/>
      <c r="F131" s="657"/>
      <c r="G131" s="657"/>
      <c r="H131" s="650"/>
      <c r="I131" s="652">
        <v>40634</v>
      </c>
      <c r="J131" s="657"/>
      <c r="K131" s="657"/>
      <c r="L131" s="657">
        <v>8136986</v>
      </c>
      <c r="M131" s="657"/>
      <c r="N131" s="657">
        <f t="shared" si="16"/>
        <v>8136986</v>
      </c>
      <c r="O131" s="650" t="s">
        <v>1327</v>
      </c>
      <c r="P131" s="657"/>
      <c r="Q131" s="614"/>
      <c r="R131" s="494"/>
      <c r="T131" s="652">
        <v>40452</v>
      </c>
      <c r="U131" s="657"/>
      <c r="V131" s="657"/>
      <c r="W131" s="657">
        <v>8317808</v>
      </c>
      <c r="X131" s="435"/>
      <c r="Y131" s="435"/>
      <c r="Z131" s="435"/>
      <c r="AA131" s="435"/>
      <c r="AB131" s="435"/>
    </row>
    <row r="132" spans="1:29" ht="16.5">
      <c r="A132" s="491" t="s">
        <v>505</v>
      </c>
      <c r="B132" s="654" t="s">
        <v>1325</v>
      </c>
      <c r="C132" s="654" t="s">
        <v>827</v>
      </c>
      <c r="D132" s="652"/>
      <c r="E132" s="657"/>
      <c r="F132" s="657"/>
      <c r="G132" s="657"/>
      <c r="H132" s="650"/>
      <c r="I132" s="652">
        <v>40651</v>
      </c>
      <c r="J132" s="657"/>
      <c r="K132" s="657"/>
      <c r="L132" s="657">
        <v>150813699</v>
      </c>
      <c r="M132" s="657">
        <v>150000000</v>
      </c>
      <c r="N132" s="657">
        <f t="shared" si="16"/>
        <v>813699</v>
      </c>
      <c r="O132" s="650" t="s">
        <v>1327</v>
      </c>
      <c r="P132" s="657"/>
      <c r="Q132" s="644"/>
      <c r="R132" s="392"/>
      <c r="T132" s="652">
        <v>40546</v>
      </c>
      <c r="U132" s="657"/>
      <c r="V132" s="657"/>
      <c r="W132" s="657">
        <v>8317808</v>
      </c>
      <c r="X132" s="435"/>
      <c r="Y132" s="435"/>
      <c r="Z132" s="435"/>
      <c r="AA132" s="435"/>
      <c r="AB132" s="435"/>
    </row>
    <row r="133" spans="1:29" ht="16.5">
      <c r="A133" s="491" t="s">
        <v>505</v>
      </c>
      <c r="B133" s="654" t="s">
        <v>1325</v>
      </c>
      <c r="C133" s="654" t="s">
        <v>827</v>
      </c>
      <c r="D133" s="652"/>
      <c r="E133" s="657"/>
      <c r="F133" s="657"/>
      <c r="G133" s="657"/>
      <c r="H133" s="650"/>
      <c r="I133" s="652">
        <v>40728</v>
      </c>
      <c r="J133" s="657"/>
      <c r="K133" s="657"/>
      <c r="L133" s="657">
        <v>4113699</v>
      </c>
      <c r="M133" s="657">
        <v>0</v>
      </c>
      <c r="N133" s="657">
        <f t="shared" si="16"/>
        <v>4113699</v>
      </c>
      <c r="O133" s="650" t="s">
        <v>1327</v>
      </c>
      <c r="P133" s="657"/>
      <c r="Q133" s="644"/>
      <c r="R133" s="392"/>
      <c r="T133" s="652">
        <v>40634</v>
      </c>
      <c r="U133" s="657"/>
      <c r="V133" s="657"/>
      <c r="W133" s="657">
        <v>8136986</v>
      </c>
      <c r="X133" s="435"/>
      <c r="Y133" s="435"/>
      <c r="Z133" s="435"/>
      <c r="AA133" s="435"/>
      <c r="AB133" s="435"/>
    </row>
    <row r="134" spans="1:29" ht="16.5">
      <c r="A134" s="491" t="s">
        <v>505</v>
      </c>
      <c r="B134" s="655" t="s">
        <v>1325</v>
      </c>
      <c r="C134" s="655" t="s">
        <v>827</v>
      </c>
      <c r="D134" s="651"/>
      <c r="E134" s="614"/>
      <c r="F134" s="614"/>
      <c r="G134" s="614"/>
      <c r="H134" s="613"/>
      <c r="I134" s="651">
        <v>40757</v>
      </c>
      <c r="J134" s="614"/>
      <c r="K134" s="614"/>
      <c r="L134" s="614">
        <v>151491781</v>
      </c>
      <c r="M134" s="614">
        <v>150000000</v>
      </c>
      <c r="N134" s="614">
        <f t="shared" si="16"/>
        <v>1491781</v>
      </c>
      <c r="O134" s="613" t="s">
        <v>1327</v>
      </c>
      <c r="P134" s="614">
        <f>+G121-SUM(M121:M134)</f>
        <v>0</v>
      </c>
      <c r="Q134" s="644"/>
      <c r="R134" s="392"/>
      <c r="T134" s="652">
        <v>40651</v>
      </c>
      <c r="U134" s="657"/>
      <c r="V134" s="657"/>
      <c r="W134" s="657">
        <v>150813699</v>
      </c>
      <c r="X134" s="435"/>
      <c r="Y134" s="435"/>
      <c r="Z134" s="435"/>
      <c r="AA134" s="435"/>
      <c r="AB134" s="435"/>
    </row>
    <row r="135" spans="1:29" ht="16.5">
      <c r="A135" s="491" t="s">
        <v>505</v>
      </c>
      <c r="B135" s="653" t="s">
        <v>280</v>
      </c>
      <c r="C135" s="653" t="s">
        <v>1312</v>
      </c>
      <c r="D135" s="645">
        <v>40052</v>
      </c>
      <c r="E135" s="644">
        <v>20000</v>
      </c>
      <c r="F135" s="644">
        <v>15000</v>
      </c>
      <c r="G135" s="644">
        <f>+E135*F135</f>
        <v>300000000</v>
      </c>
      <c r="H135" s="743" t="s">
        <v>1276</v>
      </c>
      <c r="I135" s="604"/>
      <c r="J135" s="644"/>
      <c r="K135" s="644"/>
      <c r="L135" s="644"/>
      <c r="M135" s="644"/>
      <c r="N135" s="644"/>
      <c r="O135" s="743"/>
      <c r="P135" s="644">
        <f>+G135-M135</f>
        <v>300000000</v>
      </c>
      <c r="Q135" s="644"/>
      <c r="R135" s="392"/>
      <c r="T135" s="652">
        <v>40728</v>
      </c>
      <c r="U135" s="657"/>
      <c r="V135" s="657"/>
      <c r="W135" s="657">
        <v>4113699</v>
      </c>
      <c r="X135" s="435"/>
      <c r="Y135" s="642">
        <v>40175</v>
      </c>
      <c r="Z135" s="610"/>
      <c r="AA135" s="610"/>
      <c r="AB135" s="610">
        <v>-800000000</v>
      </c>
    </row>
    <row r="136" spans="1:29" ht="16.5">
      <c r="A136" s="491" t="s">
        <v>505</v>
      </c>
      <c r="B136" s="656" t="s">
        <v>1447</v>
      </c>
      <c r="C136" s="656" t="s">
        <v>1445</v>
      </c>
      <c r="D136" s="642">
        <v>40175</v>
      </c>
      <c r="E136" s="610"/>
      <c r="F136" s="610"/>
      <c r="G136" s="610">
        <v>800000000</v>
      </c>
      <c r="H136" s="612" t="s">
        <v>1448</v>
      </c>
      <c r="I136" s="605">
        <v>40297</v>
      </c>
      <c r="J136" s="610"/>
      <c r="K136" s="610"/>
      <c r="L136" s="610">
        <v>1000000000</v>
      </c>
      <c r="M136" s="610">
        <v>1000000000</v>
      </c>
      <c r="N136" s="610">
        <f t="shared" ref="N136:N159" si="17">+L136-M136</f>
        <v>0</v>
      </c>
      <c r="O136" s="612" t="s">
        <v>797</v>
      </c>
      <c r="P136" s="610"/>
      <c r="Q136" s="644"/>
      <c r="R136" s="392"/>
      <c r="T136" s="651">
        <v>40757</v>
      </c>
      <c r="U136" s="614"/>
      <c r="V136" s="614"/>
      <c r="W136" s="614">
        <v>151491781</v>
      </c>
      <c r="X136" s="682">
        <f>+XIRR(W122:W136,T122:T136)</f>
        <v>0.1147000014781952</v>
      </c>
      <c r="Y136" s="651">
        <v>40289</v>
      </c>
      <c r="Z136" s="614"/>
      <c r="AA136" s="614"/>
      <c r="AB136" s="614">
        <v>-200000000</v>
      </c>
    </row>
    <row r="137" spans="1:29" ht="16.5">
      <c r="A137" s="491" t="s">
        <v>505</v>
      </c>
      <c r="B137" s="655" t="s">
        <v>1447</v>
      </c>
      <c r="C137" s="655" t="s">
        <v>1445</v>
      </c>
      <c r="D137" s="651">
        <v>40289</v>
      </c>
      <c r="E137" s="614"/>
      <c r="F137" s="614"/>
      <c r="G137" s="614">
        <v>200000000</v>
      </c>
      <c r="H137" s="613" t="s">
        <v>1448</v>
      </c>
      <c r="I137" s="651">
        <v>40653</v>
      </c>
      <c r="J137" s="614"/>
      <c r="K137" s="614"/>
      <c r="L137" s="614">
        <v>27178082</v>
      </c>
      <c r="M137" s="614"/>
      <c r="N137" s="614">
        <f t="shared" si="17"/>
        <v>27178082</v>
      </c>
      <c r="O137" s="613" t="s">
        <v>792</v>
      </c>
      <c r="P137" s="614">
        <f>+G136+G137-M136</f>
        <v>0</v>
      </c>
      <c r="Q137" s="641"/>
      <c r="R137" s="462"/>
      <c r="T137" s="435"/>
      <c r="U137" s="435"/>
      <c r="V137" s="435"/>
      <c r="W137" s="435"/>
      <c r="X137" s="435"/>
      <c r="Y137" s="605">
        <v>40297</v>
      </c>
      <c r="Z137" s="610"/>
      <c r="AA137" s="610"/>
      <c r="AB137" s="610">
        <v>1000000000</v>
      </c>
    </row>
    <row r="138" spans="1:29" ht="16.5">
      <c r="A138" s="491" t="s">
        <v>505</v>
      </c>
      <c r="B138" s="656" t="s">
        <v>280</v>
      </c>
      <c r="C138" s="656" t="s">
        <v>651</v>
      </c>
      <c r="D138" s="642">
        <v>40297</v>
      </c>
      <c r="E138" s="610">
        <v>83333</v>
      </c>
      <c r="F138" s="610">
        <v>12000</v>
      </c>
      <c r="G138" s="610">
        <v>1000000000</v>
      </c>
      <c r="H138" s="612" t="s">
        <v>350</v>
      </c>
      <c r="I138" s="605">
        <v>40347</v>
      </c>
      <c r="J138" s="610">
        <v>8333</v>
      </c>
      <c r="K138" s="610">
        <f>+L138/J138</f>
        <v>21012.083643345733</v>
      </c>
      <c r="L138" s="610">
        <v>175093693</v>
      </c>
      <c r="M138" s="610">
        <f t="shared" ref="M138:M145" si="18">+J138*12000</f>
        <v>99996000</v>
      </c>
      <c r="N138" s="610">
        <f t="shared" si="17"/>
        <v>75097693</v>
      </c>
      <c r="O138" s="612" t="s">
        <v>352</v>
      </c>
      <c r="P138" s="610"/>
      <c r="Q138" s="610"/>
      <c r="R138" s="492"/>
      <c r="T138" s="435"/>
      <c r="U138" s="435"/>
      <c r="V138" s="435"/>
      <c r="W138" s="435"/>
      <c r="X138" s="435"/>
      <c r="Y138" s="651">
        <v>40653</v>
      </c>
      <c r="Z138" s="614"/>
      <c r="AA138" s="614"/>
      <c r="AB138" s="614">
        <v>27178082</v>
      </c>
      <c r="AC138" s="682">
        <f>+XIRR(AB135:AB138,Y135:Y138)</f>
        <v>9.4418087601661677E-2</v>
      </c>
    </row>
    <row r="139" spans="1:29">
      <c r="A139" s="491" t="s">
        <v>505</v>
      </c>
      <c r="B139" s="654" t="s">
        <v>280</v>
      </c>
      <c r="C139" s="654" t="s">
        <v>651</v>
      </c>
      <c r="D139" s="652">
        <v>40543</v>
      </c>
      <c r="E139" s="657"/>
      <c r="F139" s="657"/>
      <c r="G139" s="657">
        <v>537410000</v>
      </c>
      <c r="H139" s="650" t="s">
        <v>1313</v>
      </c>
      <c r="I139" s="627">
        <v>40350</v>
      </c>
      <c r="J139" s="657">
        <v>8334</v>
      </c>
      <c r="K139" s="657">
        <f t="shared" ref="K139:K145" si="19">+L139/J139</f>
        <v>21208.442164626831</v>
      </c>
      <c r="L139" s="657">
        <v>176751157</v>
      </c>
      <c r="M139" s="657">
        <f t="shared" si="18"/>
        <v>100008000</v>
      </c>
      <c r="N139" s="657">
        <f t="shared" si="17"/>
        <v>76743157</v>
      </c>
      <c r="O139" s="650" t="s">
        <v>352</v>
      </c>
      <c r="P139" s="657"/>
      <c r="Q139" s="657"/>
      <c r="R139" s="493"/>
      <c r="T139" s="642">
        <v>40297</v>
      </c>
      <c r="U139" s="610">
        <v>83333</v>
      </c>
      <c r="V139" s="610">
        <v>12000</v>
      </c>
      <c r="W139" s="610">
        <v>-1000000000</v>
      </c>
    </row>
    <row r="140" spans="1:29">
      <c r="A140" s="491" t="s">
        <v>505</v>
      </c>
      <c r="B140" s="654" t="s">
        <v>280</v>
      </c>
      <c r="C140" s="654" t="s">
        <v>651</v>
      </c>
      <c r="D140" s="652">
        <v>40786</v>
      </c>
      <c r="E140" s="657"/>
      <c r="F140" s="657"/>
      <c r="G140" s="657">
        <v>-268728500</v>
      </c>
      <c r="H140" s="650" t="s">
        <v>1314</v>
      </c>
      <c r="I140" s="627">
        <v>40351</v>
      </c>
      <c r="J140" s="657">
        <v>4167</v>
      </c>
      <c r="K140" s="657">
        <f t="shared" si="19"/>
        <v>20974.222462203023</v>
      </c>
      <c r="L140" s="657">
        <v>87399585</v>
      </c>
      <c r="M140" s="657">
        <f t="shared" si="18"/>
        <v>50004000</v>
      </c>
      <c r="N140" s="657">
        <f t="shared" si="17"/>
        <v>37395585</v>
      </c>
      <c r="O140" s="650" t="s">
        <v>352</v>
      </c>
      <c r="P140" s="657"/>
      <c r="Q140" s="657"/>
      <c r="R140" s="493"/>
      <c r="T140" s="605">
        <v>40347</v>
      </c>
      <c r="U140" s="610">
        <v>8333</v>
      </c>
      <c r="V140" s="610">
        <v>21012.083643345733</v>
      </c>
      <c r="W140" s="610">
        <v>175093693</v>
      </c>
    </row>
    <row r="141" spans="1:29">
      <c r="A141" s="491" t="s">
        <v>505</v>
      </c>
      <c r="B141" s="654" t="s">
        <v>280</v>
      </c>
      <c r="C141" s="654" t="s">
        <v>651</v>
      </c>
      <c r="D141" s="652">
        <v>40908</v>
      </c>
      <c r="E141" s="657"/>
      <c r="F141" s="657"/>
      <c r="G141" s="657">
        <v>34991600</v>
      </c>
      <c r="H141" s="650" t="s">
        <v>1313</v>
      </c>
      <c r="I141" s="627">
        <v>40352</v>
      </c>
      <c r="J141" s="657">
        <v>4167</v>
      </c>
      <c r="K141" s="657">
        <f t="shared" si="19"/>
        <v>21522.241180705543</v>
      </c>
      <c r="L141" s="657">
        <v>89683179</v>
      </c>
      <c r="M141" s="657">
        <f t="shared" si="18"/>
        <v>50004000</v>
      </c>
      <c r="N141" s="657">
        <f t="shared" si="17"/>
        <v>39679179</v>
      </c>
      <c r="O141" s="650" t="s">
        <v>352</v>
      </c>
      <c r="P141" s="657"/>
      <c r="Q141" s="657"/>
      <c r="R141" s="493"/>
      <c r="T141" s="627">
        <v>40350</v>
      </c>
      <c r="U141" s="657">
        <v>8334</v>
      </c>
      <c r="V141" s="657">
        <v>21208.442164626831</v>
      </c>
      <c r="W141" s="657">
        <v>176751157</v>
      </c>
    </row>
    <row r="142" spans="1:29">
      <c r="A142" s="491" t="s">
        <v>505</v>
      </c>
      <c r="B142" s="654" t="s">
        <v>280</v>
      </c>
      <c r="C142" s="654" t="s">
        <v>651</v>
      </c>
      <c r="D142" s="652">
        <v>41093</v>
      </c>
      <c r="E142" s="657"/>
      <c r="F142" s="657"/>
      <c r="G142" s="657">
        <v>-303673100</v>
      </c>
      <c r="H142" s="650" t="s">
        <v>1314</v>
      </c>
      <c r="I142" s="627">
        <v>40353</v>
      </c>
      <c r="J142" s="657">
        <v>8334</v>
      </c>
      <c r="K142" s="657">
        <f t="shared" si="19"/>
        <v>21920.801055915526</v>
      </c>
      <c r="L142" s="657">
        <v>182687956</v>
      </c>
      <c r="M142" s="657">
        <f t="shared" si="18"/>
        <v>100008000</v>
      </c>
      <c r="N142" s="657">
        <f t="shared" si="17"/>
        <v>82679956</v>
      </c>
      <c r="O142" s="650" t="s">
        <v>352</v>
      </c>
      <c r="P142" s="657"/>
      <c r="Q142" s="657"/>
      <c r="R142" s="493"/>
      <c r="T142" s="627">
        <v>40351</v>
      </c>
      <c r="U142" s="657">
        <v>4167</v>
      </c>
      <c r="V142" s="657">
        <v>20974.222462203023</v>
      </c>
      <c r="W142" s="657">
        <v>87399585</v>
      </c>
    </row>
    <row r="143" spans="1:29">
      <c r="A143" s="491" t="s">
        <v>505</v>
      </c>
      <c r="B143" s="654" t="s">
        <v>280</v>
      </c>
      <c r="C143" s="654" t="s">
        <v>651</v>
      </c>
      <c r="D143" s="652"/>
      <c r="E143" s="657"/>
      <c r="F143" s="657"/>
      <c r="G143" s="657"/>
      <c r="H143" s="650"/>
      <c r="I143" s="627">
        <v>40372</v>
      </c>
      <c r="J143" s="657">
        <v>8334</v>
      </c>
      <c r="K143" s="657">
        <f t="shared" si="19"/>
        <v>20651.389848812094</v>
      </c>
      <c r="L143" s="657">
        <v>172108683</v>
      </c>
      <c r="M143" s="657">
        <f t="shared" si="18"/>
        <v>100008000</v>
      </c>
      <c r="N143" s="657">
        <f t="shared" si="17"/>
        <v>72100683</v>
      </c>
      <c r="O143" s="650" t="s">
        <v>352</v>
      </c>
      <c r="P143" s="657"/>
      <c r="Q143" s="657"/>
      <c r="R143" s="493"/>
      <c r="T143" s="627">
        <v>40352</v>
      </c>
      <c r="U143" s="657">
        <v>4167</v>
      </c>
      <c r="V143" s="657">
        <v>21522.241180705543</v>
      </c>
      <c r="W143" s="657">
        <v>89683179</v>
      </c>
    </row>
    <row r="144" spans="1:29">
      <c r="A144" s="491" t="s">
        <v>505</v>
      </c>
      <c r="B144" s="654" t="s">
        <v>280</v>
      </c>
      <c r="C144" s="654" t="s">
        <v>651</v>
      </c>
      <c r="D144" s="652"/>
      <c r="E144" s="657"/>
      <c r="F144" s="657"/>
      <c r="G144" s="657"/>
      <c r="H144" s="650"/>
      <c r="I144" s="627">
        <v>40374</v>
      </c>
      <c r="J144" s="657">
        <v>8334</v>
      </c>
      <c r="K144" s="657">
        <f t="shared" si="19"/>
        <v>20824.761219102471</v>
      </c>
      <c r="L144" s="657">
        <v>173553560</v>
      </c>
      <c r="M144" s="657">
        <f t="shared" si="18"/>
        <v>100008000</v>
      </c>
      <c r="N144" s="657">
        <f t="shared" si="17"/>
        <v>73545560</v>
      </c>
      <c r="O144" s="650" t="s">
        <v>352</v>
      </c>
      <c r="P144" s="657"/>
      <c r="Q144" s="657"/>
      <c r="R144" s="493"/>
      <c r="T144" s="627">
        <v>40353</v>
      </c>
      <c r="U144" s="657">
        <v>8334</v>
      </c>
      <c r="V144" s="657">
        <v>21920.801055915526</v>
      </c>
      <c r="W144" s="657">
        <v>182687956</v>
      </c>
    </row>
    <row r="145" spans="1:23">
      <c r="A145" s="491" t="s">
        <v>505</v>
      </c>
      <c r="B145" s="654" t="s">
        <v>280</v>
      </c>
      <c r="C145" s="654" t="s">
        <v>651</v>
      </c>
      <c r="D145" s="652"/>
      <c r="E145" s="657"/>
      <c r="F145" s="657"/>
      <c r="G145" s="657"/>
      <c r="H145" s="650"/>
      <c r="I145" s="627">
        <v>40375</v>
      </c>
      <c r="J145" s="657">
        <v>8334</v>
      </c>
      <c r="K145" s="657">
        <f t="shared" si="19"/>
        <v>20924.401007919365</v>
      </c>
      <c r="L145" s="657">
        <v>174383958</v>
      </c>
      <c r="M145" s="657">
        <f t="shared" si="18"/>
        <v>100008000</v>
      </c>
      <c r="N145" s="657">
        <f t="shared" si="17"/>
        <v>74375958</v>
      </c>
      <c r="O145" s="650" t="s">
        <v>352</v>
      </c>
      <c r="P145" s="657"/>
      <c r="Q145" s="657"/>
      <c r="R145" s="494"/>
      <c r="T145" s="627">
        <v>40372</v>
      </c>
      <c r="U145" s="657">
        <v>8334</v>
      </c>
      <c r="V145" s="657">
        <v>20651.389848812094</v>
      </c>
      <c r="W145" s="657">
        <v>172108683</v>
      </c>
    </row>
    <row r="146" spans="1:23">
      <c r="A146" s="491" t="s">
        <v>505</v>
      </c>
      <c r="B146" s="654" t="s">
        <v>280</v>
      </c>
      <c r="C146" s="654" t="s">
        <v>651</v>
      </c>
      <c r="D146" s="652"/>
      <c r="E146" s="657"/>
      <c r="F146" s="657"/>
      <c r="G146" s="657"/>
      <c r="H146" s="650"/>
      <c r="I146" s="627">
        <v>40648</v>
      </c>
      <c r="J146" s="657">
        <v>0</v>
      </c>
      <c r="K146" s="657">
        <v>0</v>
      </c>
      <c r="L146" s="657">
        <v>1874700</v>
      </c>
      <c r="M146" s="657">
        <v>0</v>
      </c>
      <c r="N146" s="657">
        <f t="shared" si="17"/>
        <v>1874700</v>
      </c>
      <c r="O146" s="650" t="s">
        <v>1003</v>
      </c>
      <c r="P146" s="657"/>
      <c r="Q146" s="614"/>
      <c r="R146" s="392"/>
      <c r="T146" s="627">
        <v>40374</v>
      </c>
      <c r="U146" s="657">
        <v>8334</v>
      </c>
      <c r="V146" s="657">
        <v>20824.761219102471</v>
      </c>
      <c r="W146" s="657">
        <v>173553560</v>
      </c>
    </row>
    <row r="147" spans="1:23">
      <c r="A147" s="491" t="s">
        <v>505</v>
      </c>
      <c r="B147" s="654" t="s">
        <v>280</v>
      </c>
      <c r="C147" s="654" t="s">
        <v>651</v>
      </c>
      <c r="D147" s="652"/>
      <c r="E147" s="657"/>
      <c r="F147" s="657"/>
      <c r="G147" s="657"/>
      <c r="H147" s="650"/>
      <c r="I147" s="627">
        <v>40752</v>
      </c>
      <c r="J147" s="657">
        <v>2499</v>
      </c>
      <c r="K147" s="657">
        <v>50000</v>
      </c>
      <c r="L147" s="657">
        <v>124500180</v>
      </c>
      <c r="M147" s="657">
        <f t="shared" ref="M147:M152" si="20">+J147*12000</f>
        <v>29988000</v>
      </c>
      <c r="N147" s="657">
        <f t="shared" si="17"/>
        <v>94512180</v>
      </c>
      <c r="O147" s="650" t="s">
        <v>352</v>
      </c>
      <c r="P147" s="657"/>
      <c r="Q147" s="644"/>
      <c r="R147" s="392"/>
      <c r="T147" s="627">
        <v>40375</v>
      </c>
      <c r="U147" s="657">
        <v>8334</v>
      </c>
      <c r="V147" s="657">
        <v>20924.401007919365</v>
      </c>
      <c r="W147" s="657">
        <v>174383958</v>
      </c>
    </row>
    <row r="148" spans="1:23">
      <c r="A148" s="491" t="s">
        <v>505</v>
      </c>
      <c r="B148" s="654" t="s">
        <v>280</v>
      </c>
      <c r="C148" s="654" t="s">
        <v>651</v>
      </c>
      <c r="D148" s="652"/>
      <c r="E148" s="657"/>
      <c r="F148" s="657"/>
      <c r="G148" s="657"/>
      <c r="H148" s="650"/>
      <c r="I148" s="627">
        <v>40760</v>
      </c>
      <c r="J148" s="657">
        <v>2400</v>
      </c>
      <c r="K148" s="657">
        <v>46900</v>
      </c>
      <c r="L148" s="657">
        <v>112154793</v>
      </c>
      <c r="M148" s="657">
        <f t="shared" si="20"/>
        <v>28800000</v>
      </c>
      <c r="N148" s="657">
        <f t="shared" si="17"/>
        <v>83354793</v>
      </c>
      <c r="O148" s="650" t="s">
        <v>352</v>
      </c>
      <c r="P148" s="657"/>
      <c r="Q148" s="644"/>
      <c r="R148" s="392"/>
      <c r="T148" s="627">
        <v>40648</v>
      </c>
      <c r="U148" s="657">
        <v>0</v>
      </c>
      <c r="V148" s="657">
        <v>0</v>
      </c>
      <c r="W148" s="657">
        <v>1874700</v>
      </c>
    </row>
    <row r="149" spans="1:23">
      <c r="A149" s="491" t="s">
        <v>505</v>
      </c>
      <c r="B149" s="654" t="s">
        <v>280</v>
      </c>
      <c r="C149" s="654" t="s">
        <v>651</v>
      </c>
      <c r="D149" s="652"/>
      <c r="E149" s="657"/>
      <c r="F149" s="657"/>
      <c r="G149" s="657"/>
      <c r="H149" s="650"/>
      <c r="I149" s="627">
        <v>40763</v>
      </c>
      <c r="J149" s="666">
        <v>600</v>
      </c>
      <c r="K149" s="666">
        <v>48800</v>
      </c>
      <c r="L149" s="666">
        <v>29174600</v>
      </c>
      <c r="M149" s="657">
        <f t="shared" si="20"/>
        <v>7200000</v>
      </c>
      <c r="N149" s="657">
        <f t="shared" si="17"/>
        <v>21974600</v>
      </c>
      <c r="O149" s="650" t="s">
        <v>352</v>
      </c>
      <c r="P149" s="657"/>
      <c r="Q149" s="644"/>
      <c r="R149" s="392"/>
      <c r="T149" s="627">
        <v>40752</v>
      </c>
      <c r="U149" s="657">
        <v>2499</v>
      </c>
      <c r="V149" s="657">
        <v>50000</v>
      </c>
      <c r="W149" s="657">
        <v>124500180</v>
      </c>
    </row>
    <row r="150" spans="1:23">
      <c r="A150" s="491" t="s">
        <v>505</v>
      </c>
      <c r="B150" s="654" t="s">
        <v>280</v>
      </c>
      <c r="C150" s="654" t="s">
        <v>651</v>
      </c>
      <c r="D150" s="652"/>
      <c r="E150" s="657"/>
      <c r="F150" s="657"/>
      <c r="G150" s="657"/>
      <c r="H150" s="650"/>
      <c r="I150" s="627">
        <v>40772</v>
      </c>
      <c r="J150" s="666">
        <v>4500</v>
      </c>
      <c r="K150" s="666">
        <v>45650</v>
      </c>
      <c r="L150" s="666">
        <v>204685479</v>
      </c>
      <c r="M150" s="657">
        <f t="shared" si="20"/>
        <v>54000000</v>
      </c>
      <c r="N150" s="657">
        <f t="shared" si="17"/>
        <v>150685479</v>
      </c>
      <c r="O150" s="650" t="s">
        <v>352</v>
      </c>
      <c r="P150" s="657"/>
      <c r="Q150" s="644"/>
      <c r="R150" s="392"/>
      <c r="T150" s="627">
        <v>40760</v>
      </c>
      <c r="U150" s="657">
        <v>2400</v>
      </c>
      <c r="V150" s="657">
        <v>46900</v>
      </c>
      <c r="W150" s="657">
        <v>112154793</v>
      </c>
    </row>
    <row r="151" spans="1:23">
      <c r="A151" s="491" t="s">
        <v>505</v>
      </c>
      <c r="B151" s="654" t="s">
        <v>280</v>
      </c>
      <c r="C151" s="654" t="s">
        <v>651</v>
      </c>
      <c r="D151" s="652"/>
      <c r="E151" s="657"/>
      <c r="F151" s="657"/>
      <c r="G151" s="657"/>
      <c r="H151" s="650"/>
      <c r="I151" s="627">
        <v>40773</v>
      </c>
      <c r="J151" s="666">
        <v>2500</v>
      </c>
      <c r="K151" s="666">
        <v>46000</v>
      </c>
      <c r="L151" s="666">
        <v>114586000</v>
      </c>
      <c r="M151" s="657">
        <f t="shared" si="20"/>
        <v>30000000</v>
      </c>
      <c r="N151" s="657">
        <f t="shared" si="17"/>
        <v>84586000</v>
      </c>
      <c r="O151" s="650" t="s">
        <v>352</v>
      </c>
      <c r="P151" s="657"/>
      <c r="Q151" s="644"/>
      <c r="R151" s="392"/>
      <c r="T151" s="627">
        <v>40763</v>
      </c>
      <c r="U151" s="666">
        <v>600</v>
      </c>
      <c r="V151" s="666">
        <v>48800</v>
      </c>
      <c r="W151" s="666">
        <v>29174600</v>
      </c>
    </row>
    <row r="152" spans="1:23">
      <c r="A152" s="491" t="s">
        <v>505</v>
      </c>
      <c r="B152" s="654" t="s">
        <v>280</v>
      </c>
      <c r="C152" s="654" t="s">
        <v>651</v>
      </c>
      <c r="D152" s="652"/>
      <c r="E152" s="657"/>
      <c r="F152" s="657"/>
      <c r="G152" s="657"/>
      <c r="H152" s="650"/>
      <c r="I152" s="627">
        <v>41018</v>
      </c>
      <c r="J152" s="666">
        <v>0</v>
      </c>
      <c r="K152" s="666">
        <v>0</v>
      </c>
      <c r="L152" s="666">
        <v>1249700</v>
      </c>
      <c r="M152" s="657">
        <f t="shared" si="20"/>
        <v>0</v>
      </c>
      <c r="N152" s="657">
        <f t="shared" si="17"/>
        <v>1249700</v>
      </c>
      <c r="O152" s="650" t="s">
        <v>1003</v>
      </c>
      <c r="P152" s="657"/>
      <c r="Q152" s="644"/>
      <c r="R152" s="392"/>
      <c r="T152" s="627">
        <v>40772</v>
      </c>
      <c r="U152" s="666">
        <v>4500</v>
      </c>
      <c r="V152" s="666">
        <v>45650</v>
      </c>
      <c r="W152" s="666">
        <v>204685479</v>
      </c>
    </row>
    <row r="153" spans="1:23">
      <c r="A153" s="491" t="s">
        <v>505</v>
      </c>
      <c r="B153" s="654" t="s">
        <v>280</v>
      </c>
      <c r="C153" s="654" t="s">
        <v>651</v>
      </c>
      <c r="D153" s="652"/>
      <c r="E153" s="657"/>
      <c r="F153" s="657"/>
      <c r="G153" s="657"/>
      <c r="H153" s="650"/>
      <c r="I153" s="616">
        <v>41045</v>
      </c>
      <c r="J153" s="617">
        <v>4000</v>
      </c>
      <c r="K153" s="666">
        <f t="shared" ref="K153:K159" si="21">+L153/J153</f>
        <v>48449.95</v>
      </c>
      <c r="L153" s="666">
        <v>193799800</v>
      </c>
      <c r="M153" s="657">
        <f>+J153*12000</f>
        <v>48000000</v>
      </c>
      <c r="N153" s="657">
        <f t="shared" si="17"/>
        <v>145799800</v>
      </c>
      <c r="O153" s="650" t="s">
        <v>352</v>
      </c>
      <c r="P153" s="657"/>
      <c r="Q153" s="644"/>
      <c r="R153" s="392"/>
      <c r="T153" s="627">
        <v>40773</v>
      </c>
      <c r="U153" s="666">
        <v>2500</v>
      </c>
      <c r="V153" s="666">
        <v>46000</v>
      </c>
      <c r="W153" s="666">
        <v>114586000</v>
      </c>
    </row>
    <row r="154" spans="1:23">
      <c r="A154" s="491" t="s">
        <v>505</v>
      </c>
      <c r="B154" s="654" t="s">
        <v>280</v>
      </c>
      <c r="C154" s="654" t="s">
        <v>651</v>
      </c>
      <c r="D154" s="652"/>
      <c r="E154" s="657"/>
      <c r="F154" s="657"/>
      <c r="G154" s="657"/>
      <c r="H154" s="650"/>
      <c r="I154" s="616">
        <v>41064</v>
      </c>
      <c r="J154" s="617">
        <v>2400</v>
      </c>
      <c r="K154" s="666">
        <f t="shared" si="21"/>
        <v>32881.199999999997</v>
      </c>
      <c r="L154" s="666">
        <v>78914880</v>
      </c>
      <c r="M154" s="657">
        <f>+J154*12000</f>
        <v>28800000</v>
      </c>
      <c r="N154" s="657">
        <f t="shared" si="17"/>
        <v>50114880</v>
      </c>
      <c r="O154" s="650" t="s">
        <v>352</v>
      </c>
      <c r="P154" s="657"/>
      <c r="Q154" s="644"/>
      <c r="R154" s="392"/>
      <c r="T154" s="627">
        <v>41018</v>
      </c>
      <c r="U154" s="666">
        <v>0</v>
      </c>
      <c r="V154" s="666">
        <v>0</v>
      </c>
      <c r="W154" s="666">
        <v>1249700</v>
      </c>
    </row>
    <row r="155" spans="1:23">
      <c r="A155" s="491" t="s">
        <v>505</v>
      </c>
      <c r="B155" s="654" t="s">
        <v>280</v>
      </c>
      <c r="C155" s="654" t="s">
        <v>651</v>
      </c>
      <c r="D155" s="652"/>
      <c r="E155" s="657"/>
      <c r="F155" s="657"/>
      <c r="G155" s="657"/>
      <c r="H155" s="650"/>
      <c r="I155" s="616">
        <v>41065</v>
      </c>
      <c r="J155" s="617">
        <v>2400</v>
      </c>
      <c r="K155" s="666">
        <f t="shared" si="21"/>
        <v>34375.800000000003</v>
      </c>
      <c r="L155" s="666">
        <v>82501920</v>
      </c>
      <c r="M155" s="657">
        <f>+J155*12000</f>
        <v>28800000</v>
      </c>
      <c r="N155" s="657">
        <f t="shared" si="17"/>
        <v>53701920</v>
      </c>
      <c r="O155" s="650" t="s">
        <v>352</v>
      </c>
      <c r="P155" s="657"/>
      <c r="Q155" s="644"/>
      <c r="R155" s="392"/>
      <c r="T155" s="616">
        <v>41045</v>
      </c>
      <c r="U155" s="617">
        <v>4000</v>
      </c>
      <c r="V155" s="666">
        <v>48449.95</v>
      </c>
      <c r="W155" s="666">
        <v>193799800</v>
      </c>
    </row>
    <row r="156" spans="1:23">
      <c r="A156" s="491" t="s">
        <v>505</v>
      </c>
      <c r="B156" s="654" t="s">
        <v>280</v>
      </c>
      <c r="C156" s="654" t="s">
        <v>651</v>
      </c>
      <c r="D156" s="652"/>
      <c r="E156" s="657"/>
      <c r="F156" s="657"/>
      <c r="G156" s="657"/>
      <c r="H156" s="650"/>
      <c r="I156" s="616">
        <v>41068</v>
      </c>
      <c r="J156" s="617">
        <v>2400</v>
      </c>
      <c r="K156" s="666">
        <f t="shared" si="21"/>
        <v>32980.842083333337</v>
      </c>
      <c r="L156" s="666">
        <v>79154021</v>
      </c>
      <c r="M156" s="657">
        <f>+J156*12000</f>
        <v>28800000</v>
      </c>
      <c r="N156" s="657">
        <f t="shared" si="17"/>
        <v>50354021</v>
      </c>
      <c r="O156" s="650" t="s">
        <v>352</v>
      </c>
      <c r="P156" s="657"/>
      <c r="Q156" s="644"/>
      <c r="R156" s="392"/>
      <c r="T156" s="616">
        <v>41064</v>
      </c>
      <c r="U156" s="617">
        <v>2400</v>
      </c>
      <c r="V156" s="666">
        <v>32881.199999999997</v>
      </c>
      <c r="W156" s="666">
        <v>78914880</v>
      </c>
    </row>
    <row r="157" spans="1:23">
      <c r="A157" s="491" t="s">
        <v>505</v>
      </c>
      <c r="B157" s="654" t="s">
        <v>280</v>
      </c>
      <c r="C157" s="654" t="s">
        <v>651</v>
      </c>
      <c r="D157" s="652"/>
      <c r="E157" s="657"/>
      <c r="F157" s="657"/>
      <c r="G157" s="657"/>
      <c r="H157" s="650"/>
      <c r="I157" s="616">
        <v>41071</v>
      </c>
      <c r="J157" s="617">
        <v>1297</v>
      </c>
      <c r="K157" s="666">
        <f t="shared" si="21"/>
        <v>33877.606784888201</v>
      </c>
      <c r="L157" s="666">
        <v>43939256</v>
      </c>
      <c r="M157" s="657">
        <f>+J157*12000+4000</f>
        <v>15568000</v>
      </c>
      <c r="N157" s="657">
        <f t="shared" si="17"/>
        <v>28371256</v>
      </c>
      <c r="O157" s="650" t="s">
        <v>352</v>
      </c>
      <c r="P157" s="657"/>
      <c r="Q157" s="644"/>
      <c r="R157" s="392"/>
      <c r="T157" s="616">
        <v>41065</v>
      </c>
      <c r="U157" s="617">
        <v>2400</v>
      </c>
      <c r="V157" s="666">
        <v>34375.800000000003</v>
      </c>
      <c r="W157" s="666">
        <v>82501920</v>
      </c>
    </row>
    <row r="158" spans="1:23">
      <c r="A158" s="491" t="s">
        <v>505</v>
      </c>
      <c r="B158" s="654" t="s">
        <v>280</v>
      </c>
      <c r="C158" s="654" t="s">
        <v>651</v>
      </c>
      <c r="D158" s="646"/>
      <c r="E158" s="647"/>
      <c r="F158" s="647"/>
      <c r="G158" s="647"/>
      <c r="H158" s="742"/>
      <c r="I158" s="167">
        <v>41089</v>
      </c>
      <c r="J158" s="168"/>
      <c r="K158" s="751"/>
      <c r="L158" s="751">
        <v>15150</v>
      </c>
      <c r="M158" s="647">
        <v>0</v>
      </c>
      <c r="N158" s="647">
        <f>+L158-M158</f>
        <v>15150</v>
      </c>
      <c r="O158" s="742" t="s">
        <v>1454</v>
      </c>
      <c r="P158" s="647"/>
      <c r="Q158" s="644"/>
      <c r="R158" s="392"/>
      <c r="T158" s="616"/>
      <c r="U158" s="617"/>
      <c r="V158" s="666"/>
      <c r="W158" s="666"/>
    </row>
    <row r="159" spans="1:23">
      <c r="A159" s="491" t="s">
        <v>505</v>
      </c>
      <c r="B159" s="655" t="s">
        <v>280</v>
      </c>
      <c r="C159" s="655" t="s">
        <v>651</v>
      </c>
      <c r="D159" s="651"/>
      <c r="E159" s="614"/>
      <c r="F159" s="614"/>
      <c r="G159" s="614"/>
      <c r="H159" s="613"/>
      <c r="I159" s="621">
        <v>41093</v>
      </c>
      <c r="J159" s="622">
        <v>4248</v>
      </c>
      <c r="K159" s="618">
        <f t="shared" si="21"/>
        <v>29399.677259887005</v>
      </c>
      <c r="L159" s="618">
        <v>124889829</v>
      </c>
      <c r="M159" s="614">
        <v>0</v>
      </c>
      <c r="N159" s="614">
        <f t="shared" si="17"/>
        <v>124889829</v>
      </c>
      <c r="O159" s="613" t="s">
        <v>1317</v>
      </c>
      <c r="P159" s="614">
        <f>+G138-SUM(M138:M159)</f>
        <v>0</v>
      </c>
      <c r="Q159" s="644"/>
      <c r="R159" s="392"/>
      <c r="T159" s="616">
        <v>41068</v>
      </c>
      <c r="U159" s="617">
        <v>2400</v>
      </c>
      <c r="V159" s="666">
        <v>32980.842083333337</v>
      </c>
      <c r="W159" s="666">
        <v>79154021</v>
      </c>
    </row>
    <row r="160" spans="1:23">
      <c r="A160" s="491" t="s">
        <v>505</v>
      </c>
      <c r="B160" s="502" t="s">
        <v>280</v>
      </c>
      <c r="C160" s="502" t="s">
        <v>1318</v>
      </c>
      <c r="D160" s="507">
        <v>40325</v>
      </c>
      <c r="E160" s="484">
        <v>4815</v>
      </c>
      <c r="F160" s="484">
        <v>90000</v>
      </c>
      <c r="G160" s="484">
        <f>+E160*F160</f>
        <v>433350000</v>
      </c>
      <c r="H160" s="485" t="s">
        <v>1319</v>
      </c>
      <c r="I160" s="723"/>
      <c r="J160" s="724"/>
      <c r="K160" s="724"/>
      <c r="L160" s="724"/>
      <c r="M160" s="484"/>
      <c r="N160" s="484"/>
      <c r="O160" s="485"/>
      <c r="P160" s="484">
        <f>+G160-M160</f>
        <v>433350000</v>
      </c>
      <c r="Q160" s="641"/>
      <c r="R160" s="462"/>
      <c r="T160" s="616">
        <v>41071</v>
      </c>
      <c r="U160" s="617">
        <v>1297</v>
      </c>
      <c r="V160" s="666">
        <v>33877.606784888201</v>
      </c>
      <c r="W160" s="666">
        <v>43939256</v>
      </c>
    </row>
    <row r="161" spans="1:35" ht="16.5">
      <c r="A161" s="491" t="s">
        <v>505</v>
      </c>
      <c r="B161" s="653" t="s">
        <v>280</v>
      </c>
      <c r="C161" s="653" t="s">
        <v>1318</v>
      </c>
      <c r="D161" s="645">
        <v>41417</v>
      </c>
      <c r="E161" s="644">
        <v>38520</v>
      </c>
      <c r="F161" s="644"/>
      <c r="G161" s="644"/>
      <c r="H161" s="743" t="s">
        <v>1320</v>
      </c>
      <c r="I161" s="725"/>
      <c r="J161" s="726"/>
      <c r="K161" s="726"/>
      <c r="L161" s="726"/>
      <c r="M161" s="644"/>
      <c r="N161" s="644"/>
      <c r="O161" s="743"/>
      <c r="P161" s="644"/>
      <c r="Q161" s="641"/>
      <c r="R161" s="462"/>
      <c r="T161" s="621">
        <v>41093</v>
      </c>
      <c r="U161" s="622">
        <v>4248</v>
      </c>
      <c r="V161" s="618">
        <v>29399.677259887005</v>
      </c>
      <c r="W161" s="618">
        <v>124889829</v>
      </c>
      <c r="X161" s="682">
        <f>+XIRR(W139:W161,T139:T161)</f>
        <v>4.5192439556121835</v>
      </c>
    </row>
    <row r="162" spans="1:35" ht="16.5">
      <c r="A162" s="491" t="s">
        <v>505</v>
      </c>
      <c r="B162" s="653" t="s">
        <v>280</v>
      </c>
      <c r="C162" s="653" t="s">
        <v>1318</v>
      </c>
      <c r="D162" s="645">
        <v>40325</v>
      </c>
      <c r="E162" s="644">
        <v>834</v>
      </c>
      <c r="F162" s="644">
        <v>80000</v>
      </c>
      <c r="G162" s="644">
        <f>+E162*F162</f>
        <v>66720000</v>
      </c>
      <c r="H162" s="743" t="s">
        <v>1254</v>
      </c>
      <c r="I162" s="725"/>
      <c r="J162" s="726"/>
      <c r="K162" s="726"/>
      <c r="L162" s="726"/>
      <c r="M162" s="644"/>
      <c r="N162" s="644"/>
      <c r="O162" s="743"/>
      <c r="P162" s="644">
        <f>+G162-M162</f>
        <v>66720000</v>
      </c>
      <c r="Q162" s="641"/>
      <c r="R162" s="462"/>
      <c r="T162" s="435"/>
      <c r="U162" s="435"/>
      <c r="V162" s="435"/>
      <c r="W162" s="435"/>
    </row>
    <row r="163" spans="1:35" ht="16.5">
      <c r="A163" s="491" t="s">
        <v>505</v>
      </c>
      <c r="B163" s="502" t="s">
        <v>280</v>
      </c>
      <c r="C163" s="502" t="s">
        <v>1318</v>
      </c>
      <c r="D163" s="507">
        <v>40339</v>
      </c>
      <c r="E163" s="484"/>
      <c r="F163" s="484"/>
      <c r="G163" s="484">
        <v>500040000</v>
      </c>
      <c r="H163" s="485" t="s">
        <v>1287</v>
      </c>
      <c r="I163" s="507">
        <v>40430</v>
      </c>
      <c r="J163" s="484"/>
      <c r="K163" s="484"/>
      <c r="L163" s="484">
        <v>5041495</v>
      </c>
      <c r="M163" s="484">
        <v>0</v>
      </c>
      <c r="N163" s="484">
        <f t="shared" ref="N163:N175" si="22">+L163-M163</f>
        <v>5041495</v>
      </c>
      <c r="O163" s="485" t="s">
        <v>491</v>
      </c>
      <c r="P163" s="484">
        <f>+SUM(G163:G169)-SUM(M163:M169)</f>
        <v>500040000</v>
      </c>
      <c r="Q163" s="484"/>
      <c r="R163" s="308"/>
      <c r="T163" s="435"/>
      <c r="U163" s="435"/>
      <c r="V163" s="435"/>
      <c r="W163" s="435"/>
      <c r="AD163" s="502" t="s">
        <v>1318</v>
      </c>
      <c r="AE163" s="507">
        <v>40339</v>
      </c>
      <c r="AF163" s="484"/>
      <c r="AG163" s="484"/>
      <c r="AH163" s="484">
        <v>-500040000</v>
      </c>
    </row>
    <row r="164" spans="1:35" ht="16.5">
      <c r="A164" s="491" t="s">
        <v>505</v>
      </c>
      <c r="B164" s="654" t="s">
        <v>280</v>
      </c>
      <c r="C164" s="654" t="s">
        <v>1318</v>
      </c>
      <c r="D164" s="652">
        <v>41485</v>
      </c>
      <c r="E164" s="657">
        <v>50004</v>
      </c>
      <c r="F164" s="657">
        <v>10000</v>
      </c>
      <c r="G164" s="657"/>
      <c r="H164" s="650" t="s">
        <v>1321</v>
      </c>
      <c r="I164" s="652">
        <v>40521</v>
      </c>
      <c r="J164" s="657"/>
      <c r="K164" s="657"/>
      <c r="L164" s="657">
        <v>4986697</v>
      </c>
      <c r="M164" s="657">
        <v>0</v>
      </c>
      <c r="N164" s="657">
        <f t="shared" si="22"/>
        <v>4986697</v>
      </c>
      <c r="O164" s="650" t="s">
        <v>491</v>
      </c>
      <c r="P164" s="657"/>
      <c r="Q164" s="657"/>
      <c r="R164" s="493"/>
      <c r="T164" s="435"/>
      <c r="U164" s="435"/>
      <c r="V164" s="435"/>
      <c r="W164" s="435"/>
      <c r="AE164" s="507">
        <v>40430</v>
      </c>
      <c r="AF164" s="484"/>
      <c r="AG164" s="484"/>
      <c r="AH164" s="484">
        <v>5041495</v>
      </c>
    </row>
    <row r="165" spans="1:35" ht="16.5">
      <c r="A165" s="491" t="s">
        <v>505</v>
      </c>
      <c r="B165" s="654" t="s">
        <v>280</v>
      </c>
      <c r="C165" s="654" t="s">
        <v>1318</v>
      </c>
      <c r="D165" s="652"/>
      <c r="E165" s="657"/>
      <c r="F165" s="657"/>
      <c r="G165" s="657"/>
      <c r="H165" s="650"/>
      <c r="I165" s="652">
        <v>40611</v>
      </c>
      <c r="J165" s="657"/>
      <c r="K165" s="657"/>
      <c r="L165" s="657">
        <v>4931898</v>
      </c>
      <c r="M165" s="657">
        <v>0</v>
      </c>
      <c r="N165" s="657">
        <f t="shared" si="22"/>
        <v>4931898</v>
      </c>
      <c r="O165" s="650" t="s">
        <v>491</v>
      </c>
      <c r="P165" s="657"/>
      <c r="Q165" s="614"/>
      <c r="R165" s="494"/>
      <c r="T165" s="435"/>
      <c r="U165" s="435"/>
      <c r="V165" s="435"/>
      <c r="W165" s="435"/>
      <c r="AE165" s="652">
        <v>40521</v>
      </c>
      <c r="AF165" s="657"/>
      <c r="AG165" s="657"/>
      <c r="AH165" s="657">
        <v>4986697</v>
      </c>
    </row>
    <row r="166" spans="1:35" ht="16.5">
      <c r="A166" s="491" t="s">
        <v>505</v>
      </c>
      <c r="B166" s="654" t="s">
        <v>280</v>
      </c>
      <c r="C166" s="654" t="s">
        <v>1318</v>
      </c>
      <c r="D166" s="652"/>
      <c r="E166" s="657"/>
      <c r="F166" s="657"/>
      <c r="G166" s="657"/>
      <c r="H166" s="650"/>
      <c r="I166" s="652">
        <v>40703</v>
      </c>
      <c r="J166" s="657"/>
      <c r="K166" s="657"/>
      <c r="L166" s="657">
        <v>5041495</v>
      </c>
      <c r="M166" s="657"/>
      <c r="N166" s="657">
        <f t="shared" si="22"/>
        <v>5041495</v>
      </c>
      <c r="O166" s="650" t="s">
        <v>491</v>
      </c>
      <c r="P166" s="657"/>
      <c r="Q166" s="644"/>
      <c r="R166" s="392"/>
      <c r="T166" s="435"/>
      <c r="U166" s="435"/>
      <c r="V166" s="435"/>
      <c r="W166" s="435"/>
      <c r="AE166" s="652">
        <v>40611</v>
      </c>
      <c r="AF166" s="657"/>
      <c r="AG166" s="657"/>
      <c r="AH166" s="657">
        <v>4931898</v>
      </c>
    </row>
    <row r="167" spans="1:35" ht="16.5">
      <c r="A167" s="491" t="s">
        <v>505</v>
      </c>
      <c r="B167" s="654" t="s">
        <v>280</v>
      </c>
      <c r="C167" s="654" t="s">
        <v>1318</v>
      </c>
      <c r="D167" s="652"/>
      <c r="E167" s="657"/>
      <c r="F167" s="657"/>
      <c r="G167" s="657"/>
      <c r="H167" s="650"/>
      <c r="I167" s="652">
        <v>40795</v>
      </c>
      <c r="J167" s="657"/>
      <c r="K167" s="657"/>
      <c r="L167" s="657">
        <v>5041495</v>
      </c>
      <c r="M167" s="657"/>
      <c r="N167" s="657">
        <f t="shared" si="22"/>
        <v>5041495</v>
      </c>
      <c r="O167" s="650" t="s">
        <v>491</v>
      </c>
      <c r="P167" s="657"/>
      <c r="Q167" s="644"/>
      <c r="R167" s="392"/>
      <c r="T167" s="435"/>
      <c r="U167" s="435"/>
      <c r="V167" s="435"/>
      <c r="W167" s="435"/>
      <c r="AE167" s="652">
        <v>40703</v>
      </c>
      <c r="AF167" s="657"/>
      <c r="AG167" s="657"/>
      <c r="AH167" s="657">
        <v>5041495</v>
      </c>
    </row>
    <row r="168" spans="1:35" ht="16.5">
      <c r="A168" s="491" t="s">
        <v>505</v>
      </c>
      <c r="B168" s="654" t="s">
        <v>280</v>
      </c>
      <c r="C168" s="654" t="s">
        <v>1318</v>
      </c>
      <c r="D168" s="652"/>
      <c r="E168" s="657"/>
      <c r="F168" s="657"/>
      <c r="G168" s="657"/>
      <c r="H168" s="650"/>
      <c r="I168" s="652">
        <v>40886</v>
      </c>
      <c r="J168" s="657"/>
      <c r="K168" s="657"/>
      <c r="L168" s="657">
        <v>4986697</v>
      </c>
      <c r="M168" s="657"/>
      <c r="N168" s="657">
        <f t="shared" si="22"/>
        <v>4986697</v>
      </c>
      <c r="O168" s="650" t="s">
        <v>491</v>
      </c>
      <c r="P168" s="657"/>
      <c r="Q168" s="644"/>
      <c r="R168" s="392"/>
      <c r="T168" s="435"/>
      <c r="U168" s="435"/>
      <c r="V168" s="435"/>
      <c r="W168" s="435"/>
      <c r="AE168" s="652">
        <v>40795</v>
      </c>
      <c r="AF168" s="657"/>
      <c r="AG168" s="657"/>
      <c r="AH168" s="657">
        <v>5041495</v>
      </c>
    </row>
    <row r="169" spans="1:35" ht="16.5">
      <c r="A169" s="491" t="s">
        <v>505</v>
      </c>
      <c r="B169" s="654" t="s">
        <v>280</v>
      </c>
      <c r="C169" s="654" t="s">
        <v>1318</v>
      </c>
      <c r="D169" s="652"/>
      <c r="E169" s="657"/>
      <c r="F169" s="657"/>
      <c r="G169" s="657"/>
      <c r="H169" s="650"/>
      <c r="I169" s="652">
        <v>40977</v>
      </c>
      <c r="J169" s="657"/>
      <c r="K169" s="657"/>
      <c r="L169" s="657">
        <v>4986697</v>
      </c>
      <c r="M169" s="657"/>
      <c r="N169" s="657">
        <f t="shared" si="22"/>
        <v>4986697</v>
      </c>
      <c r="O169" s="650" t="s">
        <v>491</v>
      </c>
      <c r="P169" s="657"/>
      <c r="Q169" s="644"/>
      <c r="R169" s="392"/>
      <c r="T169" s="435"/>
      <c r="U169" s="435"/>
      <c r="V169" s="435"/>
      <c r="W169" s="435"/>
      <c r="AE169" s="652">
        <v>40886</v>
      </c>
      <c r="AF169" s="657"/>
      <c r="AG169" s="657"/>
      <c r="AH169" s="657">
        <v>4986697</v>
      </c>
    </row>
    <row r="170" spans="1:35" ht="16.5">
      <c r="A170" s="491" t="s">
        <v>505</v>
      </c>
      <c r="B170" s="654" t="s">
        <v>280</v>
      </c>
      <c r="C170" s="654" t="s">
        <v>1318</v>
      </c>
      <c r="D170" s="652"/>
      <c r="E170" s="657"/>
      <c r="F170" s="657"/>
      <c r="G170" s="657"/>
      <c r="H170" s="650"/>
      <c r="I170" s="652">
        <v>41071</v>
      </c>
      <c r="J170" s="657"/>
      <c r="K170" s="657"/>
      <c r="L170" s="657">
        <v>5151096</v>
      </c>
      <c r="M170" s="657"/>
      <c r="N170" s="657">
        <f t="shared" si="22"/>
        <v>5151096</v>
      </c>
      <c r="O170" s="650" t="s">
        <v>491</v>
      </c>
      <c r="P170" s="657"/>
      <c r="Q170" s="644"/>
      <c r="R170" s="392"/>
      <c r="T170" s="435"/>
      <c r="U170" s="435"/>
      <c r="V170" s="435"/>
      <c r="W170" s="435"/>
      <c r="AE170" s="652">
        <v>40977</v>
      </c>
      <c r="AF170" s="657"/>
      <c r="AG170" s="657"/>
      <c r="AH170" s="657">
        <v>4986697</v>
      </c>
      <c r="AI170" s="677"/>
    </row>
    <row r="171" spans="1:35" ht="16.5">
      <c r="A171" s="491" t="s">
        <v>505</v>
      </c>
      <c r="B171" s="654" t="s">
        <v>280</v>
      </c>
      <c r="C171" s="654" t="s">
        <v>1318</v>
      </c>
      <c r="D171" s="652"/>
      <c r="E171" s="657"/>
      <c r="F171" s="657"/>
      <c r="G171" s="657"/>
      <c r="H171" s="650"/>
      <c r="I171" s="652">
        <v>41162</v>
      </c>
      <c r="J171" s="657"/>
      <c r="K171" s="657"/>
      <c r="L171" s="657">
        <v>4986697</v>
      </c>
      <c r="M171" s="657"/>
      <c r="N171" s="657">
        <f t="shared" si="22"/>
        <v>4986697</v>
      </c>
      <c r="O171" s="650" t="s">
        <v>491</v>
      </c>
      <c r="P171" s="657"/>
      <c r="Q171" s="644"/>
      <c r="R171" s="392"/>
      <c r="T171" s="435"/>
      <c r="U171" s="435"/>
      <c r="V171" s="435"/>
      <c r="W171" s="435"/>
      <c r="AE171" s="652">
        <v>41071</v>
      </c>
      <c r="AF171" s="657"/>
      <c r="AG171" s="657"/>
      <c r="AH171" s="657">
        <v>5151096</v>
      </c>
      <c r="AI171" s="677"/>
    </row>
    <row r="172" spans="1:35" ht="16.5">
      <c r="A172" s="491" t="s">
        <v>505</v>
      </c>
      <c r="B172" s="654" t="s">
        <v>280</v>
      </c>
      <c r="C172" s="654" t="s">
        <v>1318</v>
      </c>
      <c r="D172" s="652"/>
      <c r="E172" s="657"/>
      <c r="F172" s="657"/>
      <c r="G172" s="657"/>
      <c r="H172" s="650"/>
      <c r="I172" s="652">
        <v>41253</v>
      </c>
      <c r="J172" s="657"/>
      <c r="K172" s="657"/>
      <c r="L172" s="657">
        <v>4986697</v>
      </c>
      <c r="M172" s="657"/>
      <c r="N172" s="657">
        <f t="shared" si="22"/>
        <v>4986697</v>
      </c>
      <c r="O172" s="650" t="s">
        <v>491</v>
      </c>
      <c r="P172" s="657"/>
      <c r="Q172" s="644"/>
      <c r="R172" s="392"/>
      <c r="T172" s="435"/>
      <c r="U172" s="435"/>
      <c r="V172" s="435"/>
      <c r="W172" s="435"/>
      <c r="X172" s="435"/>
      <c r="Y172" s="435"/>
      <c r="Z172" s="435"/>
      <c r="AA172" s="435"/>
      <c r="AB172" s="435"/>
      <c r="AE172" s="652">
        <v>41162</v>
      </c>
      <c r="AF172" s="657"/>
      <c r="AG172" s="657"/>
      <c r="AH172" s="657">
        <v>4986697</v>
      </c>
      <c r="AI172" s="677"/>
    </row>
    <row r="173" spans="1:35" ht="16.5">
      <c r="A173" s="491" t="s">
        <v>505</v>
      </c>
      <c r="B173" s="654" t="s">
        <v>280</v>
      </c>
      <c r="C173" s="654" t="s">
        <v>1318</v>
      </c>
      <c r="D173" s="652"/>
      <c r="E173" s="657"/>
      <c r="F173" s="657"/>
      <c r="G173" s="657"/>
      <c r="H173" s="650"/>
      <c r="I173" s="652">
        <v>41344</v>
      </c>
      <c r="J173" s="657"/>
      <c r="K173" s="657"/>
      <c r="L173" s="657">
        <v>4986697</v>
      </c>
      <c r="M173" s="657"/>
      <c r="N173" s="657">
        <f t="shared" si="22"/>
        <v>4986697</v>
      </c>
      <c r="O173" s="650" t="s">
        <v>491</v>
      </c>
      <c r="P173" s="657"/>
      <c r="Q173" s="648"/>
      <c r="R173" s="398"/>
      <c r="T173" s="435"/>
      <c r="U173" s="435"/>
      <c r="V173" s="435"/>
      <c r="W173" s="435"/>
      <c r="X173" s="435"/>
      <c r="Y173" s="435"/>
      <c r="Z173" s="435"/>
      <c r="AA173" s="435"/>
      <c r="AB173" s="435"/>
      <c r="AE173" s="652">
        <v>41253</v>
      </c>
      <c r="AF173" s="657"/>
      <c r="AG173" s="657"/>
      <c r="AH173" s="657">
        <v>4986697</v>
      </c>
      <c r="AI173" s="677"/>
    </row>
    <row r="174" spans="1:35" ht="16.5">
      <c r="A174" s="491" t="s">
        <v>505</v>
      </c>
      <c r="B174" s="654" t="s">
        <v>280</v>
      </c>
      <c r="C174" s="654" t="s">
        <v>1318</v>
      </c>
      <c r="D174" s="652"/>
      <c r="E174" s="657"/>
      <c r="F174" s="657"/>
      <c r="G174" s="657"/>
      <c r="H174" s="650"/>
      <c r="I174" s="652">
        <v>41435</v>
      </c>
      <c r="J174" s="657"/>
      <c r="K174" s="657"/>
      <c r="L174" s="657">
        <v>4986697</v>
      </c>
      <c r="M174" s="657"/>
      <c r="N174" s="657">
        <f t="shared" si="22"/>
        <v>4986697</v>
      </c>
      <c r="O174" s="650" t="s">
        <v>491</v>
      </c>
      <c r="P174" s="657"/>
      <c r="Q174" s="614"/>
      <c r="R174" s="494"/>
      <c r="T174" s="435"/>
      <c r="U174" s="435"/>
      <c r="V174" s="435"/>
      <c r="W174" s="435"/>
      <c r="X174" s="435"/>
      <c r="Y174" s="435"/>
      <c r="Z174" s="435"/>
      <c r="AA174" s="435"/>
      <c r="AB174" s="435"/>
      <c r="AE174" s="652">
        <v>41344</v>
      </c>
      <c r="AF174" s="657"/>
      <c r="AG174" s="657"/>
      <c r="AH174" s="657">
        <v>4986697</v>
      </c>
      <c r="AI174" s="677"/>
    </row>
    <row r="175" spans="1:35" ht="16.5">
      <c r="A175" s="491" t="s">
        <v>505</v>
      </c>
      <c r="B175" s="655" t="s">
        <v>280</v>
      </c>
      <c r="C175" s="655" t="s">
        <v>1318</v>
      </c>
      <c r="D175" s="651"/>
      <c r="E175" s="614"/>
      <c r="F175" s="614"/>
      <c r="G175" s="614"/>
      <c r="H175" s="613"/>
      <c r="I175" s="651">
        <v>41936</v>
      </c>
      <c r="J175" s="614"/>
      <c r="K175" s="614"/>
      <c r="L175" s="614">
        <v>3417040</v>
      </c>
      <c r="M175" s="614"/>
      <c r="N175" s="614">
        <f t="shared" si="22"/>
        <v>3417040</v>
      </c>
      <c r="O175" s="613" t="s">
        <v>1489</v>
      </c>
      <c r="P175" s="614"/>
      <c r="Q175" s="644"/>
      <c r="R175" s="392"/>
      <c r="T175" s="435"/>
      <c r="U175" s="435"/>
      <c r="V175" s="435"/>
      <c r="W175" s="435"/>
      <c r="X175" s="435"/>
      <c r="Y175" s="435"/>
      <c r="Z175" s="435"/>
      <c r="AA175" s="435"/>
      <c r="AB175" s="435"/>
      <c r="AE175" s="646"/>
      <c r="AF175" s="647"/>
      <c r="AG175" s="647"/>
      <c r="AH175" s="647"/>
      <c r="AI175" s="677"/>
    </row>
    <row r="176" spans="1:35" s="615" customFormat="1" ht="16.5">
      <c r="A176" s="472" t="s">
        <v>505</v>
      </c>
      <c r="B176" s="467" t="s">
        <v>502</v>
      </c>
      <c r="C176" s="467"/>
      <c r="D176" s="467"/>
      <c r="E176" s="467"/>
      <c r="F176" s="467"/>
      <c r="G176" s="498">
        <f>SUM(G88:G175)</f>
        <v>15164383973</v>
      </c>
      <c r="H176" s="468"/>
      <c r="I176" s="467"/>
      <c r="J176" s="498"/>
      <c r="K176" s="498"/>
      <c r="L176" s="498">
        <f t="shared" ref="L176:N176" si="23">SUM(L88:L175)</f>
        <v>18580396158</v>
      </c>
      <c r="M176" s="498">
        <f t="shared" si="23"/>
        <v>13864273973</v>
      </c>
      <c r="N176" s="498">
        <f t="shared" si="23"/>
        <v>4716122185</v>
      </c>
      <c r="O176" s="498">
        <f>SUM(O88:O175)</f>
        <v>0</v>
      </c>
      <c r="P176" s="498">
        <f>SUM(P88:P175)</f>
        <v>1300110000</v>
      </c>
      <c r="Q176" s="498"/>
      <c r="R176" s="478"/>
      <c r="T176" s="574"/>
      <c r="U176" s="574"/>
      <c r="V176" s="574"/>
      <c r="W176" s="574"/>
      <c r="X176" s="574"/>
      <c r="Y176" s="574"/>
      <c r="Z176" s="574"/>
      <c r="AA176" s="574"/>
      <c r="AB176" s="574"/>
      <c r="AE176" s="651">
        <v>41435</v>
      </c>
      <c r="AF176" s="614"/>
      <c r="AG176" s="614"/>
      <c r="AH176" s="614">
        <v>4986697</v>
      </c>
      <c r="AI176" s="680"/>
    </row>
    <row r="177" spans="1:35" ht="16.5">
      <c r="A177" s="502" t="s">
        <v>1452</v>
      </c>
      <c r="B177" s="609" t="s">
        <v>1453</v>
      </c>
      <c r="C177" s="609" t="s">
        <v>1445</v>
      </c>
      <c r="D177" s="640">
        <v>39825</v>
      </c>
      <c r="E177" s="609"/>
      <c r="F177" s="609"/>
      <c r="G177" s="641">
        <v>5000000000</v>
      </c>
      <c r="H177" s="464" t="s">
        <v>1451</v>
      </c>
      <c r="I177" s="640">
        <v>40323</v>
      </c>
      <c r="J177" s="609"/>
      <c r="K177" s="609"/>
      <c r="L177" s="641">
        <v>6194434616</v>
      </c>
      <c r="M177" s="641">
        <v>5000000000</v>
      </c>
      <c r="N177" s="641">
        <f>+L177-M177</f>
        <v>1194434616</v>
      </c>
      <c r="O177" s="462"/>
      <c r="P177" s="641">
        <f>+G177-M177</f>
        <v>0</v>
      </c>
      <c r="Q177" s="609"/>
      <c r="R177" s="462"/>
      <c r="T177" s="640">
        <v>39825</v>
      </c>
      <c r="U177" s="609"/>
      <c r="V177" s="609"/>
      <c r="W177" s="641">
        <v>-5000000000</v>
      </c>
      <c r="X177" s="435"/>
      <c r="Y177" s="435"/>
      <c r="Z177" s="435"/>
      <c r="AA177" s="435"/>
      <c r="AB177" s="435"/>
      <c r="AE177" s="681">
        <v>41634</v>
      </c>
      <c r="AH177" s="611">
        <f>+-AH163</f>
        <v>500040000</v>
      </c>
      <c r="AI177" s="677">
        <f>+XIRR(AH163:AH177,AE163:AE177)</f>
        <v>3.4636577963829032E-2</v>
      </c>
    </row>
    <row r="178" spans="1:35">
      <c r="A178" s="491" t="s">
        <v>509</v>
      </c>
      <c r="B178" s="653" t="s">
        <v>280</v>
      </c>
      <c r="C178" s="653" t="s">
        <v>1312</v>
      </c>
      <c r="D178" s="645">
        <v>40052</v>
      </c>
      <c r="E178" s="644">
        <v>20000</v>
      </c>
      <c r="F178" s="644">
        <v>15000</v>
      </c>
      <c r="G178" s="644">
        <f>+E178*F178</f>
        <v>300000000</v>
      </c>
      <c r="H178" s="743" t="s">
        <v>1276</v>
      </c>
      <c r="I178" s="604"/>
      <c r="J178" s="644"/>
      <c r="K178" s="644"/>
      <c r="L178" s="644"/>
      <c r="M178" s="644"/>
      <c r="N178" s="644"/>
      <c r="O178" s="743"/>
      <c r="P178" s="644">
        <f>+G178-M178</f>
        <v>300000000</v>
      </c>
      <c r="Q178" s="609"/>
      <c r="R178" s="462"/>
      <c r="T178" s="645">
        <v>40294</v>
      </c>
      <c r="U178" s="644">
        <v>208333</v>
      </c>
      <c r="V178" s="644">
        <v>12000</v>
      </c>
      <c r="W178" s="644">
        <v>-2500000000</v>
      </c>
      <c r="X178" s="680"/>
      <c r="Y178" s="615"/>
      <c r="Z178" s="615"/>
      <c r="AA178" s="615"/>
      <c r="AB178" s="615"/>
      <c r="AI178" s="677"/>
    </row>
    <row r="179" spans="1:35" ht="16.5">
      <c r="A179" s="491" t="s">
        <v>1452</v>
      </c>
      <c r="B179" s="656" t="s">
        <v>1448</v>
      </c>
      <c r="C179" s="656" t="s">
        <v>1445</v>
      </c>
      <c r="D179" s="642">
        <v>40175</v>
      </c>
      <c r="E179" s="610"/>
      <c r="F179" s="610"/>
      <c r="G179" s="610">
        <v>2500000000</v>
      </c>
      <c r="H179" s="612" t="s">
        <v>1448</v>
      </c>
      <c r="I179" s="605">
        <v>40294</v>
      </c>
      <c r="J179" s="610"/>
      <c r="K179" s="610"/>
      <c r="L179" s="610">
        <v>2500000000</v>
      </c>
      <c r="M179" s="610">
        <v>2500000000</v>
      </c>
      <c r="N179" s="610">
        <f>+L179-M179</f>
        <v>0</v>
      </c>
      <c r="O179" s="612" t="s">
        <v>797</v>
      </c>
      <c r="P179" s="610"/>
      <c r="Q179" s="609"/>
      <c r="R179" s="462"/>
      <c r="T179" s="640">
        <v>40323</v>
      </c>
      <c r="U179" s="609"/>
      <c r="V179" s="609"/>
      <c r="W179" s="641">
        <v>6194434616</v>
      </c>
      <c r="X179" s="435"/>
      <c r="Y179" s="435"/>
      <c r="Z179" s="435"/>
      <c r="AA179" s="435"/>
      <c r="AB179" s="435"/>
      <c r="AI179" s="677"/>
    </row>
    <row r="180" spans="1:35" ht="16.5">
      <c r="A180" s="491" t="s">
        <v>1452</v>
      </c>
      <c r="B180" s="655" t="s">
        <v>1448</v>
      </c>
      <c r="C180" s="655" t="s">
        <v>1445</v>
      </c>
      <c r="D180" s="651"/>
      <c r="E180" s="614"/>
      <c r="F180" s="614"/>
      <c r="G180" s="614"/>
      <c r="H180" s="613"/>
      <c r="I180" s="606">
        <v>40653</v>
      </c>
      <c r="J180" s="614"/>
      <c r="K180" s="614"/>
      <c r="L180" s="614">
        <v>81506849</v>
      </c>
      <c r="M180" s="614">
        <v>0</v>
      </c>
      <c r="N180" s="614">
        <f>+L180-M180</f>
        <v>81506849</v>
      </c>
      <c r="O180" s="613" t="s">
        <v>792</v>
      </c>
      <c r="P180" s="614">
        <f>+G179-M179</f>
        <v>0</v>
      </c>
      <c r="Q180" s="609"/>
      <c r="R180" s="462"/>
      <c r="T180" s="604">
        <v>40297</v>
      </c>
      <c r="U180" s="644">
        <v>0</v>
      </c>
      <c r="V180" s="644" t="e">
        <v>#DIV/0!</v>
      </c>
      <c r="W180" s="644">
        <v>4540640593</v>
      </c>
      <c r="X180" s="682">
        <f>+XIRR(W177:W180,T177:T180)</f>
        <v>0.44751483798027047</v>
      </c>
      <c r="Y180" s="678">
        <v>40294</v>
      </c>
      <c r="Z180" s="644">
        <v>208333</v>
      </c>
      <c r="AA180" s="644">
        <v>12000</v>
      </c>
      <c r="AB180" s="644">
        <v>-2500000000</v>
      </c>
      <c r="AI180" s="677"/>
    </row>
    <row r="181" spans="1:35" ht="16.5">
      <c r="A181" s="491" t="s">
        <v>509</v>
      </c>
      <c r="B181" s="653" t="s">
        <v>280</v>
      </c>
      <c r="C181" s="653" t="s">
        <v>651</v>
      </c>
      <c r="D181" s="645">
        <v>40294</v>
      </c>
      <c r="E181" s="644">
        <v>208333</v>
      </c>
      <c r="F181" s="644">
        <v>12000</v>
      </c>
      <c r="G181" s="644">
        <v>2500000000</v>
      </c>
      <c r="H181" s="743" t="s">
        <v>1279</v>
      </c>
      <c r="I181" s="604">
        <v>40297</v>
      </c>
      <c r="J181" s="644">
        <f>+E181</f>
        <v>208333</v>
      </c>
      <c r="K181" s="644">
        <f>+L181/J181</f>
        <v>21795.10971857555</v>
      </c>
      <c r="L181" s="644">
        <v>4540640593</v>
      </c>
      <c r="M181" s="644">
        <v>2500000000</v>
      </c>
      <c r="N181" s="644">
        <f>+L181-M181</f>
        <v>2040640593</v>
      </c>
      <c r="O181" s="743" t="s">
        <v>352</v>
      </c>
      <c r="P181" s="644">
        <f>+G181-M181</f>
        <v>0</v>
      </c>
      <c r="Q181" s="609"/>
      <c r="R181" s="462"/>
      <c r="T181" s="435"/>
      <c r="U181" s="435"/>
      <c r="V181" s="435"/>
      <c r="W181" s="435"/>
      <c r="X181" s="435"/>
      <c r="Y181" s="435"/>
      <c r="Z181" s="435"/>
      <c r="AA181" s="435"/>
      <c r="AB181" s="435"/>
      <c r="AI181" s="677"/>
    </row>
    <row r="182" spans="1:35" ht="16.5">
      <c r="A182" s="491" t="s">
        <v>509</v>
      </c>
      <c r="B182" s="502" t="s">
        <v>280</v>
      </c>
      <c r="C182" s="502" t="s">
        <v>1318</v>
      </c>
      <c r="D182" s="507">
        <v>40325</v>
      </c>
      <c r="E182" s="484">
        <v>14445</v>
      </c>
      <c r="F182" s="484">
        <v>90000</v>
      </c>
      <c r="G182" s="484">
        <f>+E182*F182</f>
        <v>1300050000</v>
      </c>
      <c r="H182" s="485" t="s">
        <v>1319</v>
      </c>
      <c r="I182" s="721"/>
      <c r="J182" s="484"/>
      <c r="K182" s="484"/>
      <c r="L182" s="484"/>
      <c r="M182" s="484"/>
      <c r="N182" s="484"/>
      <c r="O182" s="485"/>
      <c r="P182" s="484">
        <f>+G182-M182</f>
        <v>1300050000</v>
      </c>
      <c r="Q182" s="609"/>
      <c r="R182" s="462"/>
      <c r="T182" s="642">
        <v>40175</v>
      </c>
      <c r="U182" s="610"/>
      <c r="V182" s="610"/>
      <c r="W182" s="610">
        <v>-2500000000</v>
      </c>
      <c r="X182" s="435"/>
      <c r="Y182" s="435"/>
      <c r="Z182" s="435"/>
      <c r="AA182" s="435"/>
      <c r="AB182" s="435"/>
    </row>
    <row r="183" spans="1:35" ht="16.5">
      <c r="A183" s="491" t="s">
        <v>509</v>
      </c>
      <c r="B183" s="653" t="s">
        <v>280</v>
      </c>
      <c r="C183" s="653" t="s">
        <v>1318</v>
      </c>
      <c r="D183" s="645">
        <v>41417</v>
      </c>
      <c r="E183" s="644">
        <v>115560</v>
      </c>
      <c r="F183" s="644"/>
      <c r="G183" s="644"/>
      <c r="H183" s="743" t="s">
        <v>1320</v>
      </c>
      <c r="I183" s="604"/>
      <c r="J183" s="644"/>
      <c r="K183" s="644"/>
      <c r="L183" s="644"/>
      <c r="M183" s="644"/>
      <c r="N183" s="644"/>
      <c r="O183" s="743"/>
      <c r="P183" s="644"/>
      <c r="Q183" s="609"/>
      <c r="R183" s="462"/>
      <c r="T183" s="605">
        <v>40294</v>
      </c>
      <c r="U183" s="610"/>
      <c r="V183" s="610"/>
      <c r="W183" s="610">
        <v>2500000000</v>
      </c>
      <c r="X183" s="435"/>
      <c r="Y183" s="435"/>
      <c r="Z183" s="435"/>
      <c r="AA183" s="435"/>
      <c r="AB183" s="435"/>
    </row>
    <row r="184" spans="1:35" ht="16.5">
      <c r="A184" s="491" t="s">
        <v>509</v>
      </c>
      <c r="B184" s="653" t="s">
        <v>280</v>
      </c>
      <c r="C184" s="653" t="s">
        <v>1318</v>
      </c>
      <c r="D184" s="645">
        <v>40325</v>
      </c>
      <c r="E184" s="644">
        <v>2500</v>
      </c>
      <c r="F184" s="644">
        <v>80000</v>
      </c>
      <c r="G184" s="644">
        <f>+E184*F184</f>
        <v>200000000</v>
      </c>
      <c r="H184" s="743" t="s">
        <v>1254</v>
      </c>
      <c r="I184" s="604"/>
      <c r="J184" s="644"/>
      <c r="K184" s="644"/>
      <c r="L184" s="644"/>
      <c r="M184" s="644"/>
      <c r="N184" s="644"/>
      <c r="O184" s="743"/>
      <c r="P184" s="644">
        <f>+G184-M184</f>
        <v>200000000</v>
      </c>
      <c r="Q184" s="609"/>
      <c r="R184" s="462"/>
      <c r="T184" s="606">
        <v>40653</v>
      </c>
      <c r="U184" s="614"/>
      <c r="V184" s="614"/>
      <c r="W184" s="614">
        <v>81506849</v>
      </c>
      <c r="X184" s="682">
        <f>+XIRR(W182:W184,T182:T184)</f>
        <v>9.4364842772483803E-2</v>
      </c>
      <c r="Y184" s="604">
        <v>40297</v>
      </c>
      <c r="Z184" s="644">
        <v>0</v>
      </c>
      <c r="AA184" s="644" t="e">
        <v>#DIV/0!</v>
      </c>
      <c r="AB184" s="644">
        <v>4540640593</v>
      </c>
    </row>
    <row r="185" spans="1:35" ht="16.5">
      <c r="A185" s="491" t="s">
        <v>509</v>
      </c>
      <c r="B185" s="656" t="s">
        <v>280</v>
      </c>
      <c r="C185" s="656" t="s">
        <v>1318</v>
      </c>
      <c r="D185" s="642">
        <v>40339</v>
      </c>
      <c r="E185" s="610"/>
      <c r="F185" s="610"/>
      <c r="G185" s="610">
        <v>1500030000</v>
      </c>
      <c r="H185" s="612" t="s">
        <v>1287</v>
      </c>
      <c r="I185" s="605">
        <v>40430</v>
      </c>
      <c r="J185" s="610"/>
      <c r="K185" s="610"/>
      <c r="L185" s="610">
        <v>15123586</v>
      </c>
      <c r="M185" s="610">
        <v>0</v>
      </c>
      <c r="N185" s="610">
        <f t="shared" ref="N185:N197" si="24">+L185-M185</f>
        <v>15123586</v>
      </c>
      <c r="O185" s="612" t="s">
        <v>491</v>
      </c>
      <c r="P185" s="610">
        <f>+SUM(G185:G191)-SUM(M185:M191)</f>
        <v>1500030000</v>
      </c>
      <c r="Q185" s="656"/>
      <c r="R185" s="492"/>
      <c r="T185" s="435"/>
      <c r="U185" s="435"/>
      <c r="V185" s="435"/>
      <c r="W185" s="435"/>
      <c r="X185" s="435"/>
      <c r="Y185" s="435"/>
      <c r="Z185" s="435"/>
      <c r="AA185" s="435"/>
      <c r="AB185" s="435"/>
    </row>
    <row r="186" spans="1:35" ht="16.5">
      <c r="A186" s="491" t="s">
        <v>509</v>
      </c>
      <c r="B186" s="654" t="s">
        <v>280</v>
      </c>
      <c r="C186" s="654" t="s">
        <v>1318</v>
      </c>
      <c r="D186" s="652">
        <v>41485</v>
      </c>
      <c r="E186" s="657">
        <v>150003</v>
      </c>
      <c r="F186" s="657">
        <v>10000</v>
      </c>
      <c r="G186" s="657"/>
      <c r="H186" s="650" t="s">
        <v>1321</v>
      </c>
      <c r="I186" s="627">
        <v>40521</v>
      </c>
      <c r="J186" s="657"/>
      <c r="K186" s="657"/>
      <c r="L186" s="657">
        <v>14959200</v>
      </c>
      <c r="M186" s="657">
        <v>0</v>
      </c>
      <c r="N186" s="657">
        <f t="shared" si="24"/>
        <v>14959200</v>
      </c>
      <c r="O186" s="650" t="s">
        <v>491</v>
      </c>
      <c r="P186" s="657"/>
      <c r="Q186" s="654"/>
      <c r="R186" s="493"/>
      <c r="T186" s="642">
        <v>40339</v>
      </c>
      <c r="U186" s="610"/>
      <c r="V186" s="610"/>
      <c r="W186" s="610">
        <v>-1500030000</v>
      </c>
      <c r="X186" s="435"/>
      <c r="Y186" s="435"/>
      <c r="Z186" s="435"/>
      <c r="AA186" s="435"/>
      <c r="AB186" s="435"/>
    </row>
    <row r="187" spans="1:35" ht="16.5">
      <c r="A187" s="491" t="s">
        <v>509</v>
      </c>
      <c r="B187" s="654" t="s">
        <v>280</v>
      </c>
      <c r="C187" s="654" t="s">
        <v>1318</v>
      </c>
      <c r="D187" s="652"/>
      <c r="E187" s="657"/>
      <c r="F187" s="657"/>
      <c r="G187" s="657"/>
      <c r="H187" s="650"/>
      <c r="I187" s="627">
        <v>40611</v>
      </c>
      <c r="J187" s="657"/>
      <c r="K187" s="657"/>
      <c r="L187" s="657">
        <v>14794813</v>
      </c>
      <c r="M187" s="657">
        <v>0</v>
      </c>
      <c r="N187" s="657">
        <f t="shared" si="24"/>
        <v>14794813</v>
      </c>
      <c r="O187" s="650" t="s">
        <v>491</v>
      </c>
      <c r="P187" s="657"/>
      <c r="Q187" s="654"/>
      <c r="R187" s="493"/>
      <c r="T187" s="605">
        <v>40430</v>
      </c>
      <c r="U187" s="610"/>
      <c r="V187" s="610"/>
      <c r="W187" s="610">
        <v>15123586</v>
      </c>
      <c r="X187" s="435"/>
      <c r="Y187" s="435"/>
      <c r="Z187" s="435"/>
      <c r="AA187" s="435"/>
      <c r="AB187" s="435"/>
    </row>
    <row r="188" spans="1:35" ht="16.5">
      <c r="A188" s="491" t="s">
        <v>509</v>
      </c>
      <c r="B188" s="654" t="s">
        <v>280</v>
      </c>
      <c r="C188" s="654" t="s">
        <v>1318</v>
      </c>
      <c r="D188" s="652"/>
      <c r="E188" s="657"/>
      <c r="F188" s="657"/>
      <c r="G188" s="657"/>
      <c r="H188" s="650"/>
      <c r="I188" s="627">
        <v>40703</v>
      </c>
      <c r="J188" s="657"/>
      <c r="K188" s="657"/>
      <c r="L188" s="657">
        <v>15123586</v>
      </c>
      <c r="M188" s="657"/>
      <c r="N188" s="657">
        <f t="shared" si="24"/>
        <v>15123586</v>
      </c>
      <c r="O188" s="650" t="s">
        <v>491</v>
      </c>
      <c r="P188" s="657"/>
      <c r="Q188" s="476"/>
      <c r="R188" s="307"/>
      <c r="T188" s="627">
        <v>40521</v>
      </c>
      <c r="U188" s="657"/>
      <c r="V188" s="657"/>
      <c r="W188" s="657">
        <v>14959200</v>
      </c>
      <c r="X188" s="435"/>
      <c r="Y188" s="435"/>
      <c r="Z188" s="435"/>
      <c r="AA188" s="435"/>
      <c r="AB188" s="435"/>
    </row>
    <row r="189" spans="1:35" ht="16.5">
      <c r="A189" s="491" t="s">
        <v>509</v>
      </c>
      <c r="B189" s="476" t="s">
        <v>280</v>
      </c>
      <c r="C189" s="476" t="s">
        <v>1318</v>
      </c>
      <c r="D189" s="646"/>
      <c r="E189" s="647"/>
      <c r="F189" s="647"/>
      <c r="G189" s="647"/>
      <c r="H189" s="742"/>
      <c r="I189" s="658">
        <v>40795</v>
      </c>
      <c r="J189" s="647"/>
      <c r="K189" s="647"/>
      <c r="L189" s="647">
        <v>15123586</v>
      </c>
      <c r="M189" s="647"/>
      <c r="N189" s="657">
        <f t="shared" si="24"/>
        <v>15123586</v>
      </c>
      <c r="O189" s="742" t="s">
        <v>491</v>
      </c>
      <c r="P189" s="647"/>
      <c r="Q189" s="655"/>
      <c r="R189" s="494"/>
      <c r="T189" s="627">
        <v>40611</v>
      </c>
      <c r="U189" s="657"/>
      <c r="V189" s="657"/>
      <c r="W189" s="657">
        <v>14794813</v>
      </c>
      <c r="X189" s="435"/>
    </row>
    <row r="190" spans="1:35" ht="16.5">
      <c r="A190" s="491" t="s">
        <v>509</v>
      </c>
      <c r="B190" s="654" t="s">
        <v>280</v>
      </c>
      <c r="C190" s="654" t="s">
        <v>1318</v>
      </c>
      <c r="D190" s="652"/>
      <c r="E190" s="657"/>
      <c r="F190" s="657"/>
      <c r="G190" s="657"/>
      <c r="H190" s="650"/>
      <c r="I190" s="627">
        <v>40886</v>
      </c>
      <c r="J190" s="657"/>
      <c r="K190" s="657"/>
      <c r="L190" s="657">
        <v>14959200</v>
      </c>
      <c r="M190" s="657"/>
      <c r="N190" s="657">
        <f t="shared" si="24"/>
        <v>14959200</v>
      </c>
      <c r="O190" s="650" t="s">
        <v>491</v>
      </c>
      <c r="P190" s="657"/>
      <c r="Q190" s="653"/>
      <c r="R190" s="392"/>
      <c r="T190" s="627">
        <v>40703</v>
      </c>
      <c r="U190" s="657"/>
      <c r="V190" s="657"/>
      <c r="W190" s="657">
        <v>15123586</v>
      </c>
      <c r="X190" s="435"/>
    </row>
    <row r="191" spans="1:35" ht="16.5">
      <c r="A191" s="491" t="s">
        <v>509</v>
      </c>
      <c r="B191" s="476" t="s">
        <v>280</v>
      </c>
      <c r="C191" s="476" t="s">
        <v>1318</v>
      </c>
      <c r="D191" s="646"/>
      <c r="E191" s="647"/>
      <c r="F191" s="647"/>
      <c r="G191" s="647"/>
      <c r="H191" s="742"/>
      <c r="I191" s="658">
        <v>40977</v>
      </c>
      <c r="J191" s="647"/>
      <c r="K191" s="647"/>
      <c r="L191" s="647">
        <v>14959200</v>
      </c>
      <c r="M191" s="647">
        <v>0</v>
      </c>
      <c r="N191" s="657">
        <f t="shared" si="24"/>
        <v>14959200</v>
      </c>
      <c r="O191" s="742" t="s">
        <v>491</v>
      </c>
      <c r="P191" s="647"/>
      <c r="Q191" s="653"/>
      <c r="R191" s="392"/>
      <c r="T191" s="658">
        <v>40795</v>
      </c>
      <c r="U191" s="647"/>
      <c r="V191" s="647"/>
      <c r="W191" s="647">
        <v>15123586</v>
      </c>
      <c r="X191" s="435"/>
    </row>
    <row r="192" spans="1:35" ht="16.5">
      <c r="A192" s="491" t="s">
        <v>509</v>
      </c>
      <c r="B192" s="664" t="s">
        <v>280</v>
      </c>
      <c r="C192" s="664" t="s">
        <v>1318</v>
      </c>
      <c r="D192" s="668"/>
      <c r="E192" s="648"/>
      <c r="F192" s="648"/>
      <c r="G192" s="648"/>
      <c r="H192" s="744"/>
      <c r="I192" s="663">
        <v>41071</v>
      </c>
      <c r="J192" s="648"/>
      <c r="K192" s="648"/>
      <c r="L192" s="648">
        <v>15452362</v>
      </c>
      <c r="M192" s="648">
        <v>0</v>
      </c>
      <c r="N192" s="657">
        <f t="shared" si="24"/>
        <v>15452362</v>
      </c>
      <c r="O192" s="744" t="s">
        <v>491</v>
      </c>
      <c r="P192" s="648"/>
      <c r="Q192" s="653"/>
      <c r="R192" s="392"/>
      <c r="T192" s="627">
        <v>40886</v>
      </c>
      <c r="U192" s="657"/>
      <c r="V192" s="657"/>
      <c r="W192" s="657">
        <v>14959200</v>
      </c>
      <c r="X192" s="435"/>
    </row>
    <row r="193" spans="1:36" ht="16.5">
      <c r="A193" s="491" t="s">
        <v>509</v>
      </c>
      <c r="B193" s="654" t="s">
        <v>280</v>
      </c>
      <c r="C193" s="654" t="s">
        <v>1318</v>
      </c>
      <c r="D193" s="652"/>
      <c r="E193" s="657"/>
      <c r="F193" s="657"/>
      <c r="G193" s="657"/>
      <c r="H193" s="650"/>
      <c r="I193" s="627">
        <v>41162</v>
      </c>
      <c r="J193" s="657"/>
      <c r="K193" s="657"/>
      <c r="L193" s="657">
        <v>14959200</v>
      </c>
      <c r="M193" s="657">
        <v>0</v>
      </c>
      <c r="N193" s="657">
        <f t="shared" si="24"/>
        <v>14959200</v>
      </c>
      <c r="O193" s="650" t="s">
        <v>491</v>
      </c>
      <c r="P193" s="657"/>
      <c r="Q193" s="653"/>
      <c r="R193" s="392"/>
      <c r="T193" s="658">
        <v>40977</v>
      </c>
      <c r="U193" s="647"/>
      <c r="V193" s="647"/>
      <c r="W193" s="647">
        <v>14959200</v>
      </c>
      <c r="X193" s="435"/>
    </row>
    <row r="194" spans="1:36" ht="16.5">
      <c r="A194" s="491" t="s">
        <v>509</v>
      </c>
      <c r="B194" s="654" t="s">
        <v>280</v>
      </c>
      <c r="C194" s="654" t="s">
        <v>1318</v>
      </c>
      <c r="D194" s="652"/>
      <c r="E194" s="657"/>
      <c r="F194" s="657"/>
      <c r="G194" s="657"/>
      <c r="H194" s="650"/>
      <c r="I194" s="627">
        <v>41253</v>
      </c>
      <c r="J194" s="657"/>
      <c r="K194" s="657"/>
      <c r="L194" s="657">
        <v>14959200</v>
      </c>
      <c r="M194" s="657"/>
      <c r="N194" s="657">
        <f t="shared" si="24"/>
        <v>14959200</v>
      </c>
      <c r="O194" s="650" t="s">
        <v>491</v>
      </c>
      <c r="P194" s="657"/>
      <c r="Q194" s="664"/>
      <c r="R194" s="392"/>
      <c r="T194" s="663">
        <v>41071</v>
      </c>
      <c r="U194" s="648"/>
      <c r="V194" s="648"/>
      <c r="W194" s="648">
        <v>15452362</v>
      </c>
      <c r="X194" s="435"/>
    </row>
    <row r="195" spans="1:36" ht="16.5">
      <c r="A195" s="491" t="s">
        <v>509</v>
      </c>
      <c r="B195" s="654" t="s">
        <v>280</v>
      </c>
      <c r="C195" s="654" t="s">
        <v>1318</v>
      </c>
      <c r="D195" s="652"/>
      <c r="E195" s="657"/>
      <c r="F195" s="657"/>
      <c r="G195" s="657"/>
      <c r="H195" s="650"/>
      <c r="I195" s="627">
        <v>41344</v>
      </c>
      <c r="J195" s="657"/>
      <c r="K195" s="657"/>
      <c r="L195" s="657">
        <v>14959200</v>
      </c>
      <c r="M195" s="657"/>
      <c r="N195" s="657">
        <f t="shared" si="24"/>
        <v>14959200</v>
      </c>
      <c r="O195" s="650" t="s">
        <v>491</v>
      </c>
      <c r="P195" s="657"/>
      <c r="Q195" s="654"/>
      <c r="R195" s="392"/>
      <c r="T195" s="627">
        <v>41162</v>
      </c>
      <c r="U195" s="657"/>
      <c r="V195" s="657"/>
      <c r="W195" s="657">
        <v>14959200</v>
      </c>
      <c r="X195" s="435"/>
    </row>
    <row r="196" spans="1:36" ht="16.5">
      <c r="A196" s="491" t="s">
        <v>509</v>
      </c>
      <c r="B196" s="654" t="s">
        <v>280</v>
      </c>
      <c r="C196" s="654" t="s">
        <v>1318</v>
      </c>
      <c r="D196" s="652"/>
      <c r="E196" s="657"/>
      <c r="F196" s="657"/>
      <c r="G196" s="657"/>
      <c r="H196" s="650"/>
      <c r="I196" s="627">
        <v>41435</v>
      </c>
      <c r="J196" s="657"/>
      <c r="K196" s="657"/>
      <c r="L196" s="657">
        <v>14959200</v>
      </c>
      <c r="M196" s="657"/>
      <c r="N196" s="657">
        <f t="shared" si="24"/>
        <v>14959200</v>
      </c>
      <c r="O196" s="650" t="s">
        <v>491</v>
      </c>
      <c r="P196" s="657"/>
      <c r="Q196" s="655"/>
      <c r="R196" s="392"/>
      <c r="T196" s="627">
        <v>41253</v>
      </c>
      <c r="U196" s="657"/>
      <c r="V196" s="657"/>
      <c r="W196" s="657">
        <v>14959200</v>
      </c>
      <c r="X196" s="435"/>
    </row>
    <row r="197" spans="1:36" ht="16.5">
      <c r="A197" s="491" t="s">
        <v>509</v>
      </c>
      <c r="B197" s="655" t="s">
        <v>280</v>
      </c>
      <c r="C197" s="655" t="s">
        <v>1318</v>
      </c>
      <c r="D197" s="651"/>
      <c r="E197" s="614"/>
      <c r="F197" s="614"/>
      <c r="G197" s="614"/>
      <c r="H197" s="613"/>
      <c r="I197" s="606">
        <v>41936</v>
      </c>
      <c r="J197" s="614"/>
      <c r="K197" s="614"/>
      <c r="L197" s="614">
        <v>10250530</v>
      </c>
      <c r="M197" s="614"/>
      <c r="N197" s="614">
        <f t="shared" si="24"/>
        <v>10250530</v>
      </c>
      <c r="O197" s="613" t="s">
        <v>1489</v>
      </c>
      <c r="P197" s="614"/>
      <c r="Q197" s="491"/>
      <c r="R197" s="741"/>
      <c r="T197" s="627"/>
      <c r="U197" s="657"/>
      <c r="V197" s="657"/>
      <c r="W197" s="657"/>
      <c r="X197" s="435"/>
    </row>
    <row r="198" spans="1:36" ht="16.5">
      <c r="A198" s="491" t="s">
        <v>509</v>
      </c>
      <c r="B198" s="656" t="s">
        <v>280</v>
      </c>
      <c r="C198" s="656" t="s">
        <v>517</v>
      </c>
      <c r="D198" s="642">
        <v>40724</v>
      </c>
      <c r="E198" s="610">
        <v>3467</v>
      </c>
      <c r="F198" s="610">
        <f>SUM(G198:G199)/E198</f>
        <v>2307500</v>
      </c>
      <c r="G198" s="610">
        <v>6680231206</v>
      </c>
      <c r="H198" s="612" t="s">
        <v>1329</v>
      </c>
      <c r="I198" s="605"/>
      <c r="J198" s="610"/>
      <c r="K198" s="610"/>
      <c r="L198" s="610"/>
      <c r="M198" s="610"/>
      <c r="N198" s="610"/>
      <c r="O198" s="612"/>
      <c r="P198" s="610">
        <f>+SUM(G198:G199)-SUM(M198:M199)</f>
        <v>8000102500</v>
      </c>
      <c r="Q198" s="656"/>
      <c r="R198" s="492"/>
      <c r="T198" s="627">
        <v>41344</v>
      </c>
      <c r="U198" s="657"/>
      <c r="V198" s="657"/>
      <c r="W198" s="657">
        <v>14959200</v>
      </c>
      <c r="X198" s="435"/>
      <c r="AE198" s="653" t="s">
        <v>517</v>
      </c>
      <c r="AF198" s="645">
        <v>40900</v>
      </c>
      <c r="AG198" s="644">
        <v>3467</v>
      </c>
      <c r="AH198" s="644">
        <f>AI198/AG198</f>
        <v>-2307500</v>
      </c>
      <c r="AI198" s="644">
        <v>-8000102500</v>
      </c>
    </row>
    <row r="199" spans="1:36" ht="16.5">
      <c r="A199" s="491" t="s">
        <v>509</v>
      </c>
      <c r="B199" s="655" t="s">
        <v>280</v>
      </c>
      <c r="C199" s="655" t="s">
        <v>517</v>
      </c>
      <c r="D199" s="651">
        <v>40900</v>
      </c>
      <c r="E199" s="614"/>
      <c r="F199" s="614"/>
      <c r="G199" s="614">
        <v>1319871294</v>
      </c>
      <c r="H199" s="613"/>
      <c r="I199" s="606"/>
      <c r="J199" s="614"/>
      <c r="K199" s="614"/>
      <c r="L199" s="614"/>
      <c r="M199" s="614"/>
      <c r="N199" s="614"/>
      <c r="O199" s="613"/>
      <c r="P199" s="614"/>
      <c r="Q199" s="655"/>
      <c r="R199" s="494"/>
      <c r="T199" s="658"/>
      <c r="U199" s="647"/>
      <c r="V199" s="647"/>
      <c r="W199" s="647"/>
      <c r="X199" s="435"/>
      <c r="AF199" s="681"/>
      <c r="AG199" s="611"/>
      <c r="AI199" s="611"/>
    </row>
    <row r="200" spans="1:36" ht="16.5">
      <c r="A200" s="491" t="s">
        <v>509</v>
      </c>
      <c r="B200" s="656" t="s">
        <v>280</v>
      </c>
      <c r="C200" s="656" t="s">
        <v>1330</v>
      </c>
      <c r="D200" s="642">
        <v>41369</v>
      </c>
      <c r="E200" s="610"/>
      <c r="F200" s="610"/>
      <c r="G200" s="610">
        <v>3000000000</v>
      </c>
      <c r="H200" s="612" t="s">
        <v>351</v>
      </c>
      <c r="I200" s="605">
        <v>41459</v>
      </c>
      <c r="J200" s="610"/>
      <c r="K200" s="610"/>
      <c r="L200" s="610">
        <v>60000000</v>
      </c>
      <c r="M200" s="610"/>
      <c r="N200" s="610">
        <f>+L200-M200</f>
        <v>60000000</v>
      </c>
      <c r="O200" s="612" t="s">
        <v>491</v>
      </c>
      <c r="P200" s="610">
        <f>G200-M200</f>
        <v>3000000000</v>
      </c>
      <c r="Q200" s="609"/>
      <c r="R200" s="462"/>
      <c r="T200" s="606">
        <v>41435</v>
      </c>
      <c r="U200" s="614"/>
      <c r="V200" s="614"/>
      <c r="W200" s="614">
        <v>14959200</v>
      </c>
      <c r="X200" s="682">
        <f>+XIRR(W186:W201,T186:T201)</f>
        <v>3.4636589884757998E-2</v>
      </c>
      <c r="AF200" s="681">
        <v>41634</v>
      </c>
      <c r="AI200" s="528">
        <f>+-AI198</f>
        <v>8000102500</v>
      </c>
      <c r="AJ200" s="677">
        <f>+XIRR(AI198:AI200,AF198:AF200)</f>
        <v>2.9802322387695314E-9</v>
      </c>
    </row>
    <row r="201" spans="1:36" ht="16.5">
      <c r="A201" s="491" t="s">
        <v>509</v>
      </c>
      <c r="B201" s="654" t="s">
        <v>280</v>
      </c>
      <c r="C201" s="654" t="s">
        <v>1330</v>
      </c>
      <c r="D201" s="652"/>
      <c r="E201" s="657"/>
      <c r="F201" s="657"/>
      <c r="G201" s="657"/>
      <c r="H201" s="650"/>
      <c r="I201" s="627">
        <v>41551</v>
      </c>
      <c r="J201" s="657"/>
      <c r="K201" s="657"/>
      <c r="L201" s="657">
        <v>60000000</v>
      </c>
      <c r="M201" s="657"/>
      <c r="N201" s="657">
        <f>+L201-M201</f>
        <v>60000000</v>
      </c>
      <c r="O201" s="650" t="s">
        <v>491</v>
      </c>
      <c r="P201" s="657"/>
      <c r="Q201" s="609"/>
      <c r="R201" s="462"/>
      <c r="T201" s="683">
        <v>41634</v>
      </c>
      <c r="U201" s="435"/>
      <c r="V201" s="435"/>
      <c r="W201" s="684">
        <f>+-W186</f>
        <v>1500030000</v>
      </c>
      <c r="X201" s="435"/>
      <c r="AE201" s="656" t="s">
        <v>1330</v>
      </c>
      <c r="AF201" s="642">
        <v>41369</v>
      </c>
      <c r="AG201" s="610"/>
      <c r="AH201" s="610"/>
      <c r="AI201" s="610">
        <v>-3000000000</v>
      </c>
    </row>
    <row r="202" spans="1:36" ht="16.5">
      <c r="A202" s="491" t="s">
        <v>509</v>
      </c>
      <c r="B202" s="654" t="s">
        <v>280</v>
      </c>
      <c r="C202" s="654" t="s">
        <v>1330</v>
      </c>
      <c r="D202" s="652"/>
      <c r="E202" s="657"/>
      <c r="F202" s="657"/>
      <c r="G202" s="657"/>
      <c r="H202" s="650"/>
      <c r="I202" s="627">
        <v>41643</v>
      </c>
      <c r="J202" s="657"/>
      <c r="K202" s="657"/>
      <c r="L202" s="657">
        <v>60000000</v>
      </c>
      <c r="M202" s="657"/>
      <c r="N202" s="657">
        <f t="shared" ref="N202:N206" si="25">+L202-M202</f>
        <v>60000000</v>
      </c>
      <c r="O202" s="650" t="s">
        <v>491</v>
      </c>
      <c r="P202" s="657"/>
      <c r="Q202" s="656"/>
      <c r="R202" s="492"/>
      <c r="T202" s="683"/>
      <c r="U202" s="435"/>
      <c r="V202" s="435"/>
      <c r="W202" s="684"/>
      <c r="X202" s="435"/>
      <c r="AF202" s="642"/>
      <c r="AG202" s="610"/>
      <c r="AH202" s="610"/>
      <c r="AI202" s="610"/>
    </row>
    <row r="203" spans="1:36" ht="16.5">
      <c r="A203" s="491" t="s">
        <v>509</v>
      </c>
      <c r="B203" s="654" t="s">
        <v>280</v>
      </c>
      <c r="C203" s="654" t="s">
        <v>1330</v>
      </c>
      <c r="D203" s="652"/>
      <c r="E203" s="657"/>
      <c r="F203" s="657"/>
      <c r="G203" s="657"/>
      <c r="H203" s="650"/>
      <c r="I203" s="627">
        <v>41733</v>
      </c>
      <c r="J203" s="657"/>
      <c r="K203" s="657"/>
      <c r="L203" s="657">
        <v>60000000</v>
      </c>
      <c r="M203" s="657"/>
      <c r="N203" s="657">
        <f t="shared" si="25"/>
        <v>60000000</v>
      </c>
      <c r="O203" s="650" t="s">
        <v>491</v>
      </c>
      <c r="P203" s="657"/>
      <c r="Q203" s="654"/>
      <c r="R203" s="493"/>
      <c r="T203" s="683"/>
      <c r="U203" s="435"/>
      <c r="V203" s="435"/>
      <c r="W203" s="684"/>
      <c r="X203" s="435"/>
      <c r="AF203" s="642"/>
      <c r="AG203" s="610"/>
      <c r="AH203" s="610"/>
      <c r="AI203" s="610"/>
    </row>
    <row r="204" spans="1:36" ht="16.5">
      <c r="A204" s="491" t="s">
        <v>509</v>
      </c>
      <c r="B204" s="654" t="s">
        <v>280</v>
      </c>
      <c r="C204" s="654" t="s">
        <v>1330</v>
      </c>
      <c r="D204" s="652"/>
      <c r="E204" s="657"/>
      <c r="F204" s="657"/>
      <c r="G204" s="657"/>
      <c r="H204" s="650"/>
      <c r="I204" s="627">
        <v>41824</v>
      </c>
      <c r="J204" s="657"/>
      <c r="K204" s="657"/>
      <c r="L204" s="657">
        <v>60000000</v>
      </c>
      <c r="M204" s="657"/>
      <c r="N204" s="657">
        <f t="shared" si="25"/>
        <v>60000000</v>
      </c>
      <c r="O204" s="650" t="s">
        <v>491</v>
      </c>
      <c r="P204" s="657"/>
      <c r="Q204" s="655"/>
      <c r="R204" s="494"/>
      <c r="T204" s="683"/>
      <c r="U204" s="435"/>
      <c r="V204" s="435"/>
      <c r="W204" s="684"/>
      <c r="X204" s="435"/>
      <c r="AF204" s="642"/>
      <c r="AG204" s="610"/>
      <c r="AH204" s="610"/>
      <c r="AI204" s="610"/>
    </row>
    <row r="205" spans="1:36" ht="16.5">
      <c r="A205" s="664" t="s">
        <v>509</v>
      </c>
      <c r="B205" s="654" t="s">
        <v>280</v>
      </c>
      <c r="C205" s="654" t="s">
        <v>1330</v>
      </c>
      <c r="D205" s="652"/>
      <c r="E205" s="657"/>
      <c r="F205" s="657"/>
      <c r="G205" s="657"/>
      <c r="H205" s="650"/>
      <c r="I205" s="627">
        <v>41918</v>
      </c>
      <c r="J205" s="657"/>
      <c r="K205" s="657"/>
      <c r="L205" s="657">
        <v>60000000</v>
      </c>
      <c r="M205" s="657"/>
      <c r="N205" s="657">
        <f t="shared" si="25"/>
        <v>60000000</v>
      </c>
      <c r="O205" s="650" t="s">
        <v>1488</v>
      </c>
      <c r="P205" s="657"/>
      <c r="Q205" s="664"/>
      <c r="R205" s="392"/>
      <c r="T205" s="683"/>
      <c r="U205" s="435"/>
      <c r="V205" s="435"/>
      <c r="W205" s="684"/>
      <c r="X205" s="435"/>
      <c r="AF205" s="642"/>
      <c r="AG205" s="610"/>
      <c r="AH205" s="610"/>
      <c r="AI205" s="610"/>
    </row>
    <row r="206" spans="1:36" ht="16.5">
      <c r="A206" s="654" t="s">
        <v>509</v>
      </c>
      <c r="B206" s="654" t="s">
        <v>280</v>
      </c>
      <c r="C206" s="654" t="s">
        <v>1330</v>
      </c>
      <c r="D206" s="652"/>
      <c r="E206" s="657"/>
      <c r="F206" s="657"/>
      <c r="G206" s="657"/>
      <c r="H206" s="650"/>
      <c r="I206" s="627">
        <v>42008</v>
      </c>
      <c r="J206" s="657"/>
      <c r="K206" s="657"/>
      <c r="L206" s="657">
        <v>60000000</v>
      </c>
      <c r="M206" s="657"/>
      <c r="N206" s="657">
        <f t="shared" si="25"/>
        <v>60000000</v>
      </c>
      <c r="O206" s="650"/>
      <c r="P206" s="657"/>
      <c r="Q206" s="654"/>
      <c r="R206" s="392"/>
      <c r="T206" s="683"/>
      <c r="U206" s="435"/>
      <c r="V206" s="435"/>
      <c r="W206" s="684"/>
      <c r="X206" s="435"/>
      <c r="AF206" s="642"/>
      <c r="AG206" s="610"/>
      <c r="AH206" s="610"/>
      <c r="AI206" s="610"/>
    </row>
    <row r="207" spans="1:36" ht="16.5">
      <c r="A207" s="654" t="s">
        <v>509</v>
      </c>
      <c r="B207" s="654" t="s">
        <v>280</v>
      </c>
      <c r="C207" s="654" t="s">
        <v>1330</v>
      </c>
      <c r="D207" s="652"/>
      <c r="E207" s="657"/>
      <c r="F207" s="657"/>
      <c r="G207" s="657"/>
      <c r="H207" s="650"/>
      <c r="I207" s="627"/>
      <c r="J207" s="657"/>
      <c r="K207" s="657"/>
      <c r="L207" s="657"/>
      <c r="M207" s="657"/>
      <c r="N207" s="657"/>
      <c r="O207" s="650"/>
      <c r="P207" s="657"/>
      <c r="Q207" s="654"/>
      <c r="R207" s="392"/>
      <c r="T207" s="683"/>
      <c r="U207" s="435"/>
      <c r="V207" s="435"/>
      <c r="W207" s="684"/>
      <c r="X207" s="435"/>
      <c r="AF207" s="642"/>
      <c r="AG207" s="610"/>
      <c r="AH207" s="610"/>
      <c r="AI207" s="610"/>
    </row>
    <row r="208" spans="1:36" ht="16.5">
      <c r="A208" s="655" t="s">
        <v>509</v>
      </c>
      <c r="B208" s="655" t="s">
        <v>280</v>
      </c>
      <c r="C208" s="655" t="s">
        <v>1330</v>
      </c>
      <c r="D208" s="651"/>
      <c r="E208" s="614"/>
      <c r="F208" s="614"/>
      <c r="G208" s="614"/>
      <c r="H208" s="613"/>
      <c r="I208" s="606"/>
      <c r="J208" s="614"/>
      <c r="K208" s="614"/>
      <c r="L208" s="614"/>
      <c r="M208" s="614"/>
      <c r="N208" s="614"/>
      <c r="O208" s="613"/>
      <c r="P208" s="614"/>
      <c r="Q208" s="655"/>
      <c r="R208" s="392"/>
      <c r="T208" s="683"/>
      <c r="U208" s="435"/>
      <c r="V208" s="435"/>
      <c r="W208" s="684"/>
      <c r="X208" s="435"/>
      <c r="AF208" s="642"/>
      <c r="AG208" s="610"/>
      <c r="AH208" s="610"/>
      <c r="AI208" s="610"/>
    </row>
    <row r="209" spans="1:36" s="615" customFormat="1" ht="16.5">
      <c r="A209" s="472" t="s">
        <v>509</v>
      </c>
      <c r="B209" s="467" t="s">
        <v>502</v>
      </c>
      <c r="C209" s="467"/>
      <c r="D209" s="315"/>
      <c r="E209" s="467"/>
      <c r="F209" s="467"/>
      <c r="G209" s="641">
        <f>SUM(G177:G205)</f>
        <v>24300182500</v>
      </c>
      <c r="H209" s="468"/>
      <c r="I209" s="467"/>
      <c r="J209" s="467"/>
      <c r="K209" s="467"/>
      <c r="L209" s="498">
        <f>SUM(L177:L206)</f>
        <v>13927164921</v>
      </c>
      <c r="M209" s="498">
        <f t="shared" ref="M209:N209" si="26">SUM(M177:M205)</f>
        <v>10000000000</v>
      </c>
      <c r="N209" s="498">
        <f t="shared" si="26"/>
        <v>3867164921</v>
      </c>
      <c r="O209" s="498">
        <f>SUM(O177:O200)</f>
        <v>0</v>
      </c>
      <c r="P209" s="498">
        <f>SUM(P177:P205)</f>
        <v>14300182500</v>
      </c>
      <c r="Q209" s="467"/>
      <c r="R209" s="478"/>
      <c r="T209" s="574"/>
      <c r="U209" s="574"/>
      <c r="V209" s="574"/>
      <c r="W209" s="574"/>
      <c r="X209" s="574"/>
      <c r="AF209" s="605">
        <v>41459</v>
      </c>
      <c r="AG209" s="610"/>
      <c r="AH209" s="610"/>
      <c r="AI209" s="610">
        <v>60000000</v>
      </c>
    </row>
    <row r="210" spans="1:36" ht="16.5">
      <c r="T210" s="574"/>
      <c r="U210" s="574"/>
      <c r="V210" s="574"/>
      <c r="W210" s="574"/>
      <c r="X210" s="574"/>
      <c r="AF210" s="606">
        <v>41551</v>
      </c>
      <c r="AG210" s="614"/>
      <c r="AH210" s="614"/>
      <c r="AI210" s="614">
        <v>60000000</v>
      </c>
    </row>
    <row r="211" spans="1:36">
      <c r="G211" s="611" t="e">
        <f>+G209+G176+G87+#REF!-SUM(G44:G46)-SUM(G139:G141)</f>
        <v>#REF!</v>
      </c>
      <c r="L211" s="611" t="e">
        <f>+L209+L176+L87+#REF!</f>
        <v>#REF!</v>
      </c>
      <c r="P211" s="316" t="e">
        <f>SUM(P209,P176,P87,#REF!)</f>
        <v>#REF!</v>
      </c>
      <c r="T211" s="615"/>
      <c r="U211" s="615"/>
      <c r="V211" s="615"/>
      <c r="W211" s="615"/>
      <c r="X211" s="680"/>
      <c r="AF211" s="681">
        <v>41634</v>
      </c>
      <c r="AI211" s="528">
        <f>+-AI201</f>
        <v>3000000000</v>
      </c>
      <c r="AJ211" s="677">
        <f>+XIRR(AI201:AI211,AF201:AF211)</f>
        <v>5.6607088446617132E-2</v>
      </c>
    </row>
    <row r="213" spans="1:36" ht="16.5">
      <c r="T213" s="574"/>
      <c r="U213" s="574"/>
      <c r="V213" s="574"/>
      <c r="W213" s="574"/>
      <c r="X213" s="574"/>
    </row>
    <row r="214" spans="1:36">
      <c r="C214" s="609" t="s">
        <v>808</v>
      </c>
      <c r="D214" s="640">
        <v>39882</v>
      </c>
      <c r="E214" s="641"/>
      <c r="F214" s="641"/>
      <c r="G214" s="641">
        <v>-2064273973</v>
      </c>
    </row>
    <row r="215" spans="1:36">
      <c r="D215" s="640">
        <v>40535</v>
      </c>
      <c r="E215" s="641"/>
      <c r="F215" s="641"/>
      <c r="G215" s="641">
        <v>2637919925</v>
      </c>
      <c r="H215" s="314">
        <f>+XIRR(G214:G215,D214:D215)</f>
        <v>0.14690089821815497</v>
      </c>
    </row>
    <row r="220" spans="1:36">
      <c r="I220" s="608" t="s">
        <v>623</v>
      </c>
      <c r="L220" s="608" t="s">
        <v>624</v>
      </c>
      <c r="M220" s="608" t="s">
        <v>647</v>
      </c>
    </row>
    <row r="221" spans="1:36">
      <c r="C221" s="656" t="s">
        <v>507</v>
      </c>
      <c r="D221" s="642">
        <v>39927</v>
      </c>
      <c r="E221" s="610"/>
      <c r="F221" s="610"/>
      <c r="G221" s="610">
        <v>-4000000000</v>
      </c>
      <c r="H221" s="609" t="s">
        <v>808</v>
      </c>
      <c r="I221" s="640">
        <v>39825</v>
      </c>
      <c r="J221" s="609"/>
      <c r="K221" s="609"/>
      <c r="L221" s="641">
        <v>-5000000000</v>
      </c>
    </row>
    <row r="222" spans="1:36">
      <c r="D222" s="642">
        <v>40018</v>
      </c>
      <c r="E222" s="610"/>
      <c r="F222" s="610"/>
      <c r="G222" s="610">
        <v>49863014</v>
      </c>
      <c r="I222" s="640">
        <v>40323</v>
      </c>
      <c r="J222" s="609"/>
      <c r="K222" s="609"/>
      <c r="L222" s="641">
        <v>6194434616</v>
      </c>
      <c r="M222" s="309"/>
      <c r="R222" s="608"/>
    </row>
    <row r="223" spans="1:36">
      <c r="D223" s="652">
        <v>40112</v>
      </c>
      <c r="E223" s="657"/>
      <c r="F223" s="657"/>
      <c r="G223" s="657">
        <v>50410959</v>
      </c>
      <c r="I223" s="645">
        <v>40294</v>
      </c>
      <c r="J223" s="644">
        <v>208333</v>
      </c>
      <c r="K223" s="644">
        <v>12000</v>
      </c>
      <c r="L223" s="644">
        <v>-2500000000</v>
      </c>
      <c r="R223" s="608"/>
    </row>
    <row r="224" spans="1:36">
      <c r="D224" s="652">
        <v>40203</v>
      </c>
      <c r="E224" s="657"/>
      <c r="F224" s="657"/>
      <c r="G224" s="657">
        <v>50410959</v>
      </c>
      <c r="I224" s="604">
        <v>40297</v>
      </c>
      <c r="J224" s="644"/>
      <c r="K224" s="644"/>
      <c r="L224" s="644">
        <v>4557045750</v>
      </c>
      <c r="M224" s="309">
        <f>+XIRR(L221:L224,I221:I224)</f>
        <v>0.44969676136970527</v>
      </c>
      <c r="R224" s="608"/>
    </row>
    <row r="225" spans="3:18">
      <c r="D225" s="651">
        <v>40227</v>
      </c>
      <c r="E225" s="614"/>
      <c r="F225" s="614"/>
      <c r="G225" s="614">
        <v>4293150684</v>
      </c>
      <c r="H225" s="314">
        <f>+XIRR(G221:G225,D221:D225)</f>
        <v>0.13856422305107116</v>
      </c>
      <c r="R225" s="608"/>
    </row>
    <row r="226" spans="3:18">
      <c r="C226" s="656" t="s">
        <v>507</v>
      </c>
      <c r="D226" s="642">
        <v>39927</v>
      </c>
      <c r="E226" s="656"/>
      <c r="F226" s="656"/>
      <c r="G226" s="610">
        <v>-2400000000</v>
      </c>
      <c r="R226" s="608"/>
    </row>
    <row r="227" spans="3:18">
      <c r="D227" s="642">
        <v>40018</v>
      </c>
      <c r="E227" s="656"/>
      <c r="F227" s="656"/>
      <c r="G227" s="610">
        <v>29917808</v>
      </c>
      <c r="R227" s="608"/>
    </row>
    <row r="228" spans="3:18">
      <c r="D228" s="652">
        <v>40112</v>
      </c>
      <c r="E228" s="654"/>
      <c r="F228" s="654"/>
      <c r="G228" s="657">
        <v>30246575</v>
      </c>
      <c r="R228" s="608"/>
    </row>
    <row r="229" spans="3:18">
      <c r="D229" s="652">
        <v>40203</v>
      </c>
      <c r="E229" s="654"/>
      <c r="F229" s="654"/>
      <c r="G229" s="657">
        <v>30246575</v>
      </c>
      <c r="R229" s="608"/>
    </row>
    <row r="230" spans="3:18">
      <c r="D230" s="651">
        <v>40227</v>
      </c>
      <c r="E230" s="655"/>
      <c r="F230" s="655"/>
      <c r="G230" s="614">
        <v>2566027398</v>
      </c>
      <c r="H230" s="314">
        <f>+XIRR(G226:G230,D226:D230)</f>
        <v>0.13337753415107728</v>
      </c>
      <c r="J230" s="310"/>
      <c r="K230" s="311"/>
      <c r="L230" s="311"/>
      <c r="M230" s="311"/>
      <c r="N230" s="311"/>
      <c r="O230" s="311"/>
      <c r="P230" s="311"/>
      <c r="R230" s="608"/>
    </row>
    <row r="231" spans="3:18">
      <c r="C231" s="656" t="s">
        <v>507</v>
      </c>
      <c r="D231" s="642">
        <v>39927</v>
      </c>
      <c r="E231" s="610"/>
      <c r="F231" s="610"/>
      <c r="G231" s="610">
        <v>-600000000</v>
      </c>
      <c r="J231" s="310"/>
      <c r="K231" s="311"/>
      <c r="L231" s="311"/>
      <c r="M231" s="311"/>
      <c r="N231" s="311"/>
      <c r="O231" s="311"/>
      <c r="P231" s="311"/>
      <c r="R231" s="608"/>
    </row>
    <row r="232" spans="3:18">
      <c r="D232" s="642">
        <v>40018</v>
      </c>
      <c r="E232" s="610"/>
      <c r="F232" s="610"/>
      <c r="G232" s="610">
        <v>7479452</v>
      </c>
      <c r="J232" s="310"/>
      <c r="K232" s="312"/>
      <c r="L232" s="312"/>
      <c r="M232" s="312"/>
      <c r="N232" s="312"/>
      <c r="O232" s="312"/>
      <c r="P232" s="312"/>
      <c r="R232" s="608"/>
    </row>
    <row r="233" spans="3:18">
      <c r="D233" s="652">
        <v>40112</v>
      </c>
      <c r="E233" s="657"/>
      <c r="F233" s="657"/>
      <c r="G233" s="657">
        <v>7561644</v>
      </c>
      <c r="J233" s="310"/>
      <c r="K233" s="311"/>
      <c r="L233" s="311"/>
      <c r="M233" s="313"/>
      <c r="N233" s="311"/>
      <c r="O233" s="311"/>
      <c r="P233" s="311"/>
      <c r="R233" s="608"/>
    </row>
    <row r="234" spans="3:18">
      <c r="D234" s="652">
        <v>40203</v>
      </c>
      <c r="E234" s="657"/>
      <c r="F234" s="657"/>
      <c r="G234" s="657">
        <v>7561644</v>
      </c>
      <c r="J234" s="611"/>
      <c r="K234" s="363"/>
      <c r="L234" s="363"/>
      <c r="M234" s="363"/>
      <c r="N234" s="363"/>
      <c r="O234" s="363"/>
      <c r="P234" s="363"/>
      <c r="R234" s="608"/>
    </row>
    <row r="235" spans="3:18" ht="16.5">
      <c r="D235" s="651">
        <v>40227</v>
      </c>
      <c r="E235" s="614"/>
      <c r="F235" s="614"/>
      <c r="G235" s="614">
        <v>641506849</v>
      </c>
      <c r="H235" s="314">
        <f>+XIRR(G231:G235,D231:D235)</f>
        <v>0.13337753415107728</v>
      </c>
      <c r="J235" s="611"/>
      <c r="K235" s="574"/>
      <c r="L235" s="574"/>
      <c r="M235" s="574"/>
      <c r="N235" s="574"/>
    </row>
    <row r="236" spans="3:18">
      <c r="C236" s="656" t="s">
        <v>507</v>
      </c>
      <c r="D236" s="642">
        <v>39927</v>
      </c>
      <c r="E236" s="656"/>
      <c r="F236" s="656"/>
      <c r="G236" s="610">
        <v>-2000000000</v>
      </c>
      <c r="J236" s="611"/>
      <c r="K236" s="364" t="s">
        <v>832</v>
      </c>
      <c r="L236" s="366" t="s">
        <v>828</v>
      </c>
      <c r="M236" s="368" t="s">
        <v>829</v>
      </c>
      <c r="N236" s="368"/>
      <c r="O236" s="368"/>
      <c r="P236" s="383" t="s">
        <v>830</v>
      </c>
      <c r="Q236" s="365" t="s">
        <v>831</v>
      </c>
      <c r="R236" s="608"/>
    </row>
    <row r="237" spans="3:18" ht="16.5">
      <c r="D237" s="642">
        <v>40018</v>
      </c>
      <c r="E237" s="610"/>
      <c r="F237" s="610"/>
      <c r="G237" s="610">
        <v>24931507</v>
      </c>
      <c r="J237" s="611"/>
      <c r="K237" s="574"/>
      <c r="L237" s="394" t="s">
        <v>833</v>
      </c>
      <c r="M237" s="642">
        <v>39583</v>
      </c>
      <c r="N237" s="656"/>
      <c r="O237" s="656"/>
      <c r="P237" s="610">
        <v>-2000000000</v>
      </c>
      <c r="Q237" s="915" t="s">
        <v>834</v>
      </c>
      <c r="R237" s="608"/>
    </row>
    <row r="238" spans="3:18" ht="16.5">
      <c r="D238" s="652">
        <v>40112</v>
      </c>
      <c r="E238" s="657"/>
      <c r="F238" s="657"/>
      <c r="G238" s="657">
        <v>25205479</v>
      </c>
      <c r="J238" s="611"/>
      <c r="K238" s="574"/>
      <c r="L238" s="394"/>
      <c r="M238" s="642">
        <v>39708</v>
      </c>
      <c r="N238" s="610"/>
      <c r="O238" s="610"/>
      <c r="P238" s="610">
        <v>1128253425</v>
      </c>
      <c r="Q238" s="916"/>
      <c r="R238" s="608"/>
    </row>
    <row r="239" spans="3:18" ht="16.5">
      <c r="D239" s="652">
        <v>40203</v>
      </c>
      <c r="E239" s="657"/>
      <c r="F239" s="657"/>
      <c r="G239" s="657">
        <v>25205479</v>
      </c>
      <c r="J239" s="611"/>
      <c r="K239" s="574"/>
      <c r="L239" s="394"/>
      <c r="M239" s="651">
        <v>40338</v>
      </c>
      <c r="N239" s="614"/>
      <c r="O239" s="614"/>
      <c r="P239" s="614">
        <v>976058516</v>
      </c>
      <c r="Q239" s="916"/>
      <c r="R239" s="608"/>
    </row>
    <row r="240" spans="3:18">
      <c r="D240" s="651">
        <v>40227</v>
      </c>
      <c r="E240" s="614"/>
      <c r="F240" s="614"/>
      <c r="G240" s="614">
        <v>2138356165</v>
      </c>
      <c r="H240" s="314">
        <f>+XIRR(G221:G240,D221:D240)</f>
        <v>0.13568221926689147</v>
      </c>
      <c r="I240" s="314">
        <f>+XIRR(G236:G240,D236:D240)</f>
        <v>0.13337753415107728</v>
      </c>
      <c r="J240" s="611"/>
      <c r="K240" s="611"/>
      <c r="L240" s="394" t="s">
        <v>835</v>
      </c>
      <c r="M240" s="642">
        <v>39958</v>
      </c>
      <c r="N240" s="610">
        <v>-281250</v>
      </c>
      <c r="O240" s="610">
        <v>3200</v>
      </c>
      <c r="P240" s="610">
        <v>-900000000</v>
      </c>
      <c r="Q240" s="916"/>
      <c r="R240" s="608"/>
    </row>
    <row r="241" spans="2:18">
      <c r="J241" s="611"/>
      <c r="K241" s="611"/>
      <c r="L241" s="394"/>
      <c r="M241" s="605">
        <v>39968</v>
      </c>
      <c r="N241" s="610">
        <v>12840</v>
      </c>
      <c r="O241" s="610">
        <v>19375</v>
      </c>
      <c r="P241" s="610">
        <v>248775000</v>
      </c>
      <c r="Q241" s="916"/>
      <c r="R241" s="608"/>
    </row>
    <row r="242" spans="2:18">
      <c r="J242" s="611"/>
      <c r="K242" s="611"/>
      <c r="L242" s="394"/>
      <c r="M242" s="627">
        <v>39969</v>
      </c>
      <c r="N242" s="657">
        <v>12840</v>
      </c>
      <c r="O242" s="657">
        <v>18838.317757009347</v>
      </c>
      <c r="P242" s="657">
        <v>241884000</v>
      </c>
      <c r="Q242" s="916"/>
      <c r="R242" s="608"/>
    </row>
    <row r="243" spans="2:18">
      <c r="J243" s="611"/>
      <c r="K243" s="611"/>
      <c r="L243" s="394"/>
      <c r="M243" s="627">
        <v>39972</v>
      </c>
      <c r="N243" s="657">
        <v>6500</v>
      </c>
      <c r="O243" s="657">
        <v>18711.538461538461</v>
      </c>
      <c r="P243" s="657">
        <v>121625000</v>
      </c>
      <c r="Q243" s="916"/>
      <c r="R243" s="608"/>
    </row>
    <row r="244" spans="2:18">
      <c r="C244" s="653" t="s">
        <v>1339</v>
      </c>
      <c r="D244" s="645">
        <v>40294</v>
      </c>
      <c r="E244" s="644">
        <v>208333</v>
      </c>
      <c r="F244" s="644">
        <v>12000</v>
      </c>
      <c r="G244" s="644">
        <v>-2500000000</v>
      </c>
      <c r="J244" s="611"/>
      <c r="K244" s="611"/>
      <c r="L244" s="394"/>
      <c r="M244" s="627">
        <v>39973</v>
      </c>
      <c r="N244" s="657">
        <v>12840</v>
      </c>
      <c r="O244" s="657">
        <v>18163.940809968848</v>
      </c>
      <c r="P244" s="657">
        <v>233225000</v>
      </c>
      <c r="Q244" s="916"/>
      <c r="R244" s="608"/>
    </row>
    <row r="245" spans="2:18">
      <c r="D245" s="604">
        <v>40297</v>
      </c>
      <c r="E245" s="644"/>
      <c r="F245" s="644"/>
      <c r="G245" s="644">
        <v>4557045750</v>
      </c>
      <c r="H245" s="306" t="e">
        <f>+XIRR(G244:G245,D244:D245)</f>
        <v>#NUM!</v>
      </c>
      <c r="J245" s="611"/>
      <c r="K245" s="611"/>
      <c r="L245" s="394"/>
      <c r="M245" s="627">
        <v>39974</v>
      </c>
      <c r="N245" s="657">
        <v>14840</v>
      </c>
      <c r="O245" s="657">
        <v>18230.862533692722</v>
      </c>
      <c r="P245" s="657">
        <v>270546000</v>
      </c>
      <c r="Q245" s="916"/>
      <c r="R245" s="608"/>
    </row>
    <row r="246" spans="2:18">
      <c r="J246" s="611"/>
      <c r="K246" s="611"/>
      <c r="L246" s="394"/>
      <c r="M246" s="627">
        <v>39975</v>
      </c>
      <c r="N246" s="657">
        <v>12840</v>
      </c>
      <c r="O246" s="657">
        <v>18676.635514018693</v>
      </c>
      <c r="P246" s="657">
        <v>239808000</v>
      </c>
      <c r="Q246" s="916"/>
      <c r="R246" s="608"/>
    </row>
    <row r="247" spans="2:18">
      <c r="J247" s="611"/>
      <c r="K247" s="611"/>
      <c r="L247" s="394"/>
      <c r="M247" s="627">
        <v>39976</v>
      </c>
      <c r="N247" s="657">
        <v>12840</v>
      </c>
      <c r="O247" s="657">
        <v>18825</v>
      </c>
      <c r="P247" s="657">
        <v>241713000</v>
      </c>
      <c r="Q247" s="916"/>
      <c r="R247" s="608"/>
    </row>
    <row r="248" spans="2:18">
      <c r="J248" s="611"/>
      <c r="K248" s="611"/>
      <c r="L248" s="394"/>
      <c r="M248" s="627">
        <v>39979</v>
      </c>
      <c r="N248" s="657">
        <v>12840</v>
      </c>
      <c r="O248" s="657">
        <v>18343.224299065419</v>
      </c>
      <c r="P248" s="657">
        <v>235527000</v>
      </c>
      <c r="Q248" s="916"/>
      <c r="R248" s="608"/>
    </row>
    <row r="249" spans="2:18">
      <c r="B249" s="609" t="s">
        <v>1340</v>
      </c>
      <c r="C249" s="609" t="s">
        <v>1341</v>
      </c>
      <c r="D249" s="640">
        <v>39583</v>
      </c>
      <c r="E249" s="609"/>
      <c r="F249" s="609"/>
      <c r="G249" s="641">
        <v>-2000000000</v>
      </c>
      <c r="J249" s="611"/>
      <c r="K249" s="611"/>
      <c r="L249" s="394"/>
      <c r="M249" s="627">
        <v>39980</v>
      </c>
      <c r="N249" s="657">
        <v>12840</v>
      </c>
      <c r="O249" s="657">
        <v>18012.133956386293</v>
      </c>
      <c r="P249" s="657">
        <v>231275800</v>
      </c>
      <c r="Q249" s="916"/>
      <c r="R249" s="608"/>
    </row>
    <row r="250" spans="2:18">
      <c r="B250" s="609"/>
      <c r="C250" s="609"/>
      <c r="D250" s="640">
        <v>39708</v>
      </c>
      <c r="E250" s="641"/>
      <c r="F250" s="641"/>
      <c r="G250" s="641">
        <v>1128253425</v>
      </c>
      <c r="J250" s="611"/>
      <c r="K250" s="611"/>
      <c r="L250" s="394"/>
      <c r="M250" s="627">
        <v>39981</v>
      </c>
      <c r="N250" s="657">
        <v>6420</v>
      </c>
      <c r="O250" s="657">
        <v>17500</v>
      </c>
      <c r="P250" s="657">
        <v>112350000</v>
      </c>
      <c r="Q250" s="916"/>
      <c r="R250" s="608"/>
    </row>
    <row r="251" spans="2:18">
      <c r="D251" s="640">
        <v>40338</v>
      </c>
      <c r="E251" s="641"/>
      <c r="F251" s="641"/>
      <c r="G251" s="641">
        <v>976058516</v>
      </c>
      <c r="J251" s="611"/>
      <c r="K251" s="611"/>
      <c r="L251" s="394"/>
      <c r="M251" s="627">
        <v>39982</v>
      </c>
      <c r="N251" s="657">
        <v>12840</v>
      </c>
      <c r="O251" s="657">
        <v>18000</v>
      </c>
      <c r="P251" s="657">
        <v>231120000</v>
      </c>
      <c r="Q251" s="916"/>
      <c r="R251" s="608"/>
    </row>
    <row r="252" spans="2:18">
      <c r="C252" s="656" t="s">
        <v>1341</v>
      </c>
      <c r="D252" s="642">
        <v>39583</v>
      </c>
      <c r="E252" s="610"/>
      <c r="F252" s="610"/>
      <c r="G252" s="610">
        <v>-1000000000</v>
      </c>
      <c r="J252" s="611"/>
      <c r="K252" s="611"/>
      <c r="L252" s="394"/>
      <c r="M252" s="627">
        <v>39983</v>
      </c>
      <c r="N252" s="657">
        <v>12840</v>
      </c>
      <c r="O252" s="657">
        <v>17950</v>
      </c>
      <c r="P252" s="657">
        <v>230478000</v>
      </c>
      <c r="Q252" s="916"/>
      <c r="R252" s="608"/>
    </row>
    <row r="253" spans="2:18">
      <c r="D253" s="642">
        <v>39708</v>
      </c>
      <c r="E253" s="610">
        <v>0</v>
      </c>
      <c r="F253" s="610">
        <v>0</v>
      </c>
      <c r="G253" s="610">
        <v>512842466</v>
      </c>
      <c r="J253" s="611"/>
      <c r="K253" s="611"/>
      <c r="L253" s="394"/>
      <c r="M253" s="627">
        <v>39986</v>
      </c>
      <c r="N253" s="657">
        <v>12840</v>
      </c>
      <c r="O253" s="657">
        <v>17875</v>
      </c>
      <c r="P253" s="657">
        <v>229515000</v>
      </c>
      <c r="Q253" s="916"/>
      <c r="R253" s="608"/>
    </row>
    <row r="254" spans="2:18">
      <c r="D254" s="651">
        <v>40105</v>
      </c>
      <c r="E254" s="614">
        <v>0</v>
      </c>
      <c r="F254" s="614">
        <v>0</v>
      </c>
      <c r="G254" s="614">
        <v>554483224</v>
      </c>
      <c r="J254" s="611"/>
      <c r="K254" s="611"/>
      <c r="L254" s="394"/>
      <c r="M254" s="627">
        <v>39987</v>
      </c>
      <c r="N254" s="657">
        <v>6420</v>
      </c>
      <c r="O254" s="657">
        <v>17400</v>
      </c>
      <c r="P254" s="657">
        <v>111708000</v>
      </c>
      <c r="Q254" s="916"/>
      <c r="R254" s="608"/>
    </row>
    <row r="255" spans="2:18">
      <c r="C255" s="656" t="s">
        <v>1341</v>
      </c>
      <c r="D255" s="642">
        <v>39958</v>
      </c>
      <c r="E255" s="610">
        <v>281250</v>
      </c>
      <c r="F255" s="610">
        <v>3200</v>
      </c>
      <c r="G255" s="610">
        <f>-+E255*F255</f>
        <v>-900000000</v>
      </c>
      <c r="L255" s="394"/>
      <c r="M255" s="627">
        <v>39988</v>
      </c>
      <c r="N255" s="657">
        <v>12940</v>
      </c>
      <c r="O255" s="657">
        <v>16854.250386398762</v>
      </c>
      <c r="P255" s="657">
        <v>218094000</v>
      </c>
      <c r="Q255" s="916"/>
      <c r="R255" s="608"/>
    </row>
    <row r="256" spans="2:18">
      <c r="D256" s="605">
        <v>39968</v>
      </c>
      <c r="E256" s="610">
        <v>12840</v>
      </c>
      <c r="F256" s="610">
        <f>+G256/E256</f>
        <v>19375</v>
      </c>
      <c r="G256" s="610">
        <v>248775000</v>
      </c>
      <c r="L256" s="394"/>
      <c r="M256" s="627">
        <v>39989</v>
      </c>
      <c r="N256" s="657">
        <v>12840</v>
      </c>
      <c r="O256" s="657">
        <v>17000</v>
      </c>
      <c r="P256" s="657">
        <v>218280000</v>
      </c>
      <c r="Q256" s="916"/>
      <c r="R256" s="608"/>
    </row>
    <row r="257" spans="4:18">
      <c r="D257" s="627">
        <v>39969</v>
      </c>
      <c r="E257" s="657">
        <v>12840</v>
      </c>
      <c r="F257" s="657">
        <f t="shared" ref="F257:F278" si="27">+G257/E257</f>
        <v>18838.317757009347</v>
      </c>
      <c r="G257" s="657">
        <v>241884000</v>
      </c>
      <c r="L257" s="394"/>
      <c r="M257" s="627">
        <v>39990</v>
      </c>
      <c r="N257" s="657">
        <v>12840</v>
      </c>
      <c r="O257" s="657">
        <v>17350</v>
      </c>
      <c r="P257" s="657">
        <v>222774000</v>
      </c>
      <c r="Q257" s="916"/>
      <c r="R257" s="608"/>
    </row>
    <row r="258" spans="4:18">
      <c r="D258" s="627">
        <v>39972</v>
      </c>
      <c r="E258" s="657">
        <v>6500</v>
      </c>
      <c r="F258" s="657">
        <f t="shared" si="27"/>
        <v>18711.538461538461</v>
      </c>
      <c r="G258" s="657">
        <v>121625000</v>
      </c>
      <c r="L258" s="394"/>
      <c r="M258" s="627">
        <v>39993</v>
      </c>
      <c r="N258" s="657">
        <v>12840</v>
      </c>
      <c r="O258" s="657">
        <v>17147.270249221183</v>
      </c>
      <c r="P258" s="657">
        <v>220170950</v>
      </c>
      <c r="Q258" s="916"/>
      <c r="R258" s="608"/>
    </row>
    <row r="259" spans="4:18">
      <c r="D259" s="627">
        <v>39973</v>
      </c>
      <c r="E259" s="657">
        <v>12840</v>
      </c>
      <c r="F259" s="657">
        <f t="shared" si="27"/>
        <v>18163.940809968848</v>
      </c>
      <c r="G259" s="657">
        <v>233225000</v>
      </c>
      <c r="L259" s="394"/>
      <c r="M259" s="627">
        <v>39994</v>
      </c>
      <c r="N259" s="657">
        <v>12840</v>
      </c>
      <c r="O259" s="657">
        <v>16554.587227414329</v>
      </c>
      <c r="P259" s="657">
        <v>212560900</v>
      </c>
      <c r="Q259" s="916"/>
      <c r="R259" s="608"/>
    </row>
    <row r="260" spans="4:18">
      <c r="D260" s="627">
        <v>39974</v>
      </c>
      <c r="E260" s="657">
        <v>14840</v>
      </c>
      <c r="F260" s="657">
        <f t="shared" si="27"/>
        <v>18230.862533692722</v>
      </c>
      <c r="G260" s="657">
        <v>270546000</v>
      </c>
      <c r="L260" s="394"/>
      <c r="M260" s="627">
        <v>39995</v>
      </c>
      <c r="N260" s="657">
        <v>12840</v>
      </c>
      <c r="O260" s="657">
        <v>16860.91121495327</v>
      </c>
      <c r="P260" s="657">
        <v>216494100</v>
      </c>
      <c r="Q260" s="916"/>
      <c r="R260" s="608"/>
    </row>
    <row r="261" spans="4:18">
      <c r="D261" s="627">
        <v>39975</v>
      </c>
      <c r="E261" s="657">
        <v>12840</v>
      </c>
      <c r="F261" s="657">
        <f t="shared" si="27"/>
        <v>18676.635514018693</v>
      </c>
      <c r="G261" s="657">
        <v>239808000</v>
      </c>
      <c r="L261" s="394"/>
      <c r="M261" s="627">
        <v>39996</v>
      </c>
      <c r="N261" s="657">
        <v>6420</v>
      </c>
      <c r="O261" s="657">
        <v>16800</v>
      </c>
      <c r="P261" s="657">
        <v>107856000</v>
      </c>
      <c r="Q261" s="916"/>
      <c r="R261" s="608"/>
    </row>
    <row r="262" spans="4:18">
      <c r="D262" s="627">
        <v>39976</v>
      </c>
      <c r="E262" s="657">
        <v>12840</v>
      </c>
      <c r="F262" s="657">
        <f t="shared" si="27"/>
        <v>18825</v>
      </c>
      <c r="G262" s="657">
        <v>241713000</v>
      </c>
      <c r="L262" s="394"/>
      <c r="M262" s="627">
        <v>39997</v>
      </c>
      <c r="N262" s="657">
        <v>19260</v>
      </c>
      <c r="O262" s="657">
        <v>17025.828141225338</v>
      </c>
      <c r="P262" s="657">
        <v>327917450</v>
      </c>
      <c r="Q262" s="916"/>
      <c r="R262" s="608"/>
    </row>
    <row r="263" spans="4:18">
      <c r="D263" s="627">
        <v>39979</v>
      </c>
      <c r="E263" s="657">
        <v>12840</v>
      </c>
      <c r="F263" s="657">
        <f t="shared" si="27"/>
        <v>18343.224299065419</v>
      </c>
      <c r="G263" s="657">
        <v>235527000</v>
      </c>
      <c r="L263" s="394"/>
      <c r="M263" s="606">
        <v>40000</v>
      </c>
      <c r="N263" s="614">
        <v>15850</v>
      </c>
      <c r="O263" s="614">
        <v>18000</v>
      </c>
      <c r="P263" s="614">
        <v>285300000</v>
      </c>
      <c r="Q263" s="917"/>
      <c r="R263" s="363">
        <f>+XIRR(P237:P263,M237:M263)</f>
        <v>2.1447746038436892</v>
      </c>
    </row>
    <row r="264" spans="4:18">
      <c r="D264" s="627">
        <v>39980</v>
      </c>
      <c r="E264" s="657">
        <v>12840</v>
      </c>
      <c r="F264" s="657">
        <f t="shared" si="27"/>
        <v>18012.133956386293</v>
      </c>
      <c r="G264" s="657">
        <v>231275800</v>
      </c>
      <c r="L264" s="394" t="s">
        <v>833</v>
      </c>
      <c r="M264" s="642">
        <v>39583</v>
      </c>
      <c r="N264" s="610"/>
      <c r="O264" s="610"/>
      <c r="P264" s="610">
        <v>-1000000000</v>
      </c>
      <c r="Q264" s="914" t="s">
        <v>836</v>
      </c>
      <c r="R264" s="608"/>
    </row>
    <row r="265" spans="4:18">
      <c r="D265" s="627">
        <v>39981</v>
      </c>
      <c r="E265" s="657">
        <v>6420</v>
      </c>
      <c r="F265" s="657">
        <f t="shared" si="27"/>
        <v>17500</v>
      </c>
      <c r="G265" s="657">
        <v>112350000</v>
      </c>
      <c r="L265" s="394"/>
      <c r="M265" s="642">
        <v>39708</v>
      </c>
      <c r="N265" s="610">
        <v>0</v>
      </c>
      <c r="O265" s="610">
        <v>0</v>
      </c>
      <c r="P265" s="610">
        <v>512842466</v>
      </c>
      <c r="Q265" s="914"/>
      <c r="R265" s="608"/>
    </row>
    <row r="266" spans="4:18">
      <c r="D266" s="627">
        <v>39982</v>
      </c>
      <c r="E266" s="657">
        <v>12840</v>
      </c>
      <c r="F266" s="657">
        <f t="shared" si="27"/>
        <v>18000</v>
      </c>
      <c r="G266" s="657">
        <v>231120000</v>
      </c>
      <c r="L266" s="394"/>
      <c r="M266" s="651">
        <v>40105</v>
      </c>
      <c r="N266" s="614">
        <v>0</v>
      </c>
      <c r="O266" s="614">
        <v>0</v>
      </c>
      <c r="P266" s="614">
        <v>554483224</v>
      </c>
      <c r="Q266" s="914"/>
      <c r="R266" s="608"/>
    </row>
    <row r="267" spans="4:18">
      <c r="D267" s="627">
        <v>39983</v>
      </c>
      <c r="E267" s="657">
        <v>12840</v>
      </c>
      <c r="F267" s="657">
        <f t="shared" si="27"/>
        <v>17950</v>
      </c>
      <c r="G267" s="657">
        <v>230478000</v>
      </c>
      <c r="L267" s="394" t="s">
        <v>835</v>
      </c>
      <c r="M267" s="642">
        <v>39958</v>
      </c>
      <c r="N267" s="610">
        <v>-156250</v>
      </c>
      <c r="O267" s="610">
        <v>3200</v>
      </c>
      <c r="P267" s="610">
        <v>-500000000</v>
      </c>
      <c r="Q267" s="914"/>
      <c r="R267" s="608"/>
    </row>
    <row r="268" spans="4:18">
      <c r="D268" s="627">
        <v>39986</v>
      </c>
      <c r="E268" s="657">
        <v>12840</v>
      </c>
      <c r="F268" s="657">
        <f t="shared" si="27"/>
        <v>17875</v>
      </c>
      <c r="G268" s="657">
        <v>229515000</v>
      </c>
      <c r="L268" s="394"/>
      <c r="M268" s="628">
        <v>39968</v>
      </c>
      <c r="N268" s="612">
        <v>7160</v>
      </c>
      <c r="O268" s="612">
        <v>19358.247206703909</v>
      </c>
      <c r="P268" s="629">
        <v>138605050</v>
      </c>
      <c r="Q268" s="914"/>
      <c r="R268" s="608"/>
    </row>
    <row r="269" spans="4:18">
      <c r="D269" s="627">
        <v>39987</v>
      </c>
      <c r="E269" s="657">
        <v>6420</v>
      </c>
      <c r="F269" s="657">
        <f t="shared" si="27"/>
        <v>17400</v>
      </c>
      <c r="G269" s="657">
        <v>111708000</v>
      </c>
      <c r="L269" s="394"/>
      <c r="M269" s="630">
        <v>39969</v>
      </c>
      <c r="N269" s="650">
        <v>7160</v>
      </c>
      <c r="O269" s="650">
        <v>18825</v>
      </c>
      <c r="P269" s="631">
        <v>134787000</v>
      </c>
      <c r="Q269" s="914"/>
      <c r="R269" s="608"/>
    </row>
    <row r="270" spans="4:18">
      <c r="D270" s="627">
        <v>39988</v>
      </c>
      <c r="E270" s="657">
        <v>12940</v>
      </c>
      <c r="F270" s="657">
        <f t="shared" si="27"/>
        <v>16854.250386398762</v>
      </c>
      <c r="G270" s="657">
        <v>218094000</v>
      </c>
      <c r="H270" s="608"/>
      <c r="L270" s="394"/>
      <c r="M270" s="630">
        <v>39973</v>
      </c>
      <c r="N270" s="650">
        <v>9413</v>
      </c>
      <c r="O270" s="650">
        <v>18282.428556251991</v>
      </c>
      <c r="P270" s="631">
        <v>172092500</v>
      </c>
      <c r="Q270" s="914"/>
      <c r="R270" s="608"/>
    </row>
    <row r="271" spans="4:18">
      <c r="D271" s="627">
        <v>39989</v>
      </c>
      <c r="E271" s="657">
        <v>12840</v>
      </c>
      <c r="F271" s="657">
        <f t="shared" si="27"/>
        <v>17000</v>
      </c>
      <c r="G271" s="657">
        <v>218280000</v>
      </c>
      <c r="H271" s="608"/>
      <c r="L271" s="394"/>
      <c r="M271" s="630">
        <v>39974</v>
      </c>
      <c r="N271" s="650">
        <v>8160</v>
      </c>
      <c r="O271" s="650">
        <v>18265.349264705881</v>
      </c>
      <c r="P271" s="631">
        <v>149045250</v>
      </c>
      <c r="Q271" s="914"/>
      <c r="R271" s="608"/>
    </row>
    <row r="272" spans="4:18">
      <c r="D272" s="627">
        <v>39990</v>
      </c>
      <c r="E272" s="657">
        <v>12840</v>
      </c>
      <c r="F272" s="657">
        <f t="shared" si="27"/>
        <v>17350</v>
      </c>
      <c r="G272" s="657">
        <v>222774000</v>
      </c>
      <c r="H272" s="608"/>
      <c r="L272" s="394"/>
      <c r="M272" s="630">
        <v>39975</v>
      </c>
      <c r="N272" s="650">
        <v>7160</v>
      </c>
      <c r="O272" s="650">
        <v>18693.498603351956</v>
      </c>
      <c r="P272" s="631">
        <v>133845450</v>
      </c>
      <c r="Q272" s="914"/>
      <c r="R272" s="608"/>
    </row>
    <row r="273" spans="3:18">
      <c r="D273" s="627">
        <v>39993</v>
      </c>
      <c r="E273" s="657">
        <v>12840</v>
      </c>
      <c r="F273" s="657">
        <f t="shared" si="27"/>
        <v>17147.270249221183</v>
      </c>
      <c r="G273" s="657">
        <v>220170950</v>
      </c>
      <c r="H273" s="608"/>
      <c r="L273" s="394"/>
      <c r="M273" s="630">
        <v>39976</v>
      </c>
      <c r="N273" s="650">
        <v>7160</v>
      </c>
      <c r="O273" s="650">
        <v>18825</v>
      </c>
      <c r="P273" s="631">
        <v>134787000</v>
      </c>
      <c r="Q273" s="914"/>
      <c r="R273" s="608"/>
    </row>
    <row r="274" spans="3:18">
      <c r="D274" s="627">
        <v>39994</v>
      </c>
      <c r="E274" s="657">
        <v>12840</v>
      </c>
      <c r="F274" s="657">
        <f t="shared" si="27"/>
        <v>16554.587227414329</v>
      </c>
      <c r="G274" s="657">
        <v>212560900</v>
      </c>
      <c r="H274" s="608"/>
      <c r="L274" s="394"/>
      <c r="M274" s="630">
        <v>39979</v>
      </c>
      <c r="N274" s="391">
        <v>7160</v>
      </c>
      <c r="O274" s="650">
        <v>18323.324022346369</v>
      </c>
      <c r="P274" s="631">
        <v>131195000</v>
      </c>
      <c r="Q274" s="914"/>
      <c r="R274" s="608"/>
    </row>
    <row r="275" spans="3:18">
      <c r="D275" s="627">
        <v>39995</v>
      </c>
      <c r="E275" s="657">
        <v>12840</v>
      </c>
      <c r="F275" s="657">
        <f t="shared" si="27"/>
        <v>16860.91121495327</v>
      </c>
      <c r="G275" s="657">
        <v>216494100</v>
      </c>
      <c r="H275" s="608"/>
      <c r="L275" s="394"/>
      <c r="M275" s="630">
        <v>39980</v>
      </c>
      <c r="N275" s="650">
        <v>7660</v>
      </c>
      <c r="O275" s="650">
        <v>18009.791122715404</v>
      </c>
      <c r="P275" s="631">
        <v>137955000</v>
      </c>
      <c r="Q275" s="914"/>
      <c r="R275" s="608"/>
    </row>
    <row r="276" spans="3:18">
      <c r="D276" s="627">
        <v>39996</v>
      </c>
      <c r="E276" s="657">
        <v>6420</v>
      </c>
      <c r="F276" s="657">
        <f t="shared" si="27"/>
        <v>16800</v>
      </c>
      <c r="G276" s="657">
        <v>107856000</v>
      </c>
      <c r="H276" s="608"/>
      <c r="L276" s="394"/>
      <c r="M276" s="630">
        <v>39981</v>
      </c>
      <c r="N276" s="650">
        <v>3580</v>
      </c>
      <c r="O276" s="650">
        <v>17500</v>
      </c>
      <c r="P276" s="631">
        <v>62650000</v>
      </c>
      <c r="Q276" s="914"/>
      <c r="R276" s="608"/>
    </row>
    <row r="277" spans="3:18">
      <c r="D277" s="627">
        <v>39997</v>
      </c>
      <c r="E277" s="657">
        <v>19260</v>
      </c>
      <c r="F277" s="657">
        <f t="shared" si="27"/>
        <v>17025.828141225338</v>
      </c>
      <c r="G277" s="657">
        <v>327917450</v>
      </c>
      <c r="H277" s="608"/>
      <c r="L277" s="394"/>
      <c r="M277" s="630">
        <v>39982</v>
      </c>
      <c r="N277" s="650">
        <v>7160</v>
      </c>
      <c r="O277" s="650">
        <v>18000</v>
      </c>
      <c r="P277" s="631">
        <v>128880000</v>
      </c>
      <c r="Q277" s="914"/>
      <c r="R277" s="608"/>
    </row>
    <row r="278" spans="3:18">
      <c r="D278" s="606">
        <v>40000</v>
      </c>
      <c r="E278" s="614">
        <v>15850</v>
      </c>
      <c r="F278" s="614">
        <f t="shared" si="27"/>
        <v>18000</v>
      </c>
      <c r="G278" s="614">
        <v>285300000</v>
      </c>
      <c r="H278" s="608"/>
      <c r="L278" s="394"/>
      <c r="M278" s="630">
        <v>39983</v>
      </c>
      <c r="N278" s="650">
        <v>7160</v>
      </c>
      <c r="O278" s="650">
        <v>17950</v>
      </c>
      <c r="P278" s="631">
        <v>128522000</v>
      </c>
      <c r="Q278" s="914"/>
      <c r="R278" s="608"/>
    </row>
    <row r="279" spans="3:18">
      <c r="C279" s="656" t="s">
        <v>1341</v>
      </c>
      <c r="D279" s="642">
        <v>39958</v>
      </c>
      <c r="E279" s="610">
        <v>156250</v>
      </c>
      <c r="F279" s="610">
        <v>3200</v>
      </c>
      <c r="G279" s="610">
        <f>-+E279*F279</f>
        <v>-500000000</v>
      </c>
      <c r="H279" s="608"/>
      <c r="L279" s="394"/>
      <c r="M279" s="630">
        <v>39986</v>
      </c>
      <c r="N279" s="650">
        <v>3580</v>
      </c>
      <c r="O279" s="650">
        <v>17900</v>
      </c>
      <c r="P279" s="631">
        <v>64082000</v>
      </c>
      <c r="Q279" s="914"/>
      <c r="R279" s="608"/>
    </row>
    <row r="280" spans="3:18">
      <c r="D280" s="628">
        <v>39968</v>
      </c>
      <c r="E280" s="612">
        <v>7160</v>
      </c>
      <c r="F280" s="612">
        <f>+G280/E280</f>
        <v>19358.247206703909</v>
      </c>
      <c r="G280" s="629">
        <v>138605050</v>
      </c>
      <c r="H280" s="608"/>
      <c r="L280" s="394"/>
      <c r="M280" s="630">
        <v>39987</v>
      </c>
      <c r="N280" s="650">
        <v>3580</v>
      </c>
      <c r="O280" s="650">
        <v>17400</v>
      </c>
      <c r="P280" s="631">
        <v>62292000</v>
      </c>
      <c r="Q280" s="914"/>
      <c r="R280" s="608"/>
    </row>
    <row r="281" spans="3:18">
      <c r="D281" s="630">
        <v>39969</v>
      </c>
      <c r="E281" s="650">
        <v>7160</v>
      </c>
      <c r="F281" s="650">
        <f t="shared" ref="F281:F301" si="28">+G281/E281</f>
        <v>18825</v>
      </c>
      <c r="G281" s="631">
        <v>134787000</v>
      </c>
      <c r="H281" s="608"/>
      <c r="L281" s="394"/>
      <c r="M281" s="630">
        <v>39988</v>
      </c>
      <c r="N281" s="650">
        <v>7160</v>
      </c>
      <c r="O281" s="650">
        <v>16875</v>
      </c>
      <c r="P281" s="631">
        <v>120825000</v>
      </c>
      <c r="Q281" s="914"/>
      <c r="R281" s="608"/>
    </row>
    <row r="282" spans="3:18">
      <c r="D282" s="630">
        <v>39973</v>
      </c>
      <c r="E282" s="650">
        <v>9413</v>
      </c>
      <c r="F282" s="650">
        <f t="shared" si="28"/>
        <v>18282.428556251991</v>
      </c>
      <c r="G282" s="631">
        <v>172092500</v>
      </c>
      <c r="H282" s="608"/>
      <c r="L282" s="394"/>
      <c r="M282" s="630">
        <v>39989</v>
      </c>
      <c r="N282" s="650">
        <v>7160</v>
      </c>
      <c r="O282" s="650">
        <v>17010.84497206704</v>
      </c>
      <c r="P282" s="631">
        <v>121797650</v>
      </c>
      <c r="Q282" s="914"/>
      <c r="R282" s="608"/>
    </row>
    <row r="283" spans="3:18">
      <c r="D283" s="630">
        <v>39974</v>
      </c>
      <c r="E283" s="650">
        <v>8160</v>
      </c>
      <c r="F283" s="650">
        <f t="shared" si="28"/>
        <v>18265.349264705881</v>
      </c>
      <c r="G283" s="631">
        <v>149045250</v>
      </c>
      <c r="H283" s="608"/>
      <c r="L283" s="394"/>
      <c r="M283" s="630">
        <v>39990</v>
      </c>
      <c r="N283" s="650">
        <v>7160</v>
      </c>
      <c r="O283" s="650">
        <v>17371.745810055865</v>
      </c>
      <c r="P283" s="631">
        <v>124381700</v>
      </c>
      <c r="Q283" s="914"/>
      <c r="R283" s="608"/>
    </row>
    <row r="284" spans="3:18">
      <c r="D284" s="630">
        <v>39975</v>
      </c>
      <c r="E284" s="650">
        <v>7160</v>
      </c>
      <c r="F284" s="650">
        <f t="shared" si="28"/>
        <v>18693.498603351956</v>
      </c>
      <c r="G284" s="631">
        <v>133845450</v>
      </c>
      <c r="H284" s="608"/>
      <c r="L284" s="394"/>
      <c r="M284" s="630">
        <v>39993</v>
      </c>
      <c r="N284" s="650">
        <v>7160</v>
      </c>
      <c r="O284" s="650">
        <v>17167.77932960894</v>
      </c>
      <c r="P284" s="631">
        <v>122921300</v>
      </c>
      <c r="Q284" s="914"/>
      <c r="R284" s="608"/>
    </row>
    <row r="285" spans="3:18">
      <c r="D285" s="630">
        <v>39976</v>
      </c>
      <c r="E285" s="650">
        <v>7160</v>
      </c>
      <c r="F285" s="650">
        <f t="shared" si="28"/>
        <v>18825</v>
      </c>
      <c r="G285" s="631">
        <v>134787000</v>
      </c>
      <c r="H285" s="608"/>
      <c r="L285" s="394"/>
      <c r="M285" s="630">
        <v>39994</v>
      </c>
      <c r="N285" s="650">
        <v>17160</v>
      </c>
      <c r="O285" s="650">
        <v>16602.447552447553</v>
      </c>
      <c r="P285" s="631">
        <v>284898000</v>
      </c>
      <c r="Q285" s="914"/>
      <c r="R285" s="608"/>
    </row>
    <row r="286" spans="3:18">
      <c r="D286" s="630">
        <v>39979</v>
      </c>
      <c r="E286" s="650">
        <v>7160</v>
      </c>
      <c r="F286" s="650">
        <f t="shared" si="28"/>
        <v>18323.324022346369</v>
      </c>
      <c r="G286" s="631">
        <v>131195000</v>
      </c>
      <c r="L286" s="394"/>
      <c r="M286" s="630">
        <v>39995</v>
      </c>
      <c r="N286" s="650">
        <v>7160</v>
      </c>
      <c r="O286" s="650">
        <v>16850</v>
      </c>
      <c r="P286" s="631">
        <v>120646000</v>
      </c>
      <c r="Q286" s="914"/>
      <c r="R286" s="608"/>
    </row>
    <row r="287" spans="3:18">
      <c r="D287" s="630">
        <v>39980</v>
      </c>
      <c r="E287" s="650">
        <v>7660</v>
      </c>
      <c r="F287" s="650">
        <f t="shared" si="28"/>
        <v>18009.791122715404</v>
      </c>
      <c r="G287" s="631">
        <v>137955000</v>
      </c>
      <c r="L287" s="394"/>
      <c r="M287" s="630">
        <v>39996</v>
      </c>
      <c r="N287" s="650">
        <v>7160</v>
      </c>
      <c r="O287" s="650">
        <v>16925</v>
      </c>
      <c r="P287" s="631">
        <v>121183000</v>
      </c>
      <c r="Q287" s="914"/>
      <c r="R287" s="608"/>
    </row>
    <row r="288" spans="3:18" ht="16.5">
      <c r="D288" s="630">
        <v>39981</v>
      </c>
      <c r="E288" s="650">
        <v>3580</v>
      </c>
      <c r="F288" s="650">
        <f t="shared" si="28"/>
        <v>17500</v>
      </c>
      <c r="G288" s="631">
        <v>62650000</v>
      </c>
      <c r="K288" s="574"/>
      <c r="L288" s="394"/>
      <c r="M288" s="630">
        <v>39997</v>
      </c>
      <c r="N288" s="650">
        <v>7160</v>
      </c>
      <c r="O288" s="650">
        <v>17017.227653631286</v>
      </c>
      <c r="P288" s="631">
        <v>121843350</v>
      </c>
      <c r="Q288" s="914"/>
      <c r="R288" s="608"/>
    </row>
    <row r="289" spans="3:29">
      <c r="D289" s="630">
        <v>39982</v>
      </c>
      <c r="E289" s="650">
        <v>7160</v>
      </c>
      <c r="F289" s="650">
        <f t="shared" si="28"/>
        <v>18000</v>
      </c>
      <c r="G289" s="631">
        <v>128880000</v>
      </c>
      <c r="K289" s="364" t="s">
        <v>837</v>
      </c>
      <c r="L289" s="394"/>
      <c r="M289" s="632">
        <v>40000</v>
      </c>
      <c r="N289" s="613">
        <v>2877</v>
      </c>
      <c r="O289" s="613">
        <v>18000</v>
      </c>
      <c r="P289" s="633">
        <v>51786000</v>
      </c>
      <c r="Q289" s="914"/>
      <c r="R289" s="309">
        <f>+XIRR(P237:P289,M237:M289)</f>
        <v>2.2495864629745483</v>
      </c>
      <c r="S289" s="363">
        <f>+XIRR(P264:P289,M264:M289)</f>
        <v>2.4533674955368041</v>
      </c>
      <c r="T289" s="363"/>
      <c r="U289" s="363"/>
      <c r="V289" s="363"/>
      <c r="W289" s="363"/>
      <c r="X289" s="363"/>
      <c r="Y289" s="363"/>
      <c r="Z289" s="363"/>
      <c r="AA289" s="363"/>
      <c r="AB289" s="363"/>
      <c r="AC289" s="363"/>
    </row>
    <row r="290" spans="3:29" ht="16.5">
      <c r="D290" s="630">
        <v>39983</v>
      </c>
      <c r="E290" s="650">
        <v>7160</v>
      </c>
      <c r="F290" s="650">
        <f t="shared" si="28"/>
        <v>17950</v>
      </c>
      <c r="G290" s="631">
        <v>128522000</v>
      </c>
      <c r="K290" s="574"/>
      <c r="L290" s="538" t="s">
        <v>838</v>
      </c>
      <c r="M290" s="359">
        <v>40297</v>
      </c>
      <c r="N290" s="539">
        <v>-125000</v>
      </c>
      <c r="O290" s="539">
        <v>12000</v>
      </c>
      <c r="P290" s="539">
        <f>+N290*O290</f>
        <v>-1500000000</v>
      </c>
      <c r="Q290" s="578" t="s">
        <v>834</v>
      </c>
      <c r="R290" s="608"/>
    </row>
    <row r="291" spans="3:29" ht="16.5">
      <c r="D291" s="630">
        <v>39986</v>
      </c>
      <c r="E291" s="650">
        <v>3580</v>
      </c>
      <c r="F291" s="650">
        <f t="shared" si="28"/>
        <v>17900</v>
      </c>
      <c r="G291" s="631">
        <v>64082000</v>
      </c>
      <c r="K291" s="574"/>
      <c r="L291" s="371"/>
      <c r="M291" s="605">
        <v>40347</v>
      </c>
      <c r="N291" s="610">
        <v>12500</v>
      </c>
      <c r="O291" s="610">
        <f>+P291/N291</f>
        <v>21068</v>
      </c>
      <c r="P291" s="610">
        <v>263350000</v>
      </c>
      <c r="Q291" s="384" t="s">
        <v>834</v>
      </c>
      <c r="R291" s="608"/>
    </row>
    <row r="292" spans="3:29" ht="16.5">
      <c r="D292" s="630">
        <v>39987</v>
      </c>
      <c r="E292" s="650">
        <v>3580</v>
      </c>
      <c r="F292" s="650">
        <f t="shared" si="28"/>
        <v>17400</v>
      </c>
      <c r="G292" s="631">
        <v>62292000</v>
      </c>
      <c r="K292" s="574"/>
      <c r="L292" s="371"/>
      <c r="M292" s="627">
        <v>40350</v>
      </c>
      <c r="N292" s="657">
        <v>12500</v>
      </c>
      <c r="O292" s="657">
        <f>+P292/N292</f>
        <v>21275</v>
      </c>
      <c r="P292" s="657">
        <v>265937500</v>
      </c>
      <c r="Q292" s="384" t="s">
        <v>834</v>
      </c>
      <c r="R292" s="608"/>
    </row>
    <row r="293" spans="3:29" ht="16.5">
      <c r="D293" s="630">
        <v>39988</v>
      </c>
      <c r="E293" s="650">
        <v>7160</v>
      </c>
      <c r="F293" s="650">
        <f t="shared" si="28"/>
        <v>16875</v>
      </c>
      <c r="G293" s="631">
        <v>120825000</v>
      </c>
      <c r="K293" s="574"/>
      <c r="L293" s="371"/>
      <c r="M293" s="627">
        <v>40351</v>
      </c>
      <c r="N293" s="657">
        <v>6250</v>
      </c>
      <c r="O293" s="657">
        <f>+P293/N293</f>
        <v>21050</v>
      </c>
      <c r="P293" s="657">
        <v>131562500</v>
      </c>
      <c r="Q293" s="384" t="s">
        <v>834</v>
      </c>
      <c r="R293" s="608"/>
    </row>
    <row r="294" spans="3:29" ht="16.5">
      <c r="D294" s="630">
        <v>39989</v>
      </c>
      <c r="E294" s="650">
        <v>7160</v>
      </c>
      <c r="F294" s="650">
        <f t="shared" si="28"/>
        <v>17010.84497206704</v>
      </c>
      <c r="G294" s="631">
        <v>121797650</v>
      </c>
      <c r="K294" s="574"/>
      <c r="L294" s="371"/>
      <c r="M294" s="627">
        <v>40352</v>
      </c>
      <c r="N294" s="657">
        <v>6250</v>
      </c>
      <c r="O294" s="657">
        <f>+P294/N294</f>
        <v>21600</v>
      </c>
      <c r="P294" s="657">
        <v>135000000</v>
      </c>
      <c r="Q294" s="384" t="s">
        <v>834</v>
      </c>
      <c r="R294" s="608"/>
    </row>
    <row r="295" spans="3:29" ht="16.5">
      <c r="D295" s="630">
        <v>39990</v>
      </c>
      <c r="E295" s="650">
        <v>7160</v>
      </c>
      <c r="F295" s="650">
        <f t="shared" si="28"/>
        <v>17371.745810055865</v>
      </c>
      <c r="G295" s="631">
        <v>124381700</v>
      </c>
      <c r="K295" s="574"/>
      <c r="L295" s="371"/>
      <c r="M295" s="627">
        <v>40353</v>
      </c>
      <c r="N295" s="657">
        <v>12500</v>
      </c>
      <c r="O295" s="657">
        <f>+P295/N295</f>
        <v>22000</v>
      </c>
      <c r="P295" s="657">
        <v>275000000</v>
      </c>
      <c r="Q295" s="384" t="s">
        <v>834</v>
      </c>
      <c r="R295" s="608"/>
    </row>
    <row r="296" spans="3:29" ht="16.5">
      <c r="D296" s="630">
        <v>39993</v>
      </c>
      <c r="E296" s="650">
        <v>7160</v>
      </c>
      <c r="F296" s="650">
        <f t="shared" si="28"/>
        <v>17167.77932960894</v>
      </c>
      <c r="G296" s="631">
        <v>122921300</v>
      </c>
      <c r="K296" s="574"/>
      <c r="L296" s="371"/>
      <c r="M296" s="627">
        <v>40372</v>
      </c>
      <c r="N296" s="657">
        <v>12500</v>
      </c>
      <c r="O296" s="657">
        <v>20732</v>
      </c>
      <c r="P296" s="657">
        <v>259150000</v>
      </c>
      <c r="Q296" s="384" t="s">
        <v>834</v>
      </c>
      <c r="R296" s="608"/>
    </row>
    <row r="297" spans="3:29" ht="16.5">
      <c r="D297" s="630">
        <v>39994</v>
      </c>
      <c r="E297" s="650">
        <v>17160</v>
      </c>
      <c r="F297" s="650">
        <f t="shared" si="28"/>
        <v>16602.447552447553</v>
      </c>
      <c r="G297" s="631">
        <v>284898000</v>
      </c>
      <c r="K297" s="574"/>
      <c r="L297" s="371"/>
      <c r="M297" s="627">
        <v>40374</v>
      </c>
      <c r="N297" s="657">
        <v>12500</v>
      </c>
      <c r="O297" s="657">
        <v>20900</v>
      </c>
      <c r="P297" s="657">
        <v>261250000</v>
      </c>
      <c r="Q297" s="384" t="s">
        <v>834</v>
      </c>
      <c r="R297" s="608"/>
    </row>
    <row r="298" spans="3:29" ht="16.5">
      <c r="D298" s="630">
        <v>39995</v>
      </c>
      <c r="E298" s="650">
        <v>7160</v>
      </c>
      <c r="F298" s="650">
        <f t="shared" si="28"/>
        <v>16850</v>
      </c>
      <c r="G298" s="631">
        <v>120646000</v>
      </c>
      <c r="K298" s="574"/>
      <c r="L298" s="371"/>
      <c r="M298" s="627">
        <v>40375</v>
      </c>
      <c r="N298" s="657">
        <v>12500</v>
      </c>
      <c r="O298" s="657">
        <v>21000</v>
      </c>
      <c r="P298" s="657">
        <v>262500000</v>
      </c>
      <c r="Q298" s="384" t="s">
        <v>834</v>
      </c>
      <c r="R298" s="608"/>
    </row>
    <row r="299" spans="3:29" ht="16.5">
      <c r="D299" s="630">
        <v>39996</v>
      </c>
      <c r="E299" s="650">
        <v>7160</v>
      </c>
      <c r="F299" s="650">
        <f t="shared" si="28"/>
        <v>16925</v>
      </c>
      <c r="G299" s="631">
        <v>121183000</v>
      </c>
      <c r="K299" s="574"/>
      <c r="L299" s="371"/>
      <c r="M299" s="627">
        <v>40648</v>
      </c>
      <c r="N299" s="657">
        <v>0</v>
      </c>
      <c r="O299" s="657">
        <v>0</v>
      </c>
      <c r="P299" s="657">
        <v>2812500</v>
      </c>
      <c r="Q299" s="384" t="s">
        <v>834</v>
      </c>
      <c r="R299" s="608"/>
    </row>
    <row r="300" spans="3:29" ht="16.5">
      <c r="D300" s="630">
        <v>39997</v>
      </c>
      <c r="E300" s="650">
        <v>7160</v>
      </c>
      <c r="F300" s="650">
        <f t="shared" si="28"/>
        <v>17017.227653631286</v>
      </c>
      <c r="G300" s="631">
        <v>121843350</v>
      </c>
      <c r="K300" s="574"/>
      <c r="M300" s="627">
        <v>40752</v>
      </c>
      <c r="N300" s="657">
        <v>3750</v>
      </c>
      <c r="O300" s="657">
        <v>50000</v>
      </c>
      <c r="P300" s="657">
        <f>+N300*O300</f>
        <v>187500000</v>
      </c>
      <c r="Q300" s="384" t="s">
        <v>834</v>
      </c>
      <c r="R300" s="608"/>
    </row>
    <row r="301" spans="3:29" ht="16.5">
      <c r="D301" s="632">
        <v>40000</v>
      </c>
      <c r="E301" s="613">
        <v>2877</v>
      </c>
      <c r="F301" s="613">
        <f t="shared" si="28"/>
        <v>18000</v>
      </c>
      <c r="G301" s="633">
        <v>51786000</v>
      </c>
      <c r="H301" s="357">
        <f>+XIRR(G249:G301,D249:D301)</f>
        <v>2.2495864629745483</v>
      </c>
      <c r="K301" s="574"/>
      <c r="M301" s="627">
        <v>40760</v>
      </c>
      <c r="N301" s="657">
        <v>3600</v>
      </c>
      <c r="O301" s="657">
        <f>+P301/N301</f>
        <v>46938.125</v>
      </c>
      <c r="P301" s="657">
        <v>168977250</v>
      </c>
      <c r="Q301" s="384" t="s">
        <v>834</v>
      </c>
      <c r="R301" s="608"/>
    </row>
    <row r="302" spans="3:29" ht="16.5">
      <c r="K302" s="574"/>
      <c r="M302" s="627">
        <v>40763</v>
      </c>
      <c r="N302" s="666">
        <v>900</v>
      </c>
      <c r="O302" s="666">
        <v>48800</v>
      </c>
      <c r="P302" s="666">
        <f>+N302*O302</f>
        <v>43920000</v>
      </c>
      <c r="Q302" s="384" t="s">
        <v>834</v>
      </c>
      <c r="R302" s="608"/>
    </row>
    <row r="303" spans="3:29" ht="16.5">
      <c r="K303" s="574"/>
      <c r="M303" s="627">
        <v>40772</v>
      </c>
      <c r="N303" s="666">
        <v>6750</v>
      </c>
      <c r="O303" s="666">
        <v>45650</v>
      </c>
      <c r="P303" s="666">
        <f>+N303*O303</f>
        <v>308137500</v>
      </c>
      <c r="Q303" s="384" t="s">
        <v>834</v>
      </c>
      <c r="R303" s="608"/>
    </row>
    <row r="304" spans="3:29">
      <c r="C304" s="656" t="s">
        <v>1342</v>
      </c>
      <c r="D304" s="642">
        <v>39645</v>
      </c>
      <c r="E304" s="656"/>
      <c r="F304" s="656"/>
      <c r="G304" s="610">
        <v>-2000000000</v>
      </c>
      <c r="H304" s="608"/>
      <c r="M304" s="627">
        <v>40773</v>
      </c>
      <c r="N304" s="666">
        <v>3750</v>
      </c>
      <c r="O304" s="666">
        <v>46000</v>
      </c>
      <c r="P304" s="666">
        <f>+N304*O304</f>
        <v>172500000</v>
      </c>
      <c r="Q304" s="384" t="s">
        <v>834</v>
      </c>
      <c r="R304" s="608"/>
    </row>
    <row r="305" spans="3:18">
      <c r="D305" s="642">
        <v>40298</v>
      </c>
      <c r="E305" s="610"/>
      <c r="F305" s="610"/>
      <c r="G305" s="610">
        <v>758352110</v>
      </c>
      <c r="H305" s="608"/>
      <c r="M305" s="627">
        <v>41018</v>
      </c>
      <c r="N305" s="666">
        <v>0</v>
      </c>
      <c r="O305" s="666">
        <v>0</v>
      </c>
      <c r="P305" s="666">
        <v>1875000</v>
      </c>
      <c r="Q305" s="384" t="s">
        <v>834</v>
      </c>
      <c r="R305" s="608"/>
    </row>
    <row r="306" spans="3:18">
      <c r="D306" s="651">
        <v>40421</v>
      </c>
      <c r="E306" s="614"/>
      <c r="F306" s="614"/>
      <c r="G306" s="614">
        <v>780698090</v>
      </c>
      <c r="H306" s="608"/>
      <c r="M306" s="627">
        <v>41045</v>
      </c>
      <c r="N306" s="617">
        <v>6000</v>
      </c>
      <c r="O306" s="666">
        <f t="shared" ref="O306:O311" si="29">+P306/N306</f>
        <v>48626.23333333333</v>
      </c>
      <c r="P306" s="666">
        <v>291757400</v>
      </c>
      <c r="Q306" s="384" t="s">
        <v>834</v>
      </c>
      <c r="R306" s="608"/>
    </row>
    <row r="307" spans="3:18">
      <c r="D307" s="642">
        <v>40298</v>
      </c>
      <c r="E307" s="610"/>
      <c r="F307" s="610"/>
      <c r="G307" s="610">
        <v>408343444</v>
      </c>
      <c r="H307" s="608"/>
      <c r="M307" s="627">
        <v>41064</v>
      </c>
      <c r="N307" s="617">
        <v>3600</v>
      </c>
      <c r="O307" s="666">
        <f t="shared" si="29"/>
        <v>33000</v>
      </c>
      <c r="P307" s="666">
        <v>118800000</v>
      </c>
      <c r="Q307" s="384" t="s">
        <v>834</v>
      </c>
      <c r="R307" s="608"/>
    </row>
    <row r="308" spans="3:18">
      <c r="D308" s="651">
        <v>40421</v>
      </c>
      <c r="E308" s="614"/>
      <c r="F308" s="614"/>
      <c r="G308" s="614">
        <v>420375894</v>
      </c>
      <c r="H308" s="608"/>
      <c r="M308" s="627">
        <v>41065</v>
      </c>
      <c r="N308" s="617">
        <v>3600</v>
      </c>
      <c r="O308" s="666">
        <f t="shared" si="29"/>
        <v>34500</v>
      </c>
      <c r="P308" s="666">
        <v>124200000</v>
      </c>
      <c r="Q308" s="384" t="s">
        <v>834</v>
      </c>
      <c r="R308" s="608"/>
    </row>
    <row r="309" spans="3:18">
      <c r="M309" s="627">
        <v>41068</v>
      </c>
      <c r="N309" s="617">
        <v>3600</v>
      </c>
      <c r="O309" s="666">
        <f t="shared" si="29"/>
        <v>33100</v>
      </c>
      <c r="P309" s="666">
        <v>119160000</v>
      </c>
      <c r="Q309" s="384" t="s">
        <v>834</v>
      </c>
      <c r="R309" s="608"/>
    </row>
    <row r="310" spans="3:18">
      <c r="G310" s="363">
        <f>+XIRR(G304:G308,D304:D308)</f>
        <v>9.0000000596046487E-2</v>
      </c>
      <c r="H310" s="608"/>
      <c r="M310" s="627">
        <v>41071</v>
      </c>
      <c r="N310" s="617">
        <v>1950</v>
      </c>
      <c r="O310" s="666">
        <f t="shared" si="29"/>
        <v>34000</v>
      </c>
      <c r="P310" s="666">
        <v>66300000</v>
      </c>
      <c r="Q310" s="384" t="s">
        <v>834</v>
      </c>
      <c r="R310" s="608"/>
    </row>
    <row r="311" spans="3:18">
      <c r="M311" s="606">
        <v>41093</v>
      </c>
      <c r="N311" s="622">
        <v>6375</v>
      </c>
      <c r="O311" s="618">
        <f t="shared" si="29"/>
        <v>29500</v>
      </c>
      <c r="P311" s="618">
        <v>188062500</v>
      </c>
      <c r="Q311" s="384" t="s">
        <v>834</v>
      </c>
      <c r="R311" s="608"/>
    </row>
    <row r="312" spans="3:18">
      <c r="C312" s="656" t="s">
        <v>1343</v>
      </c>
      <c r="D312" s="642">
        <v>39444</v>
      </c>
      <c r="E312" s="610"/>
      <c r="F312" s="610"/>
      <c r="G312" s="610">
        <v>-11330000000</v>
      </c>
      <c r="L312" s="371"/>
      <c r="M312" s="385">
        <v>40297</v>
      </c>
      <c r="N312" s="386">
        <v>-83333</v>
      </c>
      <c r="O312" s="386">
        <v>12000</v>
      </c>
      <c r="P312" s="386">
        <v>-1000000000</v>
      </c>
      <c r="Q312" s="387" t="s">
        <v>836</v>
      </c>
      <c r="R312" s="608"/>
    </row>
    <row r="313" spans="3:18">
      <c r="D313" s="642">
        <v>39538</v>
      </c>
      <c r="E313" s="610"/>
      <c r="F313" s="610"/>
      <c r="G313" s="610">
        <v>117956164</v>
      </c>
      <c r="L313" s="371"/>
      <c r="M313" s="605">
        <v>40347</v>
      </c>
      <c r="N313" s="610">
        <v>8333</v>
      </c>
      <c r="O313" s="610">
        <f>+P313/N313</f>
        <v>21087.9995199808</v>
      </c>
      <c r="P313" s="610">
        <v>175726300</v>
      </c>
      <c r="Q313" s="384" t="s">
        <v>836</v>
      </c>
      <c r="R313" s="608"/>
    </row>
    <row r="314" spans="3:18">
      <c r="D314" s="652">
        <v>39629</v>
      </c>
      <c r="E314" s="657"/>
      <c r="F314" s="657"/>
      <c r="G314" s="657">
        <v>112989589</v>
      </c>
      <c r="L314" s="371"/>
      <c r="M314" s="627">
        <v>40350</v>
      </c>
      <c r="N314" s="657">
        <v>8334</v>
      </c>
      <c r="O314" s="657">
        <f t="shared" ref="O314:O320" si="30">+P314/N314</f>
        <v>21285.067194624429</v>
      </c>
      <c r="P314" s="657">
        <v>177389750</v>
      </c>
      <c r="Q314" s="384" t="s">
        <v>836</v>
      </c>
      <c r="R314" s="608"/>
    </row>
    <row r="315" spans="3:18">
      <c r="D315" s="652">
        <v>39721</v>
      </c>
      <c r="E315" s="657"/>
      <c r="F315" s="657"/>
      <c r="G315" s="657">
        <v>114231232</v>
      </c>
      <c r="L315" s="371"/>
      <c r="M315" s="627">
        <v>40351</v>
      </c>
      <c r="N315" s="657">
        <v>4167</v>
      </c>
      <c r="O315" s="657">
        <f t="shared" si="30"/>
        <v>21050</v>
      </c>
      <c r="P315" s="657">
        <v>87715350</v>
      </c>
      <c r="Q315" s="384" t="s">
        <v>836</v>
      </c>
      <c r="R315" s="608"/>
    </row>
    <row r="316" spans="3:18">
      <c r="D316" s="652">
        <v>39813</v>
      </c>
      <c r="E316" s="657"/>
      <c r="F316" s="657"/>
      <c r="G316" s="657">
        <v>114231232</v>
      </c>
      <c r="L316" s="371"/>
      <c r="M316" s="627">
        <v>40352</v>
      </c>
      <c r="N316" s="657">
        <v>4167</v>
      </c>
      <c r="O316" s="657">
        <f t="shared" si="30"/>
        <v>21600</v>
      </c>
      <c r="P316" s="657">
        <v>90007200</v>
      </c>
      <c r="Q316" s="384" t="s">
        <v>836</v>
      </c>
      <c r="R316" s="608"/>
    </row>
    <row r="317" spans="3:18">
      <c r="D317" s="652">
        <v>39903</v>
      </c>
      <c r="E317" s="657"/>
      <c r="F317" s="657"/>
      <c r="G317" s="657">
        <v>111747945</v>
      </c>
      <c r="L317" s="371"/>
      <c r="M317" s="627">
        <v>40353</v>
      </c>
      <c r="N317" s="657">
        <v>8334</v>
      </c>
      <c r="O317" s="657">
        <f t="shared" si="30"/>
        <v>22000</v>
      </c>
      <c r="P317" s="657">
        <v>183348000</v>
      </c>
      <c r="Q317" s="384" t="s">
        <v>836</v>
      </c>
      <c r="R317" s="608"/>
    </row>
    <row r="318" spans="3:18" ht="16.5">
      <c r="D318" s="646">
        <v>39994</v>
      </c>
      <c r="E318" s="647"/>
      <c r="F318" s="647"/>
      <c r="G318" s="647">
        <v>112989589</v>
      </c>
      <c r="L318" s="371"/>
      <c r="M318" s="627">
        <v>40372</v>
      </c>
      <c r="N318" s="657">
        <v>8334</v>
      </c>
      <c r="O318" s="657">
        <f t="shared" si="30"/>
        <v>20726.001919846411</v>
      </c>
      <c r="P318" s="657">
        <v>172730500</v>
      </c>
      <c r="Q318" s="384" t="s">
        <v>836</v>
      </c>
      <c r="R318" s="574"/>
    </row>
    <row r="319" spans="3:18" ht="16.5">
      <c r="D319" s="652">
        <v>40086</v>
      </c>
      <c r="E319" s="657"/>
      <c r="F319" s="657"/>
      <c r="G319" s="657">
        <v>114231232</v>
      </c>
      <c r="L319" s="371"/>
      <c r="M319" s="627">
        <v>40374</v>
      </c>
      <c r="N319" s="657">
        <v>8334</v>
      </c>
      <c r="O319" s="657">
        <f t="shared" si="30"/>
        <v>20900</v>
      </c>
      <c r="P319" s="657">
        <v>174180600</v>
      </c>
      <c r="Q319" s="384" t="s">
        <v>836</v>
      </c>
      <c r="R319" s="574"/>
    </row>
    <row r="320" spans="3:18" ht="16.5">
      <c r="D320" s="646">
        <v>40178</v>
      </c>
      <c r="E320" s="647"/>
      <c r="F320" s="647"/>
      <c r="G320" s="647">
        <v>114231234</v>
      </c>
      <c r="L320" s="371"/>
      <c r="M320" s="627">
        <v>40375</v>
      </c>
      <c r="N320" s="657">
        <v>8334</v>
      </c>
      <c r="O320" s="657">
        <f t="shared" si="30"/>
        <v>21000</v>
      </c>
      <c r="P320" s="657">
        <v>175014000</v>
      </c>
      <c r="Q320" s="384" t="s">
        <v>836</v>
      </c>
      <c r="R320" s="574"/>
    </row>
    <row r="321" spans="4:18" ht="16.5">
      <c r="D321" s="652">
        <v>40268</v>
      </c>
      <c r="E321" s="657"/>
      <c r="F321" s="657"/>
      <c r="G321" s="657">
        <v>111747945</v>
      </c>
      <c r="L321" s="371"/>
      <c r="M321" s="627">
        <v>40648</v>
      </c>
      <c r="N321" s="657">
        <v>0</v>
      </c>
      <c r="O321" s="657">
        <v>0</v>
      </c>
      <c r="P321" s="657">
        <v>1874700</v>
      </c>
      <c r="Q321" s="384" t="s">
        <v>1344</v>
      </c>
      <c r="R321" s="574"/>
    </row>
    <row r="322" spans="4:18" ht="16.5">
      <c r="D322" s="652">
        <v>40274</v>
      </c>
      <c r="E322" s="657"/>
      <c r="F322" s="657"/>
      <c r="G322" s="657">
        <v>3083862437</v>
      </c>
      <c r="L322" s="371"/>
      <c r="M322" s="627">
        <v>40752</v>
      </c>
      <c r="N322" s="657">
        <v>2499</v>
      </c>
      <c r="O322" s="657">
        <v>50000</v>
      </c>
      <c r="P322" s="657">
        <f>+N322*O322</f>
        <v>124950000</v>
      </c>
      <c r="Q322" s="384" t="s">
        <v>1345</v>
      </c>
      <c r="R322" s="574"/>
    </row>
    <row r="323" spans="4:18" ht="16.5">
      <c r="D323" s="652">
        <v>40274</v>
      </c>
      <c r="E323" s="657"/>
      <c r="F323" s="657"/>
      <c r="G323" s="657">
        <v>343562570</v>
      </c>
      <c r="L323" s="371"/>
      <c r="M323" s="627">
        <v>40760</v>
      </c>
      <c r="N323" s="657">
        <v>2400</v>
      </c>
      <c r="O323" s="657">
        <v>46900</v>
      </c>
      <c r="P323" s="657">
        <f>+N323*O323</f>
        <v>112560000</v>
      </c>
      <c r="Q323" s="384" t="s">
        <v>1345</v>
      </c>
      <c r="R323" s="574"/>
    </row>
    <row r="324" spans="4:18" ht="16.5">
      <c r="D324" s="652">
        <v>40359</v>
      </c>
      <c r="E324" s="657"/>
      <c r="F324" s="657"/>
      <c r="G324" s="657">
        <v>86063562</v>
      </c>
      <c r="L324" s="371"/>
      <c r="M324" s="627">
        <v>40763</v>
      </c>
      <c r="N324" s="666">
        <v>600</v>
      </c>
      <c r="O324" s="666">
        <v>48800</v>
      </c>
      <c r="P324" s="666">
        <f>+N324*O324</f>
        <v>29280000</v>
      </c>
      <c r="Q324" s="384" t="s">
        <v>1345</v>
      </c>
      <c r="R324" s="574"/>
    </row>
    <row r="325" spans="4:18" ht="16.5">
      <c r="D325" s="652">
        <v>40451</v>
      </c>
      <c r="E325" s="657"/>
      <c r="F325" s="657"/>
      <c r="G325" s="657">
        <v>80657534</v>
      </c>
      <c r="L325" s="371"/>
      <c r="M325" s="627">
        <v>40772</v>
      </c>
      <c r="N325" s="666">
        <v>4500</v>
      </c>
      <c r="O325" s="666">
        <v>45650</v>
      </c>
      <c r="P325" s="666">
        <f>+N325*O325</f>
        <v>205425000</v>
      </c>
      <c r="Q325" s="384" t="s">
        <v>1345</v>
      </c>
      <c r="R325" s="574"/>
    </row>
    <row r="326" spans="4:18" ht="16.5">
      <c r="D326" s="652">
        <v>40451</v>
      </c>
      <c r="E326" s="657"/>
      <c r="F326" s="657"/>
      <c r="G326" s="657">
        <v>747170590</v>
      </c>
      <c r="L326" s="371"/>
      <c r="M326" s="627">
        <v>40773</v>
      </c>
      <c r="N326" s="666">
        <v>2500</v>
      </c>
      <c r="O326" s="666">
        <v>46000</v>
      </c>
      <c r="P326" s="666">
        <f>+N326*O326</f>
        <v>115000000</v>
      </c>
      <c r="Q326" s="384" t="s">
        <v>1345</v>
      </c>
      <c r="R326" s="574"/>
    </row>
    <row r="327" spans="4:18" ht="16.5">
      <c r="D327" s="652">
        <v>40451</v>
      </c>
      <c r="E327" s="657"/>
      <c r="F327" s="657"/>
      <c r="G327" s="657">
        <v>102134719</v>
      </c>
      <c r="L327" s="371"/>
      <c r="M327" s="627">
        <v>41018</v>
      </c>
      <c r="N327" s="666">
        <v>0</v>
      </c>
      <c r="O327" s="666">
        <v>0</v>
      </c>
      <c r="P327" s="666">
        <v>1249700</v>
      </c>
      <c r="Q327" s="384" t="s">
        <v>1345</v>
      </c>
      <c r="R327" s="574"/>
    </row>
    <row r="328" spans="4:18" ht="16.5">
      <c r="D328" s="652">
        <v>40543</v>
      </c>
      <c r="E328" s="657"/>
      <c r="F328" s="657"/>
      <c r="G328" s="657">
        <v>80657534</v>
      </c>
      <c r="L328" s="371"/>
      <c r="M328" s="616">
        <v>41045</v>
      </c>
      <c r="N328" s="617">
        <v>4000</v>
      </c>
      <c r="O328" s="666">
        <f t="shared" ref="O328:O333" si="31">+P328/N328</f>
        <v>48625</v>
      </c>
      <c r="P328" s="666">
        <v>194500000</v>
      </c>
      <c r="Q328" s="384" t="s">
        <v>1345</v>
      </c>
      <c r="R328" s="574"/>
    </row>
    <row r="329" spans="4:18" ht="16.5">
      <c r="D329" s="652">
        <v>40633</v>
      </c>
      <c r="E329" s="657"/>
      <c r="F329" s="657"/>
      <c r="G329" s="657">
        <v>78904110</v>
      </c>
      <c r="L329" s="371"/>
      <c r="M329" s="616">
        <v>41064</v>
      </c>
      <c r="N329" s="617">
        <v>2400</v>
      </c>
      <c r="O329" s="666">
        <f t="shared" si="31"/>
        <v>33000</v>
      </c>
      <c r="P329" s="666">
        <v>79200000</v>
      </c>
      <c r="Q329" s="384" t="s">
        <v>1345</v>
      </c>
      <c r="R329" s="574"/>
    </row>
    <row r="330" spans="4:18" ht="16.5">
      <c r="D330" s="646">
        <v>40722</v>
      </c>
      <c r="E330" s="647"/>
      <c r="F330" s="647"/>
      <c r="G330" s="647">
        <v>4965881959</v>
      </c>
      <c r="L330" s="371"/>
      <c r="M330" s="616">
        <v>41065</v>
      </c>
      <c r="N330" s="617">
        <v>2400</v>
      </c>
      <c r="O330" s="666">
        <f t="shared" si="31"/>
        <v>34500</v>
      </c>
      <c r="P330" s="666">
        <v>82800000</v>
      </c>
      <c r="Q330" s="384" t="s">
        <v>1345</v>
      </c>
      <c r="R330" s="574"/>
    </row>
    <row r="331" spans="4:18">
      <c r="D331" s="646">
        <v>40724</v>
      </c>
      <c r="E331" s="647"/>
      <c r="F331" s="647"/>
      <c r="G331" s="647">
        <v>39890411</v>
      </c>
      <c r="L331" s="371"/>
      <c r="M331" s="616">
        <v>41068</v>
      </c>
      <c r="N331" s="617">
        <v>2400</v>
      </c>
      <c r="O331" s="666">
        <f t="shared" si="31"/>
        <v>33100</v>
      </c>
      <c r="P331" s="666">
        <v>79440000</v>
      </c>
      <c r="Q331" s="384" t="s">
        <v>1345</v>
      </c>
      <c r="R331" s="393"/>
    </row>
    <row r="332" spans="4:18" ht="16.5">
      <c r="D332" s="646">
        <v>40816</v>
      </c>
      <c r="E332" s="647"/>
      <c r="F332" s="647"/>
      <c r="G332" s="647">
        <v>40328767</v>
      </c>
      <c r="L332" s="371"/>
      <c r="M332" s="616">
        <v>41071</v>
      </c>
      <c r="N332" s="617">
        <v>1297</v>
      </c>
      <c r="O332" s="666">
        <f t="shared" si="31"/>
        <v>34000</v>
      </c>
      <c r="P332" s="666">
        <v>44098000</v>
      </c>
      <c r="Q332" s="384" t="s">
        <v>1345</v>
      </c>
      <c r="R332" s="574"/>
    </row>
    <row r="333" spans="4:18" ht="16.5">
      <c r="D333" s="652">
        <v>40837</v>
      </c>
      <c r="E333" s="657"/>
      <c r="F333" s="657"/>
      <c r="G333" s="657">
        <v>2517814832</v>
      </c>
      <c r="L333" s="371"/>
      <c r="M333" s="621">
        <v>41093</v>
      </c>
      <c r="N333" s="622">
        <v>4248</v>
      </c>
      <c r="O333" s="618">
        <f t="shared" si="31"/>
        <v>29505.896892655368</v>
      </c>
      <c r="P333" s="618">
        <v>125341050</v>
      </c>
      <c r="Q333" s="384" t="s">
        <v>1345</v>
      </c>
      <c r="R333" s="579">
        <f>+XIRR(P290:P333,M290:M333)</f>
        <v>4.5894454479217535</v>
      </c>
    </row>
    <row r="334" spans="4:18">
      <c r="D334" s="652">
        <v>40910</v>
      </c>
      <c r="E334" s="657"/>
      <c r="F334" s="657"/>
      <c r="G334" s="657">
        <v>20164384</v>
      </c>
      <c r="L334" s="371"/>
      <c r="M334" s="385">
        <v>40294</v>
      </c>
      <c r="N334" s="386">
        <v>-208333</v>
      </c>
      <c r="O334" s="386">
        <v>12000</v>
      </c>
      <c r="P334" s="386">
        <v>-2500000000</v>
      </c>
      <c r="Q334" s="387" t="s">
        <v>839</v>
      </c>
      <c r="R334" s="608"/>
    </row>
    <row r="335" spans="4:18">
      <c r="D335" s="652">
        <v>41001</v>
      </c>
      <c r="E335" s="657"/>
      <c r="F335" s="657"/>
      <c r="G335" s="657">
        <v>19890710</v>
      </c>
      <c r="L335" s="371"/>
      <c r="M335" s="362">
        <v>40297</v>
      </c>
      <c r="N335" s="669">
        <v>208333</v>
      </c>
      <c r="O335" s="669">
        <v>21873.854598167356</v>
      </c>
      <c r="P335" s="669">
        <v>4557045750</v>
      </c>
      <c r="Q335" s="384" t="s">
        <v>839</v>
      </c>
      <c r="R335" s="608"/>
    </row>
    <row r="336" spans="4:18">
      <c r="D336" s="651">
        <v>41023</v>
      </c>
      <c r="E336" s="614"/>
      <c r="F336" s="614"/>
      <c r="G336" s="614">
        <v>2602347462</v>
      </c>
      <c r="H336" s="679">
        <f>+XIRR(G312:G336,D312:D336)</f>
        <v>0.11084795594215394</v>
      </c>
      <c r="L336" s="371"/>
      <c r="M336" s="369">
        <v>40301</v>
      </c>
      <c r="N336" s="372">
        <v>43333</v>
      </c>
      <c r="O336" s="372">
        <v>15000</v>
      </c>
      <c r="P336" s="372">
        <v>-649995000</v>
      </c>
      <c r="Q336" s="388" t="s">
        <v>840</v>
      </c>
      <c r="R336" s="608"/>
    </row>
    <row r="337" spans="3:18">
      <c r="L337" s="371"/>
      <c r="M337" s="370">
        <v>40308</v>
      </c>
      <c r="N337" s="376">
        <v>63000</v>
      </c>
      <c r="O337" s="376">
        <v>15000</v>
      </c>
      <c r="P337" s="376">
        <v>-945000000</v>
      </c>
      <c r="Q337" s="388" t="s">
        <v>840</v>
      </c>
      <c r="R337" s="608"/>
    </row>
    <row r="338" spans="3:18">
      <c r="L338" s="371"/>
      <c r="M338" s="370">
        <v>40310</v>
      </c>
      <c r="N338" s="376">
        <v>85000</v>
      </c>
      <c r="O338" s="376">
        <v>15000</v>
      </c>
      <c r="P338" s="376">
        <v>-1275000000</v>
      </c>
      <c r="Q338" s="388" t="s">
        <v>840</v>
      </c>
    </row>
    <row r="339" spans="3:18">
      <c r="C339" s="656" t="s">
        <v>1346</v>
      </c>
      <c r="D339" s="642">
        <v>39337</v>
      </c>
      <c r="E339" s="610">
        <v>168000</v>
      </c>
      <c r="F339" s="610">
        <v>25000</v>
      </c>
      <c r="G339" s="610">
        <f>-+E339*F339</f>
        <v>-4200000000</v>
      </c>
      <c r="L339" s="371"/>
      <c r="M339" s="370">
        <v>40323</v>
      </c>
      <c r="N339" s="376">
        <v>30000</v>
      </c>
      <c r="O339" s="376">
        <v>15000</v>
      </c>
      <c r="P339" s="376">
        <v>-450000000</v>
      </c>
      <c r="Q339" s="388" t="s">
        <v>840</v>
      </c>
    </row>
    <row r="340" spans="3:18">
      <c r="C340" s="654" t="s">
        <v>1346</v>
      </c>
      <c r="D340" s="652">
        <v>39337</v>
      </c>
      <c r="E340" s="657">
        <v>179200</v>
      </c>
      <c r="F340" s="657">
        <v>25000</v>
      </c>
      <c r="G340" s="657">
        <f>-+E340*F340</f>
        <v>-4480000000</v>
      </c>
      <c r="L340" s="371"/>
      <c r="M340" s="370">
        <v>40326</v>
      </c>
      <c r="N340" s="376">
        <v>85000</v>
      </c>
      <c r="O340" s="376">
        <v>15000</v>
      </c>
      <c r="P340" s="376">
        <v>-1275000000</v>
      </c>
      <c r="Q340" s="388" t="s">
        <v>840</v>
      </c>
    </row>
    <row r="341" spans="3:18">
      <c r="C341" s="654" t="s">
        <v>1346</v>
      </c>
      <c r="D341" s="652">
        <v>39337</v>
      </c>
      <c r="E341" s="657">
        <v>212800</v>
      </c>
      <c r="F341" s="657">
        <v>25000</v>
      </c>
      <c r="G341" s="657">
        <f>-+E341*F341</f>
        <v>-5320000000</v>
      </c>
      <c r="L341" s="371"/>
      <c r="M341" s="370">
        <v>40330</v>
      </c>
      <c r="N341" s="376">
        <v>72500</v>
      </c>
      <c r="O341" s="376">
        <v>15000</v>
      </c>
      <c r="P341" s="376">
        <v>-1087500000</v>
      </c>
      <c r="Q341" s="388" t="s">
        <v>840</v>
      </c>
    </row>
    <row r="342" spans="3:18">
      <c r="D342" s="642">
        <v>40557</v>
      </c>
      <c r="E342" s="610"/>
      <c r="F342" s="610"/>
      <c r="G342" s="610">
        <v>193802158</v>
      </c>
      <c r="L342" s="371"/>
      <c r="M342" s="370">
        <v>40337</v>
      </c>
      <c r="N342" s="376">
        <v>85000</v>
      </c>
      <c r="O342" s="376">
        <v>15000</v>
      </c>
      <c r="P342" s="376">
        <v>-1275000000</v>
      </c>
      <c r="Q342" s="388" t="s">
        <v>840</v>
      </c>
    </row>
    <row r="343" spans="3:18">
      <c r="D343" s="652">
        <v>40602</v>
      </c>
      <c r="E343" s="657"/>
      <c r="F343" s="657"/>
      <c r="G343" s="657">
        <v>193802158</v>
      </c>
      <c r="L343" s="371"/>
      <c r="M343" s="370">
        <v>40340</v>
      </c>
      <c r="N343" s="376">
        <v>85000</v>
      </c>
      <c r="O343" s="376">
        <v>15000</v>
      </c>
      <c r="P343" s="376">
        <v>-1275000000</v>
      </c>
      <c r="Q343" s="388" t="s">
        <v>840</v>
      </c>
    </row>
    <row r="344" spans="3:18">
      <c r="D344" s="652">
        <v>40639</v>
      </c>
      <c r="E344" s="657"/>
      <c r="F344" s="657"/>
      <c r="G344" s="657">
        <v>189589067</v>
      </c>
      <c r="L344" s="371"/>
      <c r="M344" s="370">
        <v>40344</v>
      </c>
      <c r="N344" s="376">
        <v>85000</v>
      </c>
      <c r="O344" s="376">
        <v>15000</v>
      </c>
      <c r="P344" s="376">
        <v>-1275000000</v>
      </c>
      <c r="Q344" s="388" t="s">
        <v>840</v>
      </c>
    </row>
    <row r="345" spans="3:18">
      <c r="D345" s="646">
        <v>40731</v>
      </c>
      <c r="E345" s="647"/>
      <c r="F345" s="647"/>
      <c r="G345" s="647">
        <v>191695613</v>
      </c>
      <c r="L345" s="371"/>
      <c r="M345" s="370">
        <v>40347</v>
      </c>
      <c r="N345" s="376">
        <v>85000</v>
      </c>
      <c r="O345" s="376">
        <v>15000</v>
      </c>
      <c r="P345" s="376">
        <v>-1275000000</v>
      </c>
      <c r="Q345" s="388" t="s">
        <v>840</v>
      </c>
    </row>
    <row r="346" spans="3:18">
      <c r="D346" s="646">
        <v>40822</v>
      </c>
      <c r="E346" s="647"/>
      <c r="F346" s="647"/>
      <c r="G346" s="647">
        <v>193802158</v>
      </c>
      <c r="L346" s="367"/>
      <c r="M346" s="370">
        <v>40352</v>
      </c>
      <c r="N346" s="376">
        <v>85000</v>
      </c>
      <c r="O346" s="376">
        <v>15000</v>
      </c>
      <c r="P346" s="376">
        <v>-1275000000</v>
      </c>
      <c r="Q346" s="388" t="s">
        <v>840</v>
      </c>
    </row>
    <row r="347" spans="3:18" ht="16.5">
      <c r="D347" s="660">
        <v>40914</v>
      </c>
      <c r="E347" s="669"/>
      <c r="F347" s="669"/>
      <c r="G347" s="669">
        <v>193802158</v>
      </c>
      <c r="L347" s="574"/>
      <c r="M347" s="370">
        <v>40434</v>
      </c>
      <c r="N347" s="376">
        <v>29500</v>
      </c>
      <c r="O347" s="376">
        <v>15000</v>
      </c>
      <c r="P347" s="376">
        <v>-442500000</v>
      </c>
      <c r="Q347" s="388" t="s">
        <v>840</v>
      </c>
    </row>
    <row r="348" spans="3:18">
      <c r="D348" s="660">
        <v>41011</v>
      </c>
      <c r="E348" s="669"/>
      <c r="F348" s="669"/>
      <c r="G348" s="669">
        <v>204334884</v>
      </c>
      <c r="M348" s="389">
        <v>40305</v>
      </c>
      <c r="N348" s="373">
        <v>43333</v>
      </c>
      <c r="O348" s="374">
        <f>+P348/N348</f>
        <v>21743.393026100202</v>
      </c>
      <c r="P348" s="375">
        <v>942206450</v>
      </c>
      <c r="Q348" s="371" t="s">
        <v>840</v>
      </c>
    </row>
    <row r="349" spans="3:18">
      <c r="D349" s="660">
        <v>41080</v>
      </c>
      <c r="E349" s="669"/>
      <c r="F349" s="669"/>
      <c r="G349" s="669">
        <v>1176000000</v>
      </c>
      <c r="M349" s="389">
        <v>40310</v>
      </c>
      <c r="N349" s="377">
        <v>63000</v>
      </c>
      <c r="O349" s="378">
        <f t="shared" ref="O349:O369" si="32">+P349/N349</f>
        <v>22370.305555555555</v>
      </c>
      <c r="P349" s="379">
        <v>1409329250</v>
      </c>
      <c r="Q349" s="371" t="s">
        <v>840</v>
      </c>
    </row>
    <row r="350" spans="3:18">
      <c r="D350" s="660">
        <v>41102</v>
      </c>
      <c r="E350" s="669"/>
      <c r="F350" s="669"/>
      <c r="G350" s="669">
        <v>191695613</v>
      </c>
      <c r="M350" s="389">
        <v>40323</v>
      </c>
      <c r="N350" s="377">
        <v>29535</v>
      </c>
      <c r="O350" s="378">
        <f t="shared" si="32"/>
        <v>22148.759099373623</v>
      </c>
      <c r="P350" s="379">
        <v>654163600</v>
      </c>
      <c r="Q350" s="371" t="s">
        <v>840</v>
      </c>
    </row>
    <row r="351" spans="3:18" ht="16.5">
      <c r="D351" s="660">
        <v>41110</v>
      </c>
      <c r="E351" s="669"/>
      <c r="F351" s="669"/>
      <c r="G351" s="669">
        <v>4704000000</v>
      </c>
      <c r="L351" s="574"/>
      <c r="M351" s="389">
        <v>40325</v>
      </c>
      <c r="N351" s="377">
        <v>21218</v>
      </c>
      <c r="O351" s="378">
        <f t="shared" si="32"/>
        <v>20082.514845885569</v>
      </c>
      <c r="P351" s="379">
        <v>426110800</v>
      </c>
      <c r="Q351" s="371" t="s">
        <v>840</v>
      </c>
    </row>
    <row r="352" spans="3:18">
      <c r="D352" s="660">
        <v>41194</v>
      </c>
      <c r="E352" s="669"/>
      <c r="F352" s="669"/>
      <c r="G352" s="669">
        <v>12639271</v>
      </c>
      <c r="H352" s="679">
        <f>+XIRR(G339:G352,D339:D352)</f>
        <v>-0.12627136893570418</v>
      </c>
      <c r="M352" s="389">
        <v>40326</v>
      </c>
      <c r="N352" s="377">
        <v>54247</v>
      </c>
      <c r="O352" s="378">
        <f t="shared" si="32"/>
        <v>19559.248437701623</v>
      </c>
      <c r="P352" s="379">
        <v>1061030550</v>
      </c>
      <c r="Q352" s="371" t="s">
        <v>840</v>
      </c>
    </row>
    <row r="353" spans="3:17">
      <c r="M353" s="389">
        <v>40329</v>
      </c>
      <c r="N353" s="377">
        <v>10000</v>
      </c>
      <c r="O353" s="378">
        <f t="shared" si="32"/>
        <v>19562.5</v>
      </c>
      <c r="P353" s="379">
        <v>195625000</v>
      </c>
      <c r="Q353" s="371" t="s">
        <v>840</v>
      </c>
    </row>
    <row r="354" spans="3:17">
      <c r="M354" s="389">
        <v>40330</v>
      </c>
      <c r="N354" s="377">
        <v>43697</v>
      </c>
      <c r="O354" s="378">
        <f t="shared" si="32"/>
        <v>21094.097992997231</v>
      </c>
      <c r="P354" s="379">
        <v>921748800</v>
      </c>
      <c r="Q354" s="371" t="s">
        <v>840</v>
      </c>
    </row>
    <row r="355" spans="3:17">
      <c r="C355" s="609" t="s">
        <v>1347</v>
      </c>
      <c r="D355" s="640">
        <v>39813</v>
      </c>
      <c r="E355" s="609"/>
      <c r="F355" s="609"/>
      <c r="G355" s="641">
        <v>-500000000</v>
      </c>
      <c r="M355" s="389">
        <v>40332</v>
      </c>
      <c r="N355" s="377">
        <v>27990</v>
      </c>
      <c r="O355" s="378">
        <f t="shared" si="32"/>
        <v>21218.363701321901</v>
      </c>
      <c r="P355" s="379">
        <v>593902000</v>
      </c>
      <c r="Q355" s="371" t="s">
        <v>840</v>
      </c>
    </row>
    <row r="356" spans="3:17">
      <c r="D356" s="640">
        <v>39825</v>
      </c>
      <c r="E356" s="609"/>
      <c r="F356" s="609"/>
      <c r="G356" s="641">
        <v>502794521</v>
      </c>
      <c r="H356" s="679">
        <f>+XIRR(G355:G356,D355:D356)</f>
        <v>0.18474400639534</v>
      </c>
      <c r="M356" s="389">
        <v>40336</v>
      </c>
      <c r="N356" s="377">
        <v>5351</v>
      </c>
      <c r="O356" s="378">
        <f t="shared" si="32"/>
        <v>21002.336011960382</v>
      </c>
      <c r="P356" s="379">
        <v>112383500</v>
      </c>
      <c r="Q356" s="371" t="s">
        <v>840</v>
      </c>
    </row>
    <row r="357" spans="3:17">
      <c r="M357" s="389">
        <v>40337</v>
      </c>
      <c r="N357" s="377">
        <v>55594</v>
      </c>
      <c r="O357" s="378">
        <f t="shared" si="32"/>
        <v>20308.201424614166</v>
      </c>
      <c r="P357" s="379">
        <v>1129014150</v>
      </c>
      <c r="Q357" s="371" t="s">
        <v>840</v>
      </c>
    </row>
    <row r="358" spans="3:17">
      <c r="D358" s="640">
        <v>39993</v>
      </c>
      <c r="E358" s="609"/>
      <c r="F358" s="609"/>
      <c r="G358" s="641">
        <v>-1800000000</v>
      </c>
      <c r="M358" s="389">
        <v>40338</v>
      </c>
      <c r="N358" s="377">
        <v>24868</v>
      </c>
      <c r="O358" s="378">
        <f t="shared" si="32"/>
        <v>19459.087984558468</v>
      </c>
      <c r="P358" s="379">
        <v>483908600</v>
      </c>
      <c r="Q358" s="371" t="s">
        <v>840</v>
      </c>
    </row>
    <row r="359" spans="3:17">
      <c r="D359" s="640">
        <v>40004</v>
      </c>
      <c r="E359" s="609"/>
      <c r="F359" s="609"/>
      <c r="G359" s="641">
        <v>1805967123</v>
      </c>
      <c r="H359" s="314">
        <f>+XIRR(G358:G359,D358:D359)</f>
        <v>0.11607499718666078</v>
      </c>
      <c r="M359" s="389">
        <v>40340</v>
      </c>
      <c r="N359" s="377">
        <v>45396</v>
      </c>
      <c r="O359" s="378">
        <f t="shared" si="32"/>
        <v>20115.40664375716</v>
      </c>
      <c r="P359" s="379">
        <v>913159000</v>
      </c>
      <c r="Q359" s="371" t="s">
        <v>840</v>
      </c>
    </row>
    <row r="360" spans="3:17">
      <c r="M360" s="389">
        <v>40343</v>
      </c>
      <c r="N360" s="377">
        <v>39604</v>
      </c>
      <c r="O360" s="378">
        <f t="shared" si="32"/>
        <v>20392.172507827494</v>
      </c>
      <c r="P360" s="379">
        <v>807611600</v>
      </c>
      <c r="Q360" s="371" t="s">
        <v>840</v>
      </c>
    </row>
    <row r="361" spans="3:17">
      <c r="D361" s="642">
        <v>40175</v>
      </c>
      <c r="E361" s="656"/>
      <c r="F361" s="656"/>
      <c r="G361" s="610">
        <v>-1700000000</v>
      </c>
      <c r="M361" s="389">
        <v>40345</v>
      </c>
      <c r="N361" s="377">
        <v>85000</v>
      </c>
      <c r="O361" s="378">
        <f t="shared" si="32"/>
        <v>21044.082941176472</v>
      </c>
      <c r="P361" s="379">
        <v>1788747050</v>
      </c>
      <c r="Q361" s="371" t="s">
        <v>840</v>
      </c>
    </row>
    <row r="362" spans="3:17">
      <c r="D362" s="642">
        <v>40289</v>
      </c>
      <c r="E362" s="656"/>
      <c r="F362" s="656"/>
      <c r="G362" s="610">
        <v>206246575</v>
      </c>
      <c r="M362" s="389">
        <v>40346</v>
      </c>
      <c r="N362" s="377">
        <v>42718</v>
      </c>
      <c r="O362" s="378">
        <f t="shared" si="32"/>
        <v>21098.829533217846</v>
      </c>
      <c r="P362" s="379">
        <v>901299800</v>
      </c>
      <c r="Q362" s="371" t="s">
        <v>840</v>
      </c>
    </row>
    <row r="363" spans="3:17">
      <c r="D363" s="652">
        <v>40297</v>
      </c>
      <c r="E363" s="654"/>
      <c r="F363" s="654"/>
      <c r="G363" s="657">
        <v>1500000000</v>
      </c>
      <c r="M363" s="389">
        <v>40347</v>
      </c>
      <c r="N363" s="377">
        <v>42282</v>
      </c>
      <c r="O363" s="378">
        <f t="shared" si="32"/>
        <v>21124.121375526229</v>
      </c>
      <c r="P363" s="379">
        <v>893170100</v>
      </c>
      <c r="Q363" s="371" t="s">
        <v>840</v>
      </c>
    </row>
    <row r="364" spans="3:17">
      <c r="D364" s="651">
        <v>40653</v>
      </c>
      <c r="E364" s="655"/>
      <c r="F364" s="655"/>
      <c r="G364" s="614">
        <v>50136986</v>
      </c>
      <c r="H364" s="314">
        <f>+XIRR(G361:G364,D361:D364)</f>
        <v>9.5329841971397405E-2</v>
      </c>
      <c r="M364" s="389">
        <v>40352</v>
      </c>
      <c r="N364" s="377">
        <v>85000</v>
      </c>
      <c r="O364" s="378">
        <f t="shared" si="32"/>
        <v>21687.117647058825</v>
      </c>
      <c r="P364" s="379">
        <v>1843405000</v>
      </c>
      <c r="Q364" s="371" t="s">
        <v>840</v>
      </c>
    </row>
    <row r="365" spans="3:17">
      <c r="M365" s="389">
        <v>40429</v>
      </c>
      <c r="N365" s="377">
        <v>21387</v>
      </c>
      <c r="O365" s="378">
        <f t="shared" si="32"/>
        <v>21950</v>
      </c>
      <c r="P365" s="379">
        <v>469444650</v>
      </c>
      <c r="Q365" s="371" t="s">
        <v>840</v>
      </c>
    </row>
    <row r="366" spans="3:17">
      <c r="M366" s="389">
        <v>40435</v>
      </c>
      <c r="N366" s="377">
        <v>18613</v>
      </c>
      <c r="O366" s="378">
        <f t="shared" si="32"/>
        <v>21376.862945253317</v>
      </c>
      <c r="P366" s="379">
        <v>397887550</v>
      </c>
      <c r="Q366" s="371" t="s">
        <v>840</v>
      </c>
    </row>
    <row r="367" spans="3:17">
      <c r="C367" s="656" t="s">
        <v>1348</v>
      </c>
      <c r="D367" s="642">
        <v>40297</v>
      </c>
      <c r="E367" s="610">
        <v>125000</v>
      </c>
      <c r="F367" s="610">
        <v>12000</v>
      </c>
      <c r="G367" s="610">
        <f>-+E367*F367</f>
        <v>-1500000000</v>
      </c>
      <c r="M367" s="389">
        <v>40436</v>
      </c>
      <c r="N367" s="377">
        <v>20000</v>
      </c>
      <c r="O367" s="378">
        <f t="shared" si="32"/>
        <v>21085</v>
      </c>
      <c r="P367" s="379">
        <v>421700000</v>
      </c>
      <c r="Q367" s="371" t="s">
        <v>840</v>
      </c>
    </row>
    <row r="368" spans="3:17">
      <c r="D368" s="605">
        <v>40347</v>
      </c>
      <c r="E368" s="610">
        <v>12500</v>
      </c>
      <c r="F368" s="610">
        <f>+G368/E368</f>
        <v>21068</v>
      </c>
      <c r="G368" s="610">
        <v>263350000</v>
      </c>
      <c r="M368" s="389">
        <v>40437</v>
      </c>
      <c r="N368" s="377">
        <v>30000</v>
      </c>
      <c r="O368" s="378">
        <f t="shared" si="32"/>
        <v>21205</v>
      </c>
      <c r="P368" s="379">
        <v>636150000</v>
      </c>
      <c r="Q368" s="371" t="s">
        <v>840</v>
      </c>
    </row>
    <row r="369" spans="4:17">
      <c r="D369" s="627">
        <v>40350</v>
      </c>
      <c r="E369" s="657">
        <v>12500</v>
      </c>
      <c r="F369" s="657">
        <f>+G369/E369</f>
        <v>21275</v>
      </c>
      <c r="G369" s="657">
        <v>265937500</v>
      </c>
      <c r="M369" s="390">
        <v>40438</v>
      </c>
      <c r="N369" s="380">
        <v>24500</v>
      </c>
      <c r="O369" s="381">
        <f t="shared" si="32"/>
        <v>21171.428571428572</v>
      </c>
      <c r="P369" s="382">
        <v>518700000</v>
      </c>
      <c r="Q369" s="367" t="s">
        <v>840</v>
      </c>
    </row>
    <row r="370" spans="4:17">
      <c r="D370" s="627">
        <v>40351</v>
      </c>
      <c r="E370" s="657">
        <v>6250</v>
      </c>
      <c r="F370" s="657">
        <f>+G370/E370</f>
        <v>21050</v>
      </c>
      <c r="G370" s="657">
        <v>131562500</v>
      </c>
      <c r="P370" s="363">
        <f>+XIRR(P237:P369,M237:M369)</f>
        <v>2.8838214159011839</v>
      </c>
    </row>
    <row r="371" spans="4:17">
      <c r="D371" s="627">
        <v>40352</v>
      </c>
      <c r="E371" s="657">
        <v>6250</v>
      </c>
      <c r="F371" s="657">
        <f>+G371/E371</f>
        <v>21600</v>
      </c>
      <c r="G371" s="657">
        <v>135000000</v>
      </c>
    </row>
    <row r="372" spans="4:17">
      <c r="D372" s="627">
        <v>40353</v>
      </c>
      <c r="E372" s="657">
        <v>12500</v>
      </c>
      <c r="F372" s="657">
        <f>+G372/E372</f>
        <v>22000</v>
      </c>
      <c r="G372" s="657">
        <v>275000000</v>
      </c>
    </row>
    <row r="373" spans="4:17">
      <c r="D373" s="627">
        <v>40372</v>
      </c>
      <c r="E373" s="657">
        <v>12500</v>
      </c>
      <c r="F373" s="657">
        <v>20732</v>
      </c>
      <c r="G373" s="657">
        <v>259150000</v>
      </c>
    </row>
    <row r="374" spans="4:17">
      <c r="D374" s="627">
        <v>40374</v>
      </c>
      <c r="E374" s="657">
        <v>12500</v>
      </c>
      <c r="F374" s="657">
        <v>20900</v>
      </c>
      <c r="G374" s="657">
        <v>261250000</v>
      </c>
    </row>
    <row r="375" spans="4:17">
      <c r="D375" s="627">
        <v>40375</v>
      </c>
      <c r="E375" s="657">
        <v>12500</v>
      </c>
      <c r="F375" s="657">
        <v>21000</v>
      </c>
      <c r="G375" s="657">
        <v>262500000</v>
      </c>
    </row>
    <row r="376" spans="4:17">
      <c r="D376" s="627">
        <v>40648</v>
      </c>
      <c r="E376" s="657">
        <v>0</v>
      </c>
      <c r="F376" s="657">
        <v>0</v>
      </c>
      <c r="G376" s="657">
        <v>2812500</v>
      </c>
    </row>
    <row r="377" spans="4:17">
      <c r="D377" s="627">
        <v>40752</v>
      </c>
      <c r="E377" s="657">
        <v>3750</v>
      </c>
      <c r="F377" s="657">
        <v>50000</v>
      </c>
      <c r="G377" s="657">
        <f>+E377*F377</f>
        <v>187500000</v>
      </c>
    </row>
    <row r="378" spans="4:17">
      <c r="D378" s="627">
        <v>40760</v>
      </c>
      <c r="E378" s="657">
        <v>3600</v>
      </c>
      <c r="F378" s="657">
        <f>+G378/E378</f>
        <v>46938.125</v>
      </c>
      <c r="G378" s="657">
        <v>168977250</v>
      </c>
    </row>
    <row r="379" spans="4:17">
      <c r="D379" s="627">
        <v>40763</v>
      </c>
      <c r="E379" s="666">
        <v>900</v>
      </c>
      <c r="F379" s="666">
        <v>48800</v>
      </c>
      <c r="G379" s="666">
        <f>+E379*F379</f>
        <v>43920000</v>
      </c>
    </row>
    <row r="380" spans="4:17">
      <c r="D380" s="627">
        <v>40772</v>
      </c>
      <c r="E380" s="666">
        <v>6750</v>
      </c>
      <c r="F380" s="666">
        <v>45650</v>
      </c>
      <c r="G380" s="666">
        <f>+E380*F380</f>
        <v>308137500</v>
      </c>
    </row>
    <row r="381" spans="4:17">
      <c r="D381" s="627">
        <v>40773</v>
      </c>
      <c r="E381" s="666">
        <v>3750</v>
      </c>
      <c r="F381" s="666">
        <v>46000</v>
      </c>
      <c r="G381" s="666">
        <f>+E381*F381</f>
        <v>172500000</v>
      </c>
    </row>
    <row r="382" spans="4:17">
      <c r="D382" s="627">
        <v>41018</v>
      </c>
      <c r="E382" s="666">
        <v>0</v>
      </c>
      <c r="F382" s="666">
        <v>0</v>
      </c>
      <c r="G382" s="666">
        <v>1875000</v>
      </c>
    </row>
    <row r="383" spans="4:17">
      <c r="D383" s="627">
        <v>41045</v>
      </c>
      <c r="E383" s="617">
        <v>6000</v>
      </c>
      <c r="F383" s="666">
        <f t="shared" ref="F383:F388" si="33">+G383/E383</f>
        <v>48626.23333333333</v>
      </c>
      <c r="G383" s="666">
        <v>291757400</v>
      </c>
    </row>
    <row r="384" spans="4:17">
      <c r="D384" s="627">
        <v>41064</v>
      </c>
      <c r="E384" s="617">
        <v>3600</v>
      </c>
      <c r="F384" s="666">
        <f t="shared" si="33"/>
        <v>33000</v>
      </c>
      <c r="G384" s="666">
        <v>118800000</v>
      </c>
    </row>
    <row r="385" spans="3:8">
      <c r="D385" s="627">
        <v>41065</v>
      </c>
      <c r="E385" s="617">
        <v>3600</v>
      </c>
      <c r="F385" s="666">
        <f t="shared" si="33"/>
        <v>34500</v>
      </c>
      <c r="G385" s="666">
        <v>124200000</v>
      </c>
    </row>
    <row r="386" spans="3:8">
      <c r="D386" s="627">
        <v>41068</v>
      </c>
      <c r="E386" s="617">
        <v>3600</v>
      </c>
      <c r="F386" s="666">
        <f t="shared" si="33"/>
        <v>33100</v>
      </c>
      <c r="G386" s="666">
        <v>119160000</v>
      </c>
    </row>
    <row r="387" spans="3:8">
      <c r="D387" s="627">
        <v>41071</v>
      </c>
      <c r="E387" s="617">
        <v>1950</v>
      </c>
      <c r="F387" s="666">
        <f t="shared" si="33"/>
        <v>34000</v>
      </c>
      <c r="G387" s="666">
        <v>66300000</v>
      </c>
    </row>
    <row r="388" spans="3:8">
      <c r="D388" s="606">
        <v>41093</v>
      </c>
      <c r="E388" s="622">
        <v>6375</v>
      </c>
      <c r="F388" s="618">
        <f t="shared" si="33"/>
        <v>29500</v>
      </c>
      <c r="G388" s="618">
        <v>188062500</v>
      </c>
      <c r="H388" s="314">
        <f>+XIRR(G367:G388,D367:D388)</f>
        <v>4.5878284931182867</v>
      </c>
    </row>
    <row r="391" spans="3:8">
      <c r="C391" s="609" t="s">
        <v>1347</v>
      </c>
      <c r="D391" s="640">
        <v>39813</v>
      </c>
      <c r="E391" s="641"/>
      <c r="F391" s="641"/>
      <c r="G391" s="641">
        <v>-3800000000</v>
      </c>
    </row>
    <row r="392" spans="3:8">
      <c r="D392" s="640">
        <v>39825</v>
      </c>
      <c r="E392" s="641"/>
      <c r="F392" s="641"/>
      <c r="G392" s="641">
        <v>3821238356</v>
      </c>
      <c r="H392" s="314">
        <f>+XIRR(G391:G392,D391:D392)</f>
        <v>0.18474397063255313</v>
      </c>
    </row>
    <row r="395" spans="3:8">
      <c r="C395" s="609" t="s">
        <v>1347</v>
      </c>
      <c r="D395" s="640">
        <v>39993</v>
      </c>
      <c r="E395" s="641"/>
      <c r="F395" s="641"/>
      <c r="G395" s="641">
        <v>-2200000000</v>
      </c>
    </row>
    <row r="396" spans="3:8">
      <c r="D396" s="640">
        <v>40004</v>
      </c>
      <c r="E396" s="641"/>
      <c r="F396" s="641"/>
      <c r="G396" s="641">
        <v>2207293151</v>
      </c>
      <c r="H396" s="314">
        <f>+XIRR(G395:G396,D395:D396)</f>
        <v>0.11607500910758972</v>
      </c>
    </row>
    <row r="398" spans="3:8">
      <c r="C398" s="656" t="s">
        <v>1347</v>
      </c>
      <c r="D398" s="642">
        <v>40175</v>
      </c>
      <c r="E398" s="610"/>
      <c r="F398" s="610"/>
      <c r="G398" s="610">
        <v>-800000000</v>
      </c>
    </row>
    <row r="399" spans="3:8">
      <c r="C399" s="655" t="s">
        <v>1347</v>
      </c>
      <c r="D399" s="651">
        <v>40289</v>
      </c>
      <c r="E399" s="614"/>
      <c r="F399" s="614"/>
      <c r="G399" s="614">
        <v>-200000000</v>
      </c>
    </row>
    <row r="400" spans="3:8">
      <c r="D400" s="605">
        <v>40297</v>
      </c>
      <c r="E400" s="610"/>
      <c r="F400" s="610"/>
      <c r="G400" s="610">
        <v>1000000000</v>
      </c>
    </row>
    <row r="401" spans="3:8">
      <c r="D401" s="651">
        <v>40653</v>
      </c>
      <c r="E401" s="614"/>
      <c r="F401" s="614"/>
      <c r="G401" s="614">
        <v>27178082</v>
      </c>
      <c r="H401" s="314">
        <f>+XIRR(G398:G401,D398:D401)</f>
        <v>9.4418087601661677E-2</v>
      </c>
    </row>
    <row r="404" spans="3:8">
      <c r="C404" s="656" t="s">
        <v>1349</v>
      </c>
      <c r="D404" s="642">
        <v>39997</v>
      </c>
      <c r="E404" s="610"/>
      <c r="F404" s="610"/>
      <c r="G404" s="610">
        <v>-1000000000</v>
      </c>
    </row>
    <row r="405" spans="3:8">
      <c r="D405" s="642">
        <v>40004</v>
      </c>
      <c r="E405" s="610"/>
      <c r="F405" s="610"/>
      <c r="G405" s="610">
        <v>170358630</v>
      </c>
    </row>
    <row r="406" spans="3:8">
      <c r="D406" s="652">
        <v>40039</v>
      </c>
      <c r="E406" s="657"/>
      <c r="F406" s="657"/>
      <c r="G406" s="657">
        <v>303797260</v>
      </c>
    </row>
    <row r="407" spans="3:8">
      <c r="D407" s="652">
        <v>40085</v>
      </c>
      <c r="E407" s="657"/>
      <c r="F407" s="657"/>
      <c r="G407" s="657">
        <v>133447671</v>
      </c>
    </row>
    <row r="408" spans="3:8">
      <c r="D408" s="652">
        <v>40085</v>
      </c>
      <c r="E408" s="657"/>
      <c r="F408" s="657"/>
      <c r="G408" s="657">
        <v>10728767</v>
      </c>
    </row>
    <row r="409" spans="3:8">
      <c r="D409" s="652">
        <v>40178</v>
      </c>
      <c r="E409" s="657"/>
      <c r="F409" s="657"/>
      <c r="G409" s="657">
        <v>11090411</v>
      </c>
    </row>
    <row r="410" spans="3:8">
      <c r="D410" s="652">
        <v>40269</v>
      </c>
      <c r="E410" s="657"/>
      <c r="F410" s="657"/>
      <c r="G410" s="657">
        <v>10849315</v>
      </c>
    </row>
    <row r="411" spans="3:8">
      <c r="D411" s="652">
        <v>40329</v>
      </c>
      <c r="E411" s="657"/>
      <c r="F411" s="657"/>
      <c r="G411" s="657">
        <v>101838356</v>
      </c>
    </row>
    <row r="412" spans="3:8">
      <c r="D412" s="652">
        <v>40359</v>
      </c>
      <c r="E412" s="657"/>
      <c r="F412" s="657"/>
      <c r="G412" s="657">
        <v>8227397</v>
      </c>
    </row>
    <row r="413" spans="3:8">
      <c r="D413" s="652">
        <v>40452</v>
      </c>
      <c r="E413" s="657"/>
      <c r="F413" s="657"/>
      <c r="G413" s="657">
        <v>8317808</v>
      </c>
    </row>
    <row r="414" spans="3:8">
      <c r="D414" s="652">
        <v>40546</v>
      </c>
      <c r="E414" s="657"/>
      <c r="F414" s="657"/>
      <c r="G414" s="657">
        <v>8317808</v>
      </c>
    </row>
    <row r="415" spans="3:8">
      <c r="D415" s="652">
        <v>40634</v>
      </c>
      <c r="E415" s="657"/>
      <c r="F415" s="657"/>
      <c r="G415" s="657">
        <v>8136986</v>
      </c>
    </row>
    <row r="416" spans="3:8">
      <c r="D416" s="652">
        <v>40651</v>
      </c>
      <c r="E416" s="657"/>
      <c r="F416" s="657"/>
      <c r="G416" s="657">
        <v>150813699</v>
      </c>
    </row>
    <row r="417" spans="3:8">
      <c r="D417" s="652">
        <v>40728</v>
      </c>
      <c r="E417" s="657"/>
      <c r="F417" s="657"/>
      <c r="G417" s="657">
        <v>4113699</v>
      </c>
    </row>
    <row r="418" spans="3:8">
      <c r="D418" s="651">
        <v>40757</v>
      </c>
      <c r="E418" s="614"/>
      <c r="F418" s="614"/>
      <c r="G418" s="614">
        <v>151491781</v>
      </c>
      <c r="H418" s="679">
        <f>+XIRR(G404:G418,D404:D418)</f>
        <v>0.1147000014781952</v>
      </c>
    </row>
    <row r="420" spans="3:8">
      <c r="C420" s="656" t="s">
        <v>1348</v>
      </c>
      <c r="D420" s="642">
        <v>40297</v>
      </c>
      <c r="E420" s="610">
        <v>83333</v>
      </c>
      <c r="F420" s="610">
        <v>12000</v>
      </c>
      <c r="G420" s="610">
        <v>-1000000000</v>
      </c>
    </row>
    <row r="421" spans="3:8">
      <c r="D421" s="605">
        <v>40347</v>
      </c>
      <c r="E421" s="610">
        <v>8333</v>
      </c>
      <c r="F421" s="610">
        <f>+G421/E421</f>
        <v>21087.9995199808</v>
      </c>
      <c r="G421" s="610">
        <v>175726300</v>
      </c>
    </row>
    <row r="422" spans="3:8">
      <c r="D422" s="627">
        <v>40350</v>
      </c>
      <c r="E422" s="657">
        <v>8334</v>
      </c>
      <c r="F422" s="657">
        <f t="shared" ref="F422:F428" si="34">+G422/E422</f>
        <v>21285.067194624429</v>
      </c>
      <c r="G422" s="657">
        <v>177389750</v>
      </c>
    </row>
    <row r="423" spans="3:8">
      <c r="D423" s="627">
        <v>40351</v>
      </c>
      <c r="E423" s="657">
        <v>4167</v>
      </c>
      <c r="F423" s="657">
        <f t="shared" si="34"/>
        <v>21050</v>
      </c>
      <c r="G423" s="657">
        <v>87715350</v>
      </c>
    </row>
    <row r="424" spans="3:8">
      <c r="D424" s="627">
        <v>40352</v>
      </c>
      <c r="E424" s="657">
        <v>4167</v>
      </c>
      <c r="F424" s="657">
        <f t="shared" si="34"/>
        <v>21600</v>
      </c>
      <c r="G424" s="657">
        <v>90007200</v>
      </c>
    </row>
    <row r="425" spans="3:8">
      <c r="D425" s="627">
        <v>40353</v>
      </c>
      <c r="E425" s="657">
        <v>8334</v>
      </c>
      <c r="F425" s="657">
        <f t="shared" si="34"/>
        <v>22000</v>
      </c>
      <c r="G425" s="657">
        <v>183348000</v>
      </c>
    </row>
    <row r="426" spans="3:8">
      <c r="D426" s="627">
        <v>40372</v>
      </c>
      <c r="E426" s="657">
        <v>8334</v>
      </c>
      <c r="F426" s="657">
        <f t="shared" si="34"/>
        <v>20726.001919846411</v>
      </c>
      <c r="G426" s="657">
        <v>172730500</v>
      </c>
    </row>
    <row r="427" spans="3:8">
      <c r="D427" s="627">
        <v>40374</v>
      </c>
      <c r="E427" s="657">
        <v>8334</v>
      </c>
      <c r="F427" s="657">
        <f t="shared" si="34"/>
        <v>20900</v>
      </c>
      <c r="G427" s="657">
        <v>174180600</v>
      </c>
    </row>
    <row r="428" spans="3:8">
      <c r="D428" s="627">
        <v>40375</v>
      </c>
      <c r="E428" s="657">
        <v>8334</v>
      </c>
      <c r="F428" s="657">
        <f t="shared" si="34"/>
        <v>21000</v>
      </c>
      <c r="G428" s="657">
        <v>175014000</v>
      </c>
    </row>
    <row r="429" spans="3:8">
      <c r="D429" s="627">
        <v>40648</v>
      </c>
      <c r="E429" s="657">
        <v>0</v>
      </c>
      <c r="F429" s="657">
        <v>0</v>
      </c>
      <c r="G429" s="657">
        <v>1874700</v>
      </c>
    </row>
    <row r="430" spans="3:8">
      <c r="D430" s="627">
        <v>40752</v>
      </c>
      <c r="E430" s="657">
        <v>2499</v>
      </c>
      <c r="F430" s="657">
        <v>50000</v>
      </c>
      <c r="G430" s="657">
        <f>+E430*F430</f>
        <v>124950000</v>
      </c>
    </row>
    <row r="431" spans="3:8">
      <c r="D431" s="627">
        <v>40760</v>
      </c>
      <c r="E431" s="657">
        <v>2400</v>
      </c>
      <c r="F431" s="657">
        <v>46900</v>
      </c>
      <c r="G431" s="657">
        <f>+E431*F431</f>
        <v>112560000</v>
      </c>
    </row>
    <row r="432" spans="3:8">
      <c r="D432" s="627">
        <v>40763</v>
      </c>
      <c r="E432" s="666">
        <v>600</v>
      </c>
      <c r="F432" s="666">
        <v>48800</v>
      </c>
      <c r="G432" s="666">
        <f>+E432*F432</f>
        <v>29280000</v>
      </c>
    </row>
    <row r="433" spans="3:8">
      <c r="D433" s="627">
        <v>40772</v>
      </c>
      <c r="E433" s="666">
        <v>4500</v>
      </c>
      <c r="F433" s="666">
        <v>45650</v>
      </c>
      <c r="G433" s="666">
        <f>+E433*F433</f>
        <v>205425000</v>
      </c>
    </row>
    <row r="434" spans="3:8">
      <c r="D434" s="627">
        <v>40773</v>
      </c>
      <c r="E434" s="666">
        <v>2500</v>
      </c>
      <c r="F434" s="666">
        <v>46000</v>
      </c>
      <c r="G434" s="666">
        <f>+E434*F434</f>
        <v>115000000</v>
      </c>
    </row>
    <row r="435" spans="3:8">
      <c r="D435" s="627">
        <v>41018</v>
      </c>
      <c r="E435" s="666">
        <v>0</v>
      </c>
      <c r="F435" s="666">
        <v>0</v>
      </c>
      <c r="G435" s="666">
        <v>1249700</v>
      </c>
    </row>
    <row r="436" spans="3:8">
      <c r="D436" s="616">
        <v>41045</v>
      </c>
      <c r="E436" s="617">
        <v>4000</v>
      </c>
      <c r="F436" s="666">
        <f t="shared" ref="F436:F441" si="35">+G436/E436</f>
        <v>48625</v>
      </c>
      <c r="G436" s="666">
        <v>194500000</v>
      </c>
    </row>
    <row r="437" spans="3:8">
      <c r="D437" s="616">
        <v>41064</v>
      </c>
      <c r="E437" s="617">
        <v>2400</v>
      </c>
      <c r="F437" s="666">
        <f t="shared" si="35"/>
        <v>33000</v>
      </c>
      <c r="G437" s="666">
        <v>79200000</v>
      </c>
    </row>
    <row r="438" spans="3:8">
      <c r="D438" s="616">
        <v>41065</v>
      </c>
      <c r="E438" s="617">
        <v>2400</v>
      </c>
      <c r="F438" s="666">
        <f t="shared" si="35"/>
        <v>34500</v>
      </c>
      <c r="G438" s="666">
        <v>82800000</v>
      </c>
    </row>
    <row r="439" spans="3:8">
      <c r="D439" s="616">
        <v>41068</v>
      </c>
      <c r="E439" s="617">
        <v>2400</v>
      </c>
      <c r="F439" s="666">
        <f t="shared" si="35"/>
        <v>33100</v>
      </c>
      <c r="G439" s="666">
        <v>79440000</v>
      </c>
    </row>
    <row r="440" spans="3:8">
      <c r="D440" s="616">
        <v>41071</v>
      </c>
      <c r="E440" s="617">
        <v>1297</v>
      </c>
      <c r="F440" s="666">
        <f t="shared" si="35"/>
        <v>34000</v>
      </c>
      <c r="G440" s="666">
        <v>44098000</v>
      </c>
    </row>
    <row r="441" spans="3:8">
      <c r="D441" s="621">
        <v>41093</v>
      </c>
      <c r="E441" s="622">
        <v>4248</v>
      </c>
      <c r="F441" s="618">
        <f t="shared" si="35"/>
        <v>29505.896892655368</v>
      </c>
      <c r="G441" s="618">
        <v>125341050</v>
      </c>
      <c r="H441" s="314">
        <f>+XIRR(G420:G441,D420:D441)</f>
        <v>4.5918724536895761</v>
      </c>
    </row>
    <row r="444" spans="3:8">
      <c r="C444" s="609" t="s">
        <v>1347</v>
      </c>
      <c r="D444" s="395">
        <v>39825</v>
      </c>
      <c r="E444" s="609"/>
      <c r="F444" s="609"/>
      <c r="G444" s="641">
        <v>-5000000000</v>
      </c>
    </row>
    <row r="445" spans="3:8">
      <c r="C445" s="653" t="s">
        <v>1348</v>
      </c>
      <c r="D445" s="623">
        <v>40294</v>
      </c>
      <c r="E445" s="644">
        <v>208333</v>
      </c>
      <c r="F445" s="644">
        <v>12000</v>
      </c>
      <c r="G445" s="644">
        <v>-2500000000</v>
      </c>
    </row>
    <row r="446" spans="3:8">
      <c r="D446" s="395">
        <v>40323</v>
      </c>
      <c r="E446" s="609"/>
      <c r="F446" s="609"/>
      <c r="G446" s="641">
        <v>6194434616</v>
      </c>
    </row>
    <row r="447" spans="3:8">
      <c r="D447" s="604">
        <v>40297</v>
      </c>
      <c r="E447" s="644" t="e">
        <f>+#REF!</f>
        <v>#REF!</v>
      </c>
      <c r="F447" s="644" t="e">
        <f>+G447/E447</f>
        <v>#REF!</v>
      </c>
      <c r="G447" s="644">
        <v>4557045750</v>
      </c>
      <c r="H447" s="396">
        <f>+XIRR(G444:G447,D444:D447)</f>
        <v>0.44969676136970527</v>
      </c>
    </row>
    <row r="450" spans="1:8">
      <c r="A450" s="505" t="s">
        <v>508</v>
      </c>
      <c r="B450" s="656" t="s">
        <v>1350</v>
      </c>
      <c r="C450" s="656" t="s">
        <v>1347</v>
      </c>
      <c r="D450" s="642">
        <v>39813</v>
      </c>
      <c r="E450" s="656"/>
      <c r="F450" s="656"/>
      <c r="G450" s="610">
        <v>-5000000000</v>
      </c>
      <c r="H450" s="492" t="s">
        <v>1351</v>
      </c>
    </row>
    <row r="451" spans="1:8">
      <c r="D451" s="642">
        <v>39882</v>
      </c>
      <c r="E451" s="656"/>
      <c r="F451" s="656"/>
      <c r="G451" s="610">
        <v>2064273973</v>
      </c>
    </row>
    <row r="452" spans="1:8">
      <c r="D452" s="651">
        <v>40535</v>
      </c>
      <c r="E452" s="655"/>
      <c r="F452" s="655"/>
      <c r="G452" s="614">
        <v>3956879887</v>
      </c>
      <c r="H452" s="679">
        <f>+XIRR(G450:G452,D450:D452)</f>
        <v>0.1521170198917389</v>
      </c>
    </row>
    <row r="456" spans="1:8">
      <c r="B456" s="608" t="s">
        <v>1352</v>
      </c>
      <c r="C456" s="656" t="s">
        <v>1347</v>
      </c>
      <c r="D456" s="642">
        <v>40175</v>
      </c>
      <c r="E456" s="656"/>
      <c r="F456" s="656"/>
      <c r="G456" s="610">
        <v>-1700000000</v>
      </c>
    </row>
    <row r="457" spans="1:8">
      <c r="C457" s="656"/>
      <c r="D457" s="642">
        <v>40289</v>
      </c>
      <c r="E457" s="656"/>
      <c r="F457" s="656"/>
      <c r="G457" s="610">
        <v>206246575</v>
      </c>
    </row>
    <row r="458" spans="1:8">
      <c r="C458" s="656"/>
      <c r="D458" s="652">
        <v>40297</v>
      </c>
      <c r="E458" s="654"/>
      <c r="F458" s="654"/>
      <c r="G458" s="657">
        <v>1500000000</v>
      </c>
    </row>
    <row r="459" spans="1:8">
      <c r="C459" s="656"/>
      <c r="D459" s="651">
        <v>40653</v>
      </c>
      <c r="E459" s="655"/>
      <c r="F459" s="655"/>
      <c r="G459" s="614">
        <v>50136986</v>
      </c>
      <c r="H459" s="314">
        <f>+XIRR(G456:G459,D456:D459)</f>
        <v>9.5329841971397405E-2</v>
      </c>
    </row>
    <row r="460" spans="1:8">
      <c r="B460" s="608" t="s">
        <v>1353</v>
      </c>
      <c r="C460" s="656" t="s">
        <v>1347</v>
      </c>
      <c r="D460" s="642">
        <v>40175</v>
      </c>
      <c r="E460" s="610"/>
      <c r="F460" s="610"/>
      <c r="G460" s="610">
        <v>-800000000</v>
      </c>
    </row>
    <row r="461" spans="1:8">
      <c r="C461" s="655" t="s">
        <v>1347</v>
      </c>
      <c r="D461" s="651">
        <v>40289</v>
      </c>
      <c r="E461" s="614"/>
      <c r="F461" s="614"/>
      <c r="G461" s="614">
        <v>-200000000</v>
      </c>
    </row>
    <row r="462" spans="1:8">
      <c r="C462" s="491"/>
      <c r="D462" s="605">
        <v>40297</v>
      </c>
      <c r="E462" s="610"/>
      <c r="F462" s="610"/>
      <c r="G462" s="610">
        <v>1000000000</v>
      </c>
    </row>
    <row r="463" spans="1:8">
      <c r="C463" s="491"/>
      <c r="D463" s="651">
        <v>40653</v>
      </c>
      <c r="E463" s="614"/>
      <c r="F463" s="614"/>
      <c r="G463" s="614">
        <v>27178082</v>
      </c>
      <c r="H463" s="314">
        <f>+XIRR(G460:G463,D460:D463)</f>
        <v>9.4418087601661677E-2</v>
      </c>
    </row>
    <row r="464" spans="1:8">
      <c r="B464" s="608" t="s">
        <v>1354</v>
      </c>
      <c r="C464" s="656" t="s">
        <v>1347</v>
      </c>
      <c r="D464" s="642">
        <v>40175</v>
      </c>
      <c r="E464" s="610"/>
      <c r="F464" s="610"/>
      <c r="G464" s="610">
        <v>-2500000000</v>
      </c>
    </row>
    <row r="465" spans="1:9">
      <c r="D465" s="605">
        <v>40294</v>
      </c>
      <c r="E465" s="610"/>
      <c r="F465" s="610"/>
      <c r="G465" s="610">
        <v>2500000000</v>
      </c>
    </row>
    <row r="466" spans="1:9">
      <c r="D466" s="606">
        <v>40653</v>
      </c>
      <c r="E466" s="614"/>
      <c r="F466" s="614"/>
      <c r="G466" s="614">
        <v>81506849</v>
      </c>
      <c r="H466" s="314">
        <f>+XIRR(G456:G466,D456:D466)</f>
        <v>9.4701167941093442E-2</v>
      </c>
      <c r="I466" s="314">
        <f>+XIRR(G464:G466,D464:D466)</f>
        <v>9.4364842772483803E-2</v>
      </c>
    </row>
    <row r="470" spans="1:9">
      <c r="A470" s="505" t="s">
        <v>508</v>
      </c>
      <c r="B470" s="653" t="s">
        <v>1355</v>
      </c>
      <c r="C470" s="653" t="s">
        <v>1347</v>
      </c>
      <c r="D470" s="645">
        <v>40323</v>
      </c>
      <c r="E470" s="644"/>
      <c r="F470" s="644"/>
      <c r="G470" s="644">
        <v>-6194434616</v>
      </c>
    </row>
    <row r="471" spans="1:9">
      <c r="D471" s="604">
        <v>40535</v>
      </c>
      <c r="E471" s="644">
        <v>0</v>
      </c>
      <c r="F471" s="644">
        <v>0</v>
      </c>
      <c r="G471" s="644">
        <v>6562053638</v>
      </c>
      <c r="H471" s="679">
        <f>+XIRR(G470:G471,D470:D471)</f>
        <v>0.10435335040092469</v>
      </c>
    </row>
    <row r="473" spans="1:9">
      <c r="A473" s="491" t="s">
        <v>505</v>
      </c>
      <c r="B473" s="656" t="s">
        <v>1356</v>
      </c>
      <c r="C473" s="656" t="s">
        <v>1357</v>
      </c>
      <c r="D473" s="642">
        <v>39645</v>
      </c>
      <c r="E473" s="610"/>
      <c r="F473" s="610"/>
      <c r="G473" s="610">
        <v>-700000000</v>
      </c>
    </row>
    <row r="474" spans="1:9">
      <c r="D474" s="642">
        <v>40298</v>
      </c>
      <c r="E474" s="610"/>
      <c r="F474" s="610"/>
      <c r="G474" s="610">
        <v>408343444</v>
      </c>
    </row>
    <row r="475" spans="1:9">
      <c r="D475" s="651">
        <v>40421</v>
      </c>
      <c r="E475" s="614"/>
      <c r="F475" s="614"/>
      <c r="G475" s="614">
        <v>420375894</v>
      </c>
      <c r="H475" s="679">
        <f>+XIRR(G473:G475,D473:D475)</f>
        <v>9.0000000596046487E-2</v>
      </c>
    </row>
    <row r="478" spans="1:9">
      <c r="A478" s="491" t="s">
        <v>505</v>
      </c>
      <c r="B478" s="609" t="s">
        <v>1350</v>
      </c>
      <c r="C478" s="609" t="s">
        <v>1347</v>
      </c>
      <c r="D478" s="640">
        <v>39882</v>
      </c>
      <c r="E478" s="641"/>
      <c r="F478" s="641"/>
      <c r="G478" s="641">
        <v>-2064273973</v>
      </c>
    </row>
    <row r="479" spans="1:9">
      <c r="D479" s="640">
        <v>40535</v>
      </c>
      <c r="E479" s="641"/>
      <c r="F479" s="641"/>
      <c r="G479" s="641">
        <v>2637919925</v>
      </c>
      <c r="H479" s="679">
        <f>+XIRR(G478:G479,D478:D479)</f>
        <v>0.14690089821815497</v>
      </c>
    </row>
    <row r="482" spans="4:7">
      <c r="D482" s="642">
        <v>39443</v>
      </c>
      <c r="E482" s="610">
        <v>-1734000</v>
      </c>
      <c r="F482" s="610">
        <v>5000</v>
      </c>
      <c r="G482" s="610">
        <f>+E482*F482</f>
        <v>-8670000000</v>
      </c>
    </row>
    <row r="483" spans="4:7">
      <c r="D483" s="652">
        <v>40268</v>
      </c>
      <c r="E483" s="657">
        <v>-800000</v>
      </c>
      <c r="F483" s="657">
        <v>5000</v>
      </c>
      <c r="G483" s="657">
        <f>+E483*F483</f>
        <v>-4000000000</v>
      </c>
    </row>
    <row r="484" spans="4:7">
      <c r="D484" s="642">
        <v>40175</v>
      </c>
      <c r="E484" s="610">
        <v>230000</v>
      </c>
      <c r="F484" s="610">
        <v>6965</v>
      </c>
      <c r="G484" s="610">
        <f>+E484*F484</f>
        <v>1601950000</v>
      </c>
    </row>
    <row r="485" spans="4:7">
      <c r="D485" s="652">
        <v>40602</v>
      </c>
      <c r="E485" s="657">
        <v>156000</v>
      </c>
      <c r="F485" s="657">
        <v>8457</v>
      </c>
      <c r="G485" s="657">
        <f>+E485*F485</f>
        <v>1319292000</v>
      </c>
    </row>
    <row r="486" spans="4:7">
      <c r="D486" s="651">
        <v>41379</v>
      </c>
      <c r="E486" s="614"/>
      <c r="F486" s="614"/>
      <c r="G486" s="614">
        <v>1074000000</v>
      </c>
    </row>
    <row r="487" spans="4:7">
      <c r="D487" s="681">
        <v>41639</v>
      </c>
      <c r="E487" s="608">
        <v>2148000</v>
      </c>
      <c r="F487" s="608">
        <v>8000</v>
      </c>
      <c r="G487" s="611">
        <f>+E487*F487</f>
        <v>17184000000</v>
      </c>
    </row>
    <row r="488" spans="4:7">
      <c r="G488" s="363">
        <f>+XIRR(G482:G487,D482:D487)</f>
        <v>0.11407087445259095</v>
      </c>
    </row>
  </sheetData>
  <autoFilter ref="A3:R230"/>
  <mergeCells count="2">
    <mergeCell ref="Q264:Q289"/>
    <mergeCell ref="Q237:Q263"/>
  </mergeCells>
  <phoneticPr fontId="2" type="noConversion"/>
  <pageMargins left="0.32" right="0.23" top="0.39370078740157483" bottom="0.19685039370078741" header="0.31496062992125984" footer="0.31496062992125984"/>
  <pageSetup paperSize="9" scale="50" orientation="landscape" r:id="rId1"/>
  <colBreaks count="1" manualBreakCount="1">
    <brk id="17" max="2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85"/>
  <sheetViews>
    <sheetView zoomScale="75" zoomScaleNormal="75" workbookViewId="0">
      <pane xSplit="1" ySplit="3" topLeftCell="B4" activePane="bottomRight" state="frozen"/>
      <selection activeCell="D36" sqref="D36"/>
      <selection pane="topRight" activeCell="D36" sqref="D36"/>
      <selection pane="bottomLeft" activeCell="D36" sqref="D36"/>
      <selection pane="bottomRight" activeCell="F54" sqref="F54"/>
    </sheetView>
  </sheetViews>
  <sheetFormatPr defaultRowHeight="13.5"/>
  <cols>
    <col min="1" max="1" width="19.125" style="455" customWidth="1"/>
    <col min="2" max="2" width="12.25" style="455" customWidth="1"/>
    <col min="3" max="3" width="16.125" style="455" bestFit="1" customWidth="1"/>
    <col min="4" max="4" width="11.25" style="608" customWidth="1"/>
    <col min="5" max="5" width="16.125" style="639" bestFit="1" customWidth="1"/>
    <col min="6" max="6" width="16" style="639" bestFit="1" customWidth="1"/>
    <col min="7" max="7" width="17.25" style="639" bestFit="1" customWidth="1"/>
    <col min="8" max="8" width="16.75" style="459" customWidth="1"/>
    <col min="9" max="9" width="16" style="460" customWidth="1"/>
    <col min="10" max="10" width="11.125" style="639" bestFit="1" customWidth="1"/>
    <col min="11" max="11" width="11.75" style="639" bestFit="1" customWidth="1"/>
    <col min="12" max="12" width="15.375" style="639" customWidth="1"/>
    <col min="13" max="13" width="17.5" style="639" customWidth="1"/>
    <col min="14" max="14" width="14.5" style="639" customWidth="1"/>
    <col min="15" max="15" width="10.125" style="455" customWidth="1"/>
    <col min="16" max="16" width="17.125" style="455" customWidth="1"/>
    <col min="17" max="17" width="12.75" style="455" hidden="1" customWidth="1"/>
    <col min="18" max="18" width="15.625" style="460" hidden="1" customWidth="1"/>
    <col min="19" max="20" width="11.625" style="455" hidden="1" customWidth="1"/>
    <col min="21" max="22" width="8.25" style="455" hidden="1" customWidth="1"/>
    <col min="23" max="23" width="13.5" style="455" hidden="1" customWidth="1"/>
    <col min="24" max="24" width="9" style="455"/>
    <col min="25" max="25" width="16.125" style="455" customWidth="1"/>
    <col min="26" max="26" width="9.625" style="455" bestFit="1" customWidth="1"/>
    <col min="27" max="27" width="11.625" style="455" bestFit="1" customWidth="1"/>
    <col min="28" max="28" width="15.625" style="455" customWidth="1"/>
    <col min="29" max="29" width="9.625" style="455" bestFit="1" customWidth="1"/>
    <col min="30" max="30" width="17.25" style="455" bestFit="1" customWidth="1"/>
    <col min="31" max="31" width="16.625" style="455" customWidth="1"/>
    <col min="32" max="32" width="11.5" style="455" bestFit="1" customWidth="1"/>
    <col min="33" max="33" width="11.625" style="455" bestFit="1" customWidth="1"/>
    <col min="34" max="34" width="9" style="455"/>
    <col min="35" max="35" width="14.75" style="455" bestFit="1" customWidth="1"/>
    <col min="36" max="36" width="16.125" style="455" bestFit="1" customWidth="1"/>
    <col min="37" max="37" width="9.125" style="455" bestFit="1" customWidth="1"/>
    <col min="38" max="16384" width="9" style="455"/>
  </cols>
  <sheetData>
    <row r="1" spans="1:23" ht="17.25">
      <c r="A1" s="458" t="s">
        <v>1257</v>
      </c>
      <c r="L1" s="639" t="s">
        <v>1258</v>
      </c>
      <c r="S1" s="458"/>
      <c r="T1" s="458"/>
    </row>
    <row r="3" spans="1:23" s="460" customFormat="1" ht="20.25" customHeight="1">
      <c r="A3" s="461" t="s">
        <v>473</v>
      </c>
      <c r="B3" s="461" t="s">
        <v>419</v>
      </c>
      <c r="C3" s="461" t="s">
        <v>474</v>
      </c>
      <c r="D3" s="462" t="s">
        <v>1259</v>
      </c>
      <c r="E3" s="463" t="s">
        <v>1260</v>
      </c>
      <c r="F3" s="463" t="s">
        <v>1261</v>
      </c>
      <c r="G3" s="463" t="s">
        <v>643</v>
      </c>
      <c r="H3" s="463" t="s">
        <v>1262</v>
      </c>
      <c r="I3" s="461" t="s">
        <v>1263</v>
      </c>
      <c r="J3" s="463" t="s">
        <v>1264</v>
      </c>
      <c r="K3" s="463" t="s">
        <v>1265</v>
      </c>
      <c r="L3" s="463" t="s">
        <v>1266</v>
      </c>
      <c r="M3" s="463" t="s">
        <v>1267</v>
      </c>
      <c r="N3" s="463" t="s">
        <v>1268</v>
      </c>
      <c r="O3" s="461" t="s">
        <v>569</v>
      </c>
      <c r="P3" s="461" t="s">
        <v>1269</v>
      </c>
      <c r="Q3" s="461" t="s">
        <v>433</v>
      </c>
      <c r="R3" s="461" t="s">
        <v>825</v>
      </c>
      <c r="S3" s="461" t="s">
        <v>1270</v>
      </c>
      <c r="T3" s="461" t="s">
        <v>1271</v>
      </c>
      <c r="U3" s="461" t="s">
        <v>1272</v>
      </c>
      <c r="V3" s="461" t="s">
        <v>1273</v>
      </c>
      <c r="W3" s="461" t="s">
        <v>1274</v>
      </c>
    </row>
    <row r="4" spans="1:23" s="608" customFormat="1" ht="17.25" hidden="1" customHeight="1">
      <c r="A4" s="502" t="s">
        <v>1275</v>
      </c>
      <c r="B4" s="609" t="s">
        <v>280</v>
      </c>
      <c r="C4" s="609" t="s">
        <v>517</v>
      </c>
      <c r="D4" s="640">
        <v>40002</v>
      </c>
      <c r="E4" s="641">
        <v>63053</v>
      </c>
      <c r="F4" s="641">
        <v>396493</v>
      </c>
      <c r="G4" s="641">
        <v>25000073129</v>
      </c>
      <c r="H4" s="464" t="s">
        <v>1276</v>
      </c>
      <c r="I4" s="395">
        <v>40535</v>
      </c>
      <c r="J4" s="641">
        <v>63053</v>
      </c>
      <c r="K4" s="641">
        <f>+L4/J4</f>
        <v>461631.37489096477</v>
      </c>
      <c r="L4" s="641">
        <v>29107243081</v>
      </c>
      <c r="M4" s="641">
        <f>+G4</f>
        <v>25000073129</v>
      </c>
      <c r="N4" s="641">
        <f>+L4-M4</f>
        <v>4107169952</v>
      </c>
      <c r="O4" s="609" t="s">
        <v>731</v>
      </c>
      <c r="P4" s="465">
        <f>+G4-M4</f>
        <v>0</v>
      </c>
      <c r="Q4" s="609"/>
      <c r="R4" s="462"/>
      <c r="S4" s="502" t="s">
        <v>1277</v>
      </c>
      <c r="T4" s="502" t="s">
        <v>795</v>
      </c>
      <c r="U4" s="293" t="s">
        <v>307</v>
      </c>
      <c r="V4" s="461" t="s">
        <v>1278</v>
      </c>
      <c r="W4" s="461" t="s">
        <v>1278</v>
      </c>
    </row>
    <row r="5" spans="1:23" s="608" customFormat="1" ht="17.25" hidden="1" customHeight="1">
      <c r="A5" s="491" t="s">
        <v>1275</v>
      </c>
      <c r="B5" s="656" t="s">
        <v>280</v>
      </c>
      <c r="C5" s="656" t="s">
        <v>651</v>
      </c>
      <c r="D5" s="369">
        <v>40301</v>
      </c>
      <c r="E5" s="372">
        <v>43333</v>
      </c>
      <c r="F5" s="372">
        <v>15000</v>
      </c>
      <c r="G5" s="372">
        <v>649995000</v>
      </c>
      <c r="H5" s="612" t="s">
        <v>1279</v>
      </c>
      <c r="I5" s="352">
        <v>40305</v>
      </c>
      <c r="J5" s="373">
        <v>43333</v>
      </c>
      <c r="K5" s="374">
        <f>+L5/J5</f>
        <v>21665.118223986337</v>
      </c>
      <c r="L5" s="375">
        <v>938814568</v>
      </c>
      <c r="M5" s="372">
        <v>649995000</v>
      </c>
      <c r="N5" s="372">
        <f>+L5-M5</f>
        <v>288819568</v>
      </c>
      <c r="O5" s="685" t="s">
        <v>798</v>
      </c>
      <c r="P5" s="503">
        <f>+G5-M5</f>
        <v>0</v>
      </c>
      <c r="Q5" s="609"/>
      <c r="R5" s="462"/>
      <c r="S5" s="653"/>
      <c r="T5" s="653" t="s">
        <v>1277</v>
      </c>
      <c r="U5" s="294" t="s">
        <v>307</v>
      </c>
      <c r="V5" s="501" t="s">
        <v>1278</v>
      </c>
      <c r="W5" s="501" t="s">
        <v>1278</v>
      </c>
    </row>
    <row r="6" spans="1:23" s="608" customFormat="1" ht="17.25" hidden="1" customHeight="1">
      <c r="A6" s="491" t="s">
        <v>1275</v>
      </c>
      <c r="B6" s="654" t="s">
        <v>280</v>
      </c>
      <c r="C6" s="654" t="s">
        <v>651</v>
      </c>
      <c r="D6" s="370">
        <v>40308</v>
      </c>
      <c r="E6" s="376">
        <v>63000</v>
      </c>
      <c r="F6" s="376">
        <v>15000</v>
      </c>
      <c r="G6" s="376">
        <v>945000000</v>
      </c>
      <c r="H6" s="650"/>
      <c r="I6" s="353">
        <v>40310</v>
      </c>
      <c r="J6" s="377">
        <v>63000</v>
      </c>
      <c r="K6" s="378">
        <f t="shared" ref="K6:K26" si="0">+L6/J6</f>
        <v>22283.309333333335</v>
      </c>
      <c r="L6" s="379">
        <v>1403848488</v>
      </c>
      <c r="M6" s="376">
        <v>945000000</v>
      </c>
      <c r="N6" s="376">
        <f t="shared" ref="N6:N26" si="1">+L6-M6</f>
        <v>458848488</v>
      </c>
      <c r="O6" s="686" t="s">
        <v>798</v>
      </c>
      <c r="P6" s="504"/>
      <c r="R6" s="649"/>
      <c r="S6" s="561"/>
      <c r="T6" s="561"/>
      <c r="U6" s="561"/>
      <c r="V6" s="561"/>
      <c r="W6" s="561"/>
    </row>
    <row r="7" spans="1:23" s="608" customFormat="1" ht="17.25" hidden="1" customHeight="1">
      <c r="A7" s="491" t="s">
        <v>1275</v>
      </c>
      <c r="B7" s="654" t="s">
        <v>280</v>
      </c>
      <c r="C7" s="654" t="s">
        <v>651</v>
      </c>
      <c r="D7" s="370">
        <v>40310</v>
      </c>
      <c r="E7" s="376">
        <v>85000</v>
      </c>
      <c r="F7" s="376">
        <v>15000</v>
      </c>
      <c r="G7" s="376">
        <v>1275000000</v>
      </c>
      <c r="H7" s="650"/>
      <c r="I7" s="353">
        <v>40323</v>
      </c>
      <c r="J7" s="377">
        <v>29535</v>
      </c>
      <c r="K7" s="378">
        <f t="shared" si="0"/>
        <v>22069.024276282376</v>
      </c>
      <c r="L7" s="379">
        <v>651808632</v>
      </c>
      <c r="M7" s="376">
        <v>443025000</v>
      </c>
      <c r="N7" s="376">
        <f t="shared" si="1"/>
        <v>208783632</v>
      </c>
      <c r="O7" s="686" t="s">
        <v>798</v>
      </c>
      <c r="P7" s="504"/>
      <c r="R7" s="649"/>
      <c r="S7" s="561"/>
      <c r="T7" s="561"/>
      <c r="U7" s="296"/>
      <c r="V7" s="499"/>
      <c r="W7" s="499"/>
    </row>
    <row r="8" spans="1:23" s="608" customFormat="1" ht="17.25" hidden="1" customHeight="1">
      <c r="A8" s="491" t="s">
        <v>1275</v>
      </c>
      <c r="B8" s="654" t="s">
        <v>280</v>
      </c>
      <c r="C8" s="654" t="s">
        <v>651</v>
      </c>
      <c r="D8" s="370">
        <v>40323</v>
      </c>
      <c r="E8" s="376">
        <v>30000</v>
      </c>
      <c r="F8" s="376">
        <v>15000</v>
      </c>
      <c r="G8" s="376">
        <v>450000000</v>
      </c>
      <c r="H8" s="650"/>
      <c r="I8" s="353">
        <v>40325</v>
      </c>
      <c r="J8" s="377">
        <v>21218</v>
      </c>
      <c r="K8" s="378">
        <f t="shared" si="0"/>
        <v>20010.218352342352</v>
      </c>
      <c r="L8" s="379">
        <v>424576813</v>
      </c>
      <c r="M8" s="376">
        <v>318270000</v>
      </c>
      <c r="N8" s="376">
        <f t="shared" si="1"/>
        <v>106306813</v>
      </c>
      <c r="O8" s="686" t="s">
        <v>798</v>
      </c>
      <c r="P8" s="504"/>
      <c r="R8" s="649"/>
      <c r="S8" s="561"/>
      <c r="T8" s="561"/>
      <c r="U8" s="296"/>
      <c r="V8" s="499"/>
      <c r="W8" s="499"/>
    </row>
    <row r="9" spans="1:23" s="608" customFormat="1" ht="17.25" hidden="1" customHeight="1">
      <c r="A9" s="491" t="s">
        <v>1275</v>
      </c>
      <c r="B9" s="654" t="s">
        <v>280</v>
      </c>
      <c r="C9" s="654" t="s">
        <v>651</v>
      </c>
      <c r="D9" s="370">
        <v>40326</v>
      </c>
      <c r="E9" s="376">
        <v>85000</v>
      </c>
      <c r="F9" s="376">
        <v>15000</v>
      </c>
      <c r="G9" s="376">
        <v>1275000000</v>
      </c>
      <c r="H9" s="650"/>
      <c r="I9" s="353">
        <v>40326</v>
      </c>
      <c r="J9" s="377">
        <v>54247</v>
      </c>
      <c r="K9" s="378">
        <f t="shared" si="0"/>
        <v>19488.835954061975</v>
      </c>
      <c r="L9" s="379">
        <v>1057210884</v>
      </c>
      <c r="M9" s="376">
        <v>813705000</v>
      </c>
      <c r="N9" s="376">
        <f t="shared" si="1"/>
        <v>243505884</v>
      </c>
      <c r="O9" s="686" t="s">
        <v>798</v>
      </c>
      <c r="P9" s="504"/>
      <c r="R9" s="649"/>
      <c r="S9" s="561"/>
      <c r="T9" s="561"/>
      <c r="U9" s="296"/>
      <c r="V9" s="499"/>
      <c r="W9" s="499"/>
    </row>
    <row r="10" spans="1:23" s="608" customFormat="1" ht="17.25" hidden="1" customHeight="1">
      <c r="A10" s="491" t="s">
        <v>1275</v>
      </c>
      <c r="B10" s="654" t="s">
        <v>280</v>
      </c>
      <c r="C10" s="654" t="s">
        <v>651</v>
      </c>
      <c r="D10" s="370">
        <v>40330</v>
      </c>
      <c r="E10" s="376">
        <v>72500</v>
      </c>
      <c r="F10" s="376">
        <v>15000</v>
      </c>
      <c r="G10" s="376">
        <v>1087500000</v>
      </c>
      <c r="H10" s="650"/>
      <c r="I10" s="353">
        <v>40329</v>
      </c>
      <c r="J10" s="377">
        <v>10000</v>
      </c>
      <c r="K10" s="378">
        <f t="shared" si="0"/>
        <v>19492.0766</v>
      </c>
      <c r="L10" s="379">
        <v>194920766</v>
      </c>
      <c r="M10" s="376">
        <v>150000000</v>
      </c>
      <c r="N10" s="376">
        <f t="shared" si="1"/>
        <v>44920766</v>
      </c>
      <c r="O10" s="686" t="s">
        <v>798</v>
      </c>
      <c r="P10" s="504"/>
      <c r="R10" s="649"/>
      <c r="S10" s="561"/>
      <c r="T10" s="561"/>
      <c r="U10" s="296"/>
      <c r="V10" s="499"/>
      <c r="W10" s="499"/>
    </row>
    <row r="11" spans="1:23" s="608" customFormat="1" ht="17.25" hidden="1" customHeight="1">
      <c r="A11" s="491" t="s">
        <v>1275</v>
      </c>
      <c r="B11" s="654" t="s">
        <v>280</v>
      </c>
      <c r="C11" s="654" t="s">
        <v>651</v>
      </c>
      <c r="D11" s="370">
        <v>40337</v>
      </c>
      <c r="E11" s="376">
        <v>85000</v>
      </c>
      <c r="F11" s="376">
        <v>15000</v>
      </c>
      <c r="G11" s="376">
        <v>1275000000</v>
      </c>
      <c r="H11" s="650"/>
      <c r="I11" s="353">
        <v>40330</v>
      </c>
      <c r="J11" s="377">
        <v>43697</v>
      </c>
      <c r="K11" s="378">
        <f t="shared" si="0"/>
        <v>21018.160514451793</v>
      </c>
      <c r="L11" s="379">
        <v>918430560</v>
      </c>
      <c r="M11" s="376">
        <v>655455000</v>
      </c>
      <c r="N11" s="376">
        <f t="shared" si="1"/>
        <v>262975560</v>
      </c>
      <c r="O11" s="686" t="s">
        <v>798</v>
      </c>
      <c r="P11" s="504"/>
      <c r="R11" s="649"/>
      <c r="S11" s="561"/>
      <c r="T11" s="561"/>
      <c r="U11" s="296"/>
      <c r="V11" s="499"/>
      <c r="W11" s="499"/>
    </row>
    <row r="12" spans="1:23" s="608" customFormat="1" ht="17.25" hidden="1" customHeight="1">
      <c r="A12" s="491" t="s">
        <v>1275</v>
      </c>
      <c r="B12" s="654" t="s">
        <v>280</v>
      </c>
      <c r="C12" s="654" t="s">
        <v>651</v>
      </c>
      <c r="D12" s="370">
        <v>40340</v>
      </c>
      <c r="E12" s="376">
        <v>85000</v>
      </c>
      <c r="F12" s="376">
        <v>15000</v>
      </c>
      <c r="G12" s="376">
        <v>1275000000</v>
      </c>
      <c r="H12" s="650"/>
      <c r="I12" s="353">
        <v>40332</v>
      </c>
      <c r="J12" s="377">
        <v>27990</v>
      </c>
      <c r="K12" s="378">
        <f t="shared" si="0"/>
        <v>21141.97792068596</v>
      </c>
      <c r="L12" s="379">
        <v>591763962</v>
      </c>
      <c r="M12" s="376">
        <v>419850000</v>
      </c>
      <c r="N12" s="376">
        <f t="shared" si="1"/>
        <v>171913962</v>
      </c>
      <c r="O12" s="686" t="s">
        <v>798</v>
      </c>
      <c r="P12" s="504"/>
      <c r="R12" s="649"/>
      <c r="S12" s="561"/>
      <c r="T12" s="561"/>
      <c r="U12" s="296"/>
      <c r="V12" s="499"/>
      <c r="W12" s="499"/>
    </row>
    <row r="13" spans="1:23" s="608" customFormat="1" ht="17.25" hidden="1" customHeight="1">
      <c r="A13" s="491" t="s">
        <v>1275</v>
      </c>
      <c r="B13" s="654" t="s">
        <v>280</v>
      </c>
      <c r="C13" s="654" t="s">
        <v>651</v>
      </c>
      <c r="D13" s="370">
        <v>40344</v>
      </c>
      <c r="E13" s="376">
        <v>85000</v>
      </c>
      <c r="F13" s="376">
        <v>15000</v>
      </c>
      <c r="G13" s="376">
        <v>1275000000</v>
      </c>
      <c r="H13" s="650"/>
      <c r="I13" s="353">
        <v>40336</v>
      </c>
      <c r="J13" s="377">
        <v>5351</v>
      </c>
      <c r="K13" s="378">
        <f t="shared" si="0"/>
        <v>20926.728088207812</v>
      </c>
      <c r="L13" s="379">
        <v>111978922</v>
      </c>
      <c r="M13" s="376">
        <v>80265000</v>
      </c>
      <c r="N13" s="376">
        <f t="shared" si="1"/>
        <v>31713922</v>
      </c>
      <c r="O13" s="686" t="s">
        <v>798</v>
      </c>
      <c r="P13" s="504"/>
      <c r="R13" s="649"/>
      <c r="S13" s="561"/>
      <c r="T13" s="561"/>
      <c r="U13" s="296"/>
      <c r="V13" s="499"/>
      <c r="W13" s="499"/>
    </row>
    <row r="14" spans="1:23" s="608" customFormat="1" ht="17.25" hidden="1" customHeight="1">
      <c r="A14" s="491" t="s">
        <v>1275</v>
      </c>
      <c r="B14" s="654" t="s">
        <v>280</v>
      </c>
      <c r="C14" s="654" t="s">
        <v>651</v>
      </c>
      <c r="D14" s="370">
        <v>40347</v>
      </c>
      <c r="E14" s="376">
        <v>85000</v>
      </c>
      <c r="F14" s="376">
        <v>15000</v>
      </c>
      <c r="G14" s="376">
        <v>1275000000</v>
      </c>
      <c r="H14" s="650"/>
      <c r="I14" s="353">
        <v>40337</v>
      </c>
      <c r="J14" s="377">
        <v>55594</v>
      </c>
      <c r="K14" s="378">
        <f t="shared" si="0"/>
        <v>20235.092653883512</v>
      </c>
      <c r="L14" s="379">
        <v>1124949741</v>
      </c>
      <c r="M14" s="376">
        <v>833910000</v>
      </c>
      <c r="N14" s="376">
        <f t="shared" si="1"/>
        <v>291039741</v>
      </c>
      <c r="O14" s="686" t="s">
        <v>798</v>
      </c>
      <c r="P14" s="504"/>
      <c r="R14" s="649"/>
      <c r="S14" s="561"/>
      <c r="T14" s="561"/>
      <c r="U14" s="296"/>
      <c r="V14" s="499"/>
      <c r="W14" s="499"/>
    </row>
    <row r="15" spans="1:23" s="608" customFormat="1" ht="17.25" hidden="1" customHeight="1">
      <c r="A15" s="491" t="s">
        <v>1275</v>
      </c>
      <c r="B15" s="654" t="s">
        <v>280</v>
      </c>
      <c r="C15" s="654" t="s">
        <v>651</v>
      </c>
      <c r="D15" s="370">
        <v>40352</v>
      </c>
      <c r="E15" s="376">
        <v>85000</v>
      </c>
      <c r="F15" s="376">
        <v>15000</v>
      </c>
      <c r="G15" s="376">
        <v>1275000000</v>
      </c>
      <c r="H15" s="650"/>
      <c r="I15" s="353">
        <v>40338</v>
      </c>
      <c r="J15" s="377">
        <v>24868</v>
      </c>
      <c r="K15" s="378">
        <f t="shared" si="0"/>
        <v>19389.038965739102</v>
      </c>
      <c r="L15" s="379">
        <v>482166621</v>
      </c>
      <c r="M15" s="376">
        <v>373020000</v>
      </c>
      <c r="N15" s="376">
        <f t="shared" si="1"/>
        <v>109146621</v>
      </c>
      <c r="O15" s="686" t="s">
        <v>798</v>
      </c>
      <c r="P15" s="504"/>
      <c r="R15" s="649"/>
      <c r="S15" s="561"/>
      <c r="T15" s="561"/>
      <c r="U15" s="296"/>
      <c r="V15" s="499"/>
      <c r="W15" s="499"/>
    </row>
    <row r="16" spans="1:23" s="608" customFormat="1" ht="17.25" hidden="1" customHeight="1">
      <c r="A16" s="491" t="s">
        <v>1275</v>
      </c>
      <c r="B16" s="654" t="s">
        <v>280</v>
      </c>
      <c r="C16" s="654" t="s">
        <v>651</v>
      </c>
      <c r="D16" s="370">
        <v>40434</v>
      </c>
      <c r="E16" s="376">
        <v>29500</v>
      </c>
      <c r="F16" s="376">
        <v>15000</v>
      </c>
      <c r="G16" s="376">
        <v>442500000</v>
      </c>
      <c r="H16" s="650"/>
      <c r="I16" s="353">
        <v>40340</v>
      </c>
      <c r="J16" s="377">
        <v>45396</v>
      </c>
      <c r="K16" s="378">
        <f t="shared" si="0"/>
        <v>20042.991408934708</v>
      </c>
      <c r="L16" s="379">
        <v>909871638</v>
      </c>
      <c r="M16" s="376">
        <v>680940000</v>
      </c>
      <c r="N16" s="376">
        <f t="shared" si="1"/>
        <v>228931638</v>
      </c>
      <c r="O16" s="686" t="s">
        <v>798</v>
      </c>
      <c r="P16" s="504"/>
      <c r="R16" s="649"/>
      <c r="S16" s="561"/>
      <c r="T16" s="561"/>
      <c r="U16" s="296"/>
      <c r="V16" s="499"/>
      <c r="W16" s="499"/>
    </row>
    <row r="17" spans="1:36" s="608" customFormat="1" ht="17.25" hidden="1" customHeight="1">
      <c r="A17" s="491" t="s">
        <v>1275</v>
      </c>
      <c r="B17" s="654" t="s">
        <v>280</v>
      </c>
      <c r="C17" s="654" t="s">
        <v>651</v>
      </c>
      <c r="D17" s="652"/>
      <c r="E17" s="657"/>
      <c r="F17" s="657"/>
      <c r="G17" s="657"/>
      <c r="H17" s="650"/>
      <c r="I17" s="353">
        <v>40343</v>
      </c>
      <c r="J17" s="377">
        <v>39604</v>
      </c>
      <c r="K17" s="378">
        <f t="shared" si="0"/>
        <v>20318.761109988889</v>
      </c>
      <c r="L17" s="379">
        <v>804704215</v>
      </c>
      <c r="M17" s="376">
        <v>594060000</v>
      </c>
      <c r="N17" s="376">
        <f t="shared" si="1"/>
        <v>210644215</v>
      </c>
      <c r="O17" s="686" t="s">
        <v>798</v>
      </c>
      <c r="P17" s="504"/>
      <c r="R17" s="649"/>
      <c r="S17" s="561"/>
      <c r="T17" s="561"/>
      <c r="U17" s="296"/>
      <c r="V17" s="499"/>
      <c r="W17" s="499"/>
    </row>
    <row r="18" spans="1:36" s="608" customFormat="1" ht="17.25" hidden="1" customHeight="1">
      <c r="A18" s="491" t="s">
        <v>1275</v>
      </c>
      <c r="B18" s="654" t="s">
        <v>280</v>
      </c>
      <c r="C18" s="654" t="s">
        <v>651</v>
      </c>
      <c r="D18" s="652"/>
      <c r="E18" s="657"/>
      <c r="F18" s="657"/>
      <c r="G18" s="657"/>
      <c r="H18" s="650"/>
      <c r="I18" s="353">
        <v>40345</v>
      </c>
      <c r="J18" s="377">
        <v>85000</v>
      </c>
      <c r="K18" s="378">
        <f t="shared" si="0"/>
        <v>20968.325211764706</v>
      </c>
      <c r="L18" s="379">
        <v>1782307643</v>
      </c>
      <c r="M18" s="376">
        <v>1275000000</v>
      </c>
      <c r="N18" s="376">
        <f t="shared" si="1"/>
        <v>507307643</v>
      </c>
      <c r="O18" s="686" t="s">
        <v>798</v>
      </c>
      <c r="P18" s="504"/>
      <c r="R18" s="649"/>
      <c r="S18" s="561"/>
      <c r="T18" s="561"/>
      <c r="U18" s="296"/>
      <c r="V18" s="499"/>
      <c r="W18" s="499"/>
    </row>
    <row r="19" spans="1:36" s="608" customFormat="1" ht="17.25" hidden="1" customHeight="1">
      <c r="A19" s="491" t="s">
        <v>1275</v>
      </c>
      <c r="B19" s="654" t="s">
        <v>280</v>
      </c>
      <c r="C19" s="654" t="s">
        <v>651</v>
      </c>
      <c r="D19" s="652"/>
      <c r="E19" s="657"/>
      <c r="F19" s="657"/>
      <c r="G19" s="657"/>
      <c r="H19" s="650"/>
      <c r="I19" s="353">
        <v>40346</v>
      </c>
      <c r="J19" s="377">
        <v>42718</v>
      </c>
      <c r="K19" s="378">
        <f t="shared" si="0"/>
        <v>21022.875743246408</v>
      </c>
      <c r="L19" s="379">
        <v>898055206</v>
      </c>
      <c r="M19" s="376">
        <v>640770000</v>
      </c>
      <c r="N19" s="376">
        <f t="shared" si="1"/>
        <v>257285206</v>
      </c>
      <c r="O19" s="686" t="s">
        <v>798</v>
      </c>
      <c r="P19" s="504"/>
      <c r="R19" s="649"/>
      <c r="S19" s="561"/>
      <c r="T19" s="561"/>
      <c r="U19" s="296"/>
      <c r="V19" s="499"/>
      <c r="W19" s="499"/>
    </row>
    <row r="20" spans="1:36" s="608" customFormat="1" ht="17.25" hidden="1" customHeight="1">
      <c r="A20" s="491" t="s">
        <v>1275</v>
      </c>
      <c r="B20" s="654" t="s">
        <v>280</v>
      </c>
      <c r="C20" s="654" t="s">
        <v>651</v>
      </c>
      <c r="D20" s="652"/>
      <c r="E20" s="657"/>
      <c r="F20" s="657"/>
      <c r="G20" s="657"/>
      <c r="H20" s="650"/>
      <c r="I20" s="353">
        <v>40347</v>
      </c>
      <c r="J20" s="377">
        <v>42282</v>
      </c>
      <c r="K20" s="378">
        <f t="shared" si="0"/>
        <v>21048.075185658199</v>
      </c>
      <c r="L20" s="379">
        <v>889954715</v>
      </c>
      <c r="M20" s="376">
        <v>634230000</v>
      </c>
      <c r="N20" s="376">
        <f t="shared" si="1"/>
        <v>255724715</v>
      </c>
      <c r="O20" s="686" t="s">
        <v>798</v>
      </c>
      <c r="P20" s="504"/>
      <c r="R20" s="649"/>
      <c r="S20" s="561"/>
      <c r="T20" s="561"/>
      <c r="U20" s="296"/>
      <c r="V20" s="499"/>
      <c r="W20" s="499"/>
    </row>
    <row r="21" spans="1:36" s="608" customFormat="1" ht="17.25" hidden="1" customHeight="1">
      <c r="A21" s="491" t="s">
        <v>1275</v>
      </c>
      <c r="B21" s="654" t="s">
        <v>280</v>
      </c>
      <c r="C21" s="654" t="s">
        <v>651</v>
      </c>
      <c r="D21" s="652"/>
      <c r="E21" s="657"/>
      <c r="F21" s="657"/>
      <c r="G21" s="657"/>
      <c r="H21" s="650"/>
      <c r="I21" s="353">
        <v>40352</v>
      </c>
      <c r="J21" s="377">
        <v>85000</v>
      </c>
      <c r="K21" s="378">
        <f t="shared" si="0"/>
        <v>21609.044647058825</v>
      </c>
      <c r="L21" s="379">
        <v>1836768795</v>
      </c>
      <c r="M21" s="376">
        <v>1275000000</v>
      </c>
      <c r="N21" s="376">
        <f t="shared" si="1"/>
        <v>561768795</v>
      </c>
      <c r="O21" s="686" t="s">
        <v>798</v>
      </c>
      <c r="P21" s="504"/>
      <c r="R21" s="649"/>
      <c r="S21" s="561"/>
      <c r="T21" s="561"/>
      <c r="U21" s="296"/>
      <c r="V21" s="499"/>
      <c r="W21" s="499"/>
    </row>
    <row r="22" spans="1:36" s="608" customFormat="1" ht="17.25" hidden="1" customHeight="1">
      <c r="A22" s="491" t="s">
        <v>1275</v>
      </c>
      <c r="B22" s="654" t="s">
        <v>280</v>
      </c>
      <c r="C22" s="654" t="s">
        <v>651</v>
      </c>
      <c r="D22" s="652"/>
      <c r="E22" s="657"/>
      <c r="F22" s="657"/>
      <c r="G22" s="657"/>
      <c r="H22" s="650"/>
      <c r="I22" s="353">
        <v>40429</v>
      </c>
      <c r="J22" s="377">
        <v>21387</v>
      </c>
      <c r="K22" s="378">
        <f t="shared" si="0"/>
        <v>21870.981577593866</v>
      </c>
      <c r="L22" s="379">
        <v>467754683</v>
      </c>
      <c r="M22" s="376">
        <v>320805000</v>
      </c>
      <c r="N22" s="376">
        <f t="shared" si="1"/>
        <v>146949683</v>
      </c>
      <c r="O22" s="686" t="s">
        <v>798</v>
      </c>
      <c r="P22" s="504"/>
      <c r="R22" s="649"/>
      <c r="S22" s="561"/>
      <c r="T22" s="561"/>
      <c r="U22" s="296"/>
      <c r="V22" s="499"/>
      <c r="W22" s="499"/>
    </row>
    <row r="23" spans="1:36" s="608" customFormat="1" ht="17.25" hidden="1" customHeight="1">
      <c r="A23" s="491" t="s">
        <v>1275</v>
      </c>
      <c r="B23" s="654" t="s">
        <v>280</v>
      </c>
      <c r="C23" s="654" t="s">
        <v>651</v>
      </c>
      <c r="D23" s="652"/>
      <c r="E23" s="657"/>
      <c r="F23" s="657"/>
      <c r="G23" s="657"/>
      <c r="H23" s="650"/>
      <c r="I23" s="353">
        <v>40435</v>
      </c>
      <c r="J23" s="377">
        <v>18613</v>
      </c>
      <c r="K23" s="378">
        <f t="shared" si="0"/>
        <v>21299.907322838877</v>
      </c>
      <c r="L23" s="379">
        <v>396455175</v>
      </c>
      <c r="M23" s="376">
        <v>279195000</v>
      </c>
      <c r="N23" s="376">
        <f t="shared" si="1"/>
        <v>117260175</v>
      </c>
      <c r="O23" s="686" t="s">
        <v>798</v>
      </c>
      <c r="P23" s="504"/>
      <c r="R23" s="649"/>
      <c r="S23" s="561"/>
      <c r="T23" s="561"/>
      <c r="U23" s="296"/>
      <c r="V23" s="499"/>
      <c r="W23" s="499"/>
    </row>
    <row r="24" spans="1:36" s="608" customFormat="1" ht="17.25" hidden="1" customHeight="1">
      <c r="A24" s="491" t="s">
        <v>1275</v>
      </c>
      <c r="B24" s="654" t="s">
        <v>280</v>
      </c>
      <c r="C24" s="654" t="s">
        <v>651</v>
      </c>
      <c r="D24" s="652"/>
      <c r="E24" s="657"/>
      <c r="F24" s="657"/>
      <c r="G24" s="657"/>
      <c r="H24" s="650"/>
      <c r="I24" s="353">
        <v>40436</v>
      </c>
      <c r="J24" s="377">
        <v>20000</v>
      </c>
      <c r="K24" s="378">
        <f t="shared" si="0"/>
        <v>21009.094550000002</v>
      </c>
      <c r="L24" s="379">
        <v>420181891</v>
      </c>
      <c r="M24" s="376">
        <v>300000000</v>
      </c>
      <c r="N24" s="376">
        <f t="shared" si="1"/>
        <v>120181891</v>
      </c>
      <c r="O24" s="686" t="s">
        <v>798</v>
      </c>
      <c r="P24" s="504"/>
      <c r="R24" s="649"/>
      <c r="S24" s="561"/>
      <c r="T24" s="561"/>
      <c r="U24" s="296"/>
      <c r="V24" s="499"/>
      <c r="W24" s="499"/>
    </row>
    <row r="25" spans="1:36" s="608" customFormat="1" ht="17.25" hidden="1" customHeight="1">
      <c r="A25" s="491" t="s">
        <v>1275</v>
      </c>
      <c r="B25" s="654" t="s">
        <v>280</v>
      </c>
      <c r="C25" s="654" t="s">
        <v>651</v>
      </c>
      <c r="D25" s="652"/>
      <c r="E25" s="657"/>
      <c r="F25" s="657"/>
      <c r="G25" s="657"/>
      <c r="H25" s="650"/>
      <c r="I25" s="353">
        <v>40437</v>
      </c>
      <c r="J25" s="377">
        <v>30000</v>
      </c>
      <c r="K25" s="378">
        <f t="shared" si="0"/>
        <v>21128.665199999999</v>
      </c>
      <c r="L25" s="379">
        <v>633859956</v>
      </c>
      <c r="M25" s="376">
        <v>450000000</v>
      </c>
      <c r="N25" s="376">
        <f t="shared" si="1"/>
        <v>183859956</v>
      </c>
      <c r="O25" s="686" t="s">
        <v>798</v>
      </c>
      <c r="P25" s="504"/>
      <c r="R25" s="649"/>
      <c r="S25" s="561"/>
      <c r="T25" s="561"/>
      <c r="U25" s="296"/>
      <c r="V25" s="499"/>
      <c r="W25" s="499"/>
    </row>
    <row r="26" spans="1:36" s="608" customFormat="1" ht="17.25" hidden="1" customHeight="1">
      <c r="A26" s="653" t="s">
        <v>1275</v>
      </c>
      <c r="B26" s="655" t="s">
        <v>280</v>
      </c>
      <c r="C26" s="655" t="s">
        <v>651</v>
      </c>
      <c r="D26" s="651"/>
      <c r="E26" s="614"/>
      <c r="F26" s="614"/>
      <c r="G26" s="614"/>
      <c r="H26" s="613"/>
      <c r="I26" s="354">
        <v>40438</v>
      </c>
      <c r="J26" s="380">
        <v>24500</v>
      </c>
      <c r="K26" s="381">
        <f t="shared" si="0"/>
        <v>21095.211836734696</v>
      </c>
      <c r="L26" s="382">
        <v>516832690</v>
      </c>
      <c r="M26" s="687">
        <v>367500000</v>
      </c>
      <c r="N26" s="687">
        <f t="shared" si="1"/>
        <v>149332690</v>
      </c>
      <c r="O26" s="688" t="s">
        <v>798</v>
      </c>
      <c r="P26" s="497"/>
      <c r="R26" s="649"/>
      <c r="S26" s="561"/>
      <c r="T26" s="561"/>
      <c r="U26" s="295"/>
      <c r="V26" s="500"/>
      <c r="W26" s="500"/>
    </row>
    <row r="27" spans="1:36" ht="17.25" hidden="1" customHeight="1">
      <c r="A27" s="467" t="s">
        <v>1275</v>
      </c>
      <c r="B27" s="466" t="s">
        <v>502</v>
      </c>
      <c r="C27" s="467"/>
      <c r="D27" s="446"/>
      <c r="E27" s="498"/>
      <c r="F27" s="498"/>
      <c r="G27" s="498">
        <f>SUM(G4:G26)</f>
        <v>37500068129</v>
      </c>
      <c r="H27" s="468"/>
      <c r="I27" s="447"/>
      <c r="J27" s="498"/>
      <c r="K27" s="498"/>
      <c r="L27" s="498">
        <f>SUM(L4:L26)</f>
        <v>46564459645</v>
      </c>
      <c r="M27" s="498">
        <f>SUM(M4:M26)</f>
        <v>37500068129</v>
      </c>
      <c r="N27" s="498">
        <f>SUM(N4:N26)</f>
        <v>9064391516</v>
      </c>
      <c r="O27" s="498">
        <f>SUM(O4:O5)</f>
        <v>0</v>
      </c>
      <c r="P27" s="498">
        <f>SUM(P4:P5)</f>
        <v>0</v>
      </c>
      <c r="S27" s="466"/>
      <c r="T27" s="466"/>
      <c r="U27" s="478"/>
      <c r="V27" s="478"/>
      <c r="W27" s="478"/>
      <c r="Y27" s="642">
        <v>40466</v>
      </c>
      <c r="Z27" s="634">
        <v>-232774</v>
      </c>
      <c r="AA27" s="634">
        <v>2148</v>
      </c>
      <c r="AB27" s="634">
        <f>+Z27*AA27</f>
        <v>-499998552</v>
      </c>
      <c r="AE27" s="453" t="s">
        <v>1281</v>
      </c>
      <c r="AF27" s="640">
        <v>40175</v>
      </c>
      <c r="AG27" s="607">
        <v>400000</v>
      </c>
      <c r="AH27" s="607">
        <f>+AI27/AG27</f>
        <v>-100000</v>
      </c>
      <c r="AI27" s="607">
        <v>-40000000000</v>
      </c>
    </row>
    <row r="28" spans="1:36" ht="17.25" hidden="1" customHeight="1">
      <c r="A28" s="473" t="s">
        <v>1280</v>
      </c>
      <c r="B28" s="453" t="s">
        <v>280</v>
      </c>
      <c r="C28" s="453" t="s">
        <v>1281</v>
      </c>
      <c r="D28" s="640">
        <v>40175</v>
      </c>
      <c r="E28" s="607">
        <v>400000</v>
      </c>
      <c r="F28" s="607">
        <f>+G28/E28</f>
        <v>100000</v>
      </c>
      <c r="G28" s="607">
        <v>40000000000</v>
      </c>
      <c r="H28" s="463" t="s">
        <v>1279</v>
      </c>
      <c r="I28" s="619">
        <v>40270</v>
      </c>
      <c r="J28" s="607"/>
      <c r="K28" s="607"/>
      <c r="L28" s="607">
        <v>726994464</v>
      </c>
      <c r="M28" s="607">
        <v>0</v>
      </c>
      <c r="N28" s="607">
        <f>+L28-M28</f>
        <v>726994464</v>
      </c>
      <c r="O28" s="453" t="s">
        <v>1282</v>
      </c>
      <c r="P28" s="289">
        <f>+G28-M28-M29</f>
        <v>0</v>
      </c>
      <c r="S28" s="473" t="s">
        <v>795</v>
      </c>
      <c r="T28" s="473"/>
      <c r="U28" s="293" t="s">
        <v>795</v>
      </c>
      <c r="V28" s="461" t="s">
        <v>307</v>
      </c>
      <c r="W28" s="461" t="s">
        <v>1256</v>
      </c>
      <c r="Y28" s="536">
        <v>40645</v>
      </c>
      <c r="Z28" s="634">
        <v>0</v>
      </c>
      <c r="AA28" s="634"/>
      <c r="AB28" s="634">
        <v>6983220</v>
      </c>
      <c r="AF28" s="619">
        <v>40270</v>
      </c>
      <c r="AG28" s="607"/>
      <c r="AH28" s="607"/>
      <c r="AI28" s="607">
        <v>726994464</v>
      </c>
    </row>
    <row r="29" spans="1:36" ht="17.25" hidden="1" customHeight="1">
      <c r="A29" s="475" t="s">
        <v>1280</v>
      </c>
      <c r="B29" s="453"/>
      <c r="C29" s="453"/>
      <c r="D29" s="609"/>
      <c r="E29" s="607"/>
      <c r="F29" s="607"/>
      <c r="G29" s="607"/>
      <c r="H29" s="463"/>
      <c r="I29" s="619">
        <v>40905</v>
      </c>
      <c r="J29" s="607"/>
      <c r="K29" s="607"/>
      <c r="L29" s="607">
        <v>71398222757</v>
      </c>
      <c r="M29" s="607">
        <v>40000000000</v>
      </c>
      <c r="N29" s="607">
        <f>+L29-M29</f>
        <v>31398222757</v>
      </c>
      <c r="O29" s="453" t="s">
        <v>1282</v>
      </c>
      <c r="P29" s="453"/>
      <c r="S29" s="475" t="s">
        <v>1283</v>
      </c>
      <c r="T29" s="475"/>
      <c r="U29" s="461"/>
      <c r="V29" s="461"/>
      <c r="W29" s="461" t="s">
        <v>1284</v>
      </c>
      <c r="Y29" s="620">
        <v>41005</v>
      </c>
      <c r="Z29" s="635">
        <v>0</v>
      </c>
      <c r="AA29" s="635"/>
      <c r="AB29" s="635">
        <v>8659020</v>
      </c>
      <c r="AF29" s="619">
        <v>40905</v>
      </c>
      <c r="AG29" s="607"/>
      <c r="AH29" s="607"/>
      <c r="AI29" s="607">
        <v>71398222757</v>
      </c>
      <c r="AJ29" s="665">
        <f>+XIRR(AI27:AI29,AF27:AF29)</f>
        <v>0.34740042090415957</v>
      </c>
    </row>
    <row r="30" spans="1:36" ht="17.25" hidden="1" customHeight="1">
      <c r="A30" s="467" t="s">
        <v>1280</v>
      </c>
      <c r="B30" s="467" t="s">
        <v>502</v>
      </c>
      <c r="C30" s="467"/>
      <c r="D30" s="467"/>
      <c r="E30" s="498"/>
      <c r="F30" s="498"/>
      <c r="G30" s="498">
        <f>SUM(G28:G29)</f>
        <v>40000000000</v>
      </c>
      <c r="H30" s="468"/>
      <c r="I30" s="478"/>
      <c r="J30" s="498"/>
      <c r="K30" s="498"/>
      <c r="L30" s="498">
        <f>SUM(L28:L29)</f>
        <v>72125217221</v>
      </c>
      <c r="M30" s="498">
        <f>SUM(M28:M29)</f>
        <v>40000000000</v>
      </c>
      <c r="N30" s="498">
        <f>SUM(N28:N29)</f>
        <v>32125217221</v>
      </c>
      <c r="O30" s="498">
        <f>SUM(O28:O29)</f>
        <v>0</v>
      </c>
      <c r="P30" s="498">
        <f>SUM(P28:P29)</f>
        <v>0</v>
      </c>
      <c r="S30" s="467"/>
      <c r="T30" s="467"/>
      <c r="U30" s="478"/>
      <c r="V30" s="478"/>
      <c r="W30" s="478"/>
      <c r="Y30" s="620">
        <v>41339</v>
      </c>
      <c r="Z30" s="635">
        <v>605</v>
      </c>
      <c r="AA30" s="635">
        <f t="shared" ref="AA30:AA36" si="2">+AB30/Z30</f>
        <v>1439.3090909090909</v>
      </c>
      <c r="AB30" s="635">
        <v>870782</v>
      </c>
    </row>
    <row r="31" spans="1:36" ht="17.25" customHeight="1">
      <c r="A31" s="473" t="s">
        <v>1255</v>
      </c>
      <c r="B31" s="456" t="s">
        <v>280</v>
      </c>
      <c r="C31" s="456" t="s">
        <v>1285</v>
      </c>
      <c r="D31" s="642">
        <v>40466</v>
      </c>
      <c r="E31" s="634">
        <v>232774</v>
      </c>
      <c r="F31" s="634">
        <v>2148</v>
      </c>
      <c r="G31" s="634">
        <f>+E31*F31</f>
        <v>499998552</v>
      </c>
      <c r="H31" s="469" t="s">
        <v>1279</v>
      </c>
      <c r="I31" s="536">
        <v>40645</v>
      </c>
      <c r="J31" s="634">
        <v>0</v>
      </c>
      <c r="K31" s="634"/>
      <c r="L31" s="634">
        <v>6983220</v>
      </c>
      <c r="M31" s="634">
        <v>0</v>
      </c>
      <c r="N31" s="634">
        <f>+L31-M31</f>
        <v>6983220</v>
      </c>
      <c r="O31" s="456" t="s">
        <v>1003</v>
      </c>
      <c r="P31" s="480">
        <f>+SUM(G31:G58)-SUM(M31:M60)</f>
        <v>1155910710</v>
      </c>
      <c r="S31" s="473" t="s">
        <v>1284</v>
      </c>
      <c r="T31" s="473"/>
      <c r="U31" s="294" t="s">
        <v>795</v>
      </c>
      <c r="V31" s="501" t="s">
        <v>1284</v>
      </c>
      <c r="W31" s="501" t="s">
        <v>1284</v>
      </c>
      <c r="Y31" s="620">
        <v>41365</v>
      </c>
      <c r="Z31" s="635">
        <v>4000</v>
      </c>
      <c r="AA31" s="635">
        <f t="shared" si="2"/>
        <v>1419.924</v>
      </c>
      <c r="AB31" s="635">
        <v>5679696</v>
      </c>
    </row>
    <row r="32" spans="1:36" ht="17.25" customHeight="1">
      <c r="A32" s="474" t="s">
        <v>1255</v>
      </c>
      <c r="B32" s="450" t="s">
        <v>280</v>
      </c>
      <c r="C32" s="450" t="s">
        <v>1285</v>
      </c>
      <c r="D32" s="652"/>
      <c r="E32" s="635">
        <v>200177</v>
      </c>
      <c r="F32" s="635"/>
      <c r="G32" s="635"/>
      <c r="H32" s="471"/>
      <c r="I32" s="620">
        <v>41005</v>
      </c>
      <c r="J32" s="635">
        <v>0</v>
      </c>
      <c r="K32" s="635"/>
      <c r="L32" s="635">
        <v>8659020</v>
      </c>
      <c r="M32" s="635">
        <v>0</v>
      </c>
      <c r="N32" s="635">
        <f>+L32-M32</f>
        <v>8659020</v>
      </c>
      <c r="O32" s="450" t="s">
        <v>1003</v>
      </c>
      <c r="P32" s="481"/>
      <c r="S32" s="473" t="s">
        <v>1284</v>
      </c>
      <c r="T32" s="473"/>
      <c r="U32" s="296"/>
      <c r="V32" s="499"/>
      <c r="W32" s="499"/>
      <c r="Y32" s="620">
        <v>41366</v>
      </c>
      <c r="Z32" s="635">
        <v>15300</v>
      </c>
      <c r="AA32" s="635">
        <f t="shared" si="2"/>
        <v>1471.3215686274509</v>
      </c>
      <c r="AB32" s="635">
        <v>22511220</v>
      </c>
    </row>
    <row r="33" spans="1:36" ht="17.25" customHeight="1">
      <c r="A33" s="474" t="s">
        <v>1255</v>
      </c>
      <c r="B33" s="450" t="s">
        <v>280</v>
      </c>
      <c r="C33" s="450" t="s">
        <v>1285</v>
      </c>
      <c r="D33" s="652"/>
      <c r="E33" s="635"/>
      <c r="F33" s="635"/>
      <c r="G33" s="635"/>
      <c r="H33" s="471"/>
      <c r="I33" s="620">
        <v>41339</v>
      </c>
      <c r="J33" s="635">
        <v>605</v>
      </c>
      <c r="K33" s="635">
        <f t="shared" ref="K33:K39" si="3">+L33/J33</f>
        <v>1439.3090909090909</v>
      </c>
      <c r="L33" s="635">
        <v>870782</v>
      </c>
      <c r="M33" s="635">
        <v>698691</v>
      </c>
      <c r="N33" s="635">
        <f>+L33-M33</f>
        <v>172091</v>
      </c>
      <c r="O33" s="450" t="s">
        <v>352</v>
      </c>
      <c r="P33" s="481"/>
      <c r="S33" s="473" t="s">
        <v>1284</v>
      </c>
      <c r="T33" s="473"/>
      <c r="U33" s="296"/>
      <c r="V33" s="499"/>
      <c r="W33" s="499"/>
      <c r="Y33" s="620">
        <v>41367</v>
      </c>
      <c r="Z33" s="635">
        <v>36100</v>
      </c>
      <c r="AA33" s="635">
        <f t="shared" si="2"/>
        <v>1515.9588088642658</v>
      </c>
      <c r="AB33" s="635">
        <v>54726113</v>
      </c>
    </row>
    <row r="34" spans="1:36" ht="17.25" customHeight="1">
      <c r="A34" s="474" t="s">
        <v>1255</v>
      </c>
      <c r="B34" s="450" t="s">
        <v>280</v>
      </c>
      <c r="C34" s="450" t="s">
        <v>1285</v>
      </c>
      <c r="D34" s="652"/>
      <c r="E34" s="635"/>
      <c r="F34" s="635"/>
      <c r="G34" s="635"/>
      <c r="H34" s="471"/>
      <c r="I34" s="620">
        <v>41365</v>
      </c>
      <c r="J34" s="635">
        <v>4000</v>
      </c>
      <c r="K34" s="635">
        <f t="shared" si="3"/>
        <v>1419.924</v>
      </c>
      <c r="L34" s="635">
        <v>5679696</v>
      </c>
      <c r="M34" s="635">
        <v>4619447</v>
      </c>
      <c r="N34" s="635">
        <f>+L34-M34</f>
        <v>1060249</v>
      </c>
      <c r="O34" s="450" t="s">
        <v>352</v>
      </c>
      <c r="P34" s="481"/>
      <c r="S34" s="473" t="s">
        <v>1284</v>
      </c>
      <c r="T34" s="473"/>
      <c r="U34" s="296"/>
      <c r="V34" s="499"/>
      <c r="W34" s="499"/>
      <c r="Y34" s="620">
        <v>41368</v>
      </c>
      <c r="Z34" s="635">
        <v>44642</v>
      </c>
      <c r="AA34" s="635">
        <f t="shared" si="2"/>
        <v>1543.3164060749966</v>
      </c>
      <c r="AB34" s="635">
        <v>68896731</v>
      </c>
    </row>
    <row r="35" spans="1:36" ht="17.25" customHeight="1">
      <c r="A35" s="474" t="s">
        <v>1255</v>
      </c>
      <c r="B35" s="450" t="s">
        <v>280</v>
      </c>
      <c r="C35" s="450" t="s">
        <v>1285</v>
      </c>
      <c r="D35" s="652"/>
      <c r="E35" s="635"/>
      <c r="F35" s="635"/>
      <c r="G35" s="635"/>
      <c r="H35" s="471"/>
      <c r="I35" s="620">
        <v>41366</v>
      </c>
      <c r="J35" s="635">
        <v>15300</v>
      </c>
      <c r="K35" s="635">
        <f t="shared" si="3"/>
        <v>1471.3215686274509</v>
      </c>
      <c r="L35" s="635">
        <v>22511220</v>
      </c>
      <c r="M35" s="635">
        <v>17669385</v>
      </c>
      <c r="N35" s="635">
        <f t="shared" ref="N35:N46" si="4">+L35-M35</f>
        <v>4841835</v>
      </c>
      <c r="O35" s="450" t="s">
        <v>352</v>
      </c>
      <c r="P35" s="481"/>
      <c r="S35" s="473" t="s">
        <v>1284</v>
      </c>
      <c r="T35" s="473"/>
      <c r="U35" s="296"/>
      <c r="V35" s="499"/>
      <c r="W35" s="499"/>
      <c r="Y35" s="620">
        <v>41369</v>
      </c>
      <c r="Z35" s="635">
        <v>4700</v>
      </c>
      <c r="AA35" s="635">
        <f t="shared" si="2"/>
        <v>1551.5810638297871</v>
      </c>
      <c r="AB35" s="635">
        <v>7292431</v>
      </c>
    </row>
    <row r="36" spans="1:36" ht="17.25" customHeight="1">
      <c r="A36" s="474" t="s">
        <v>1255</v>
      </c>
      <c r="B36" s="450" t="s">
        <v>280</v>
      </c>
      <c r="C36" s="450" t="s">
        <v>1285</v>
      </c>
      <c r="D36" s="652"/>
      <c r="E36" s="635"/>
      <c r="F36" s="635"/>
      <c r="G36" s="635"/>
      <c r="H36" s="471"/>
      <c r="I36" s="620">
        <v>41367</v>
      </c>
      <c r="J36" s="635">
        <v>36100</v>
      </c>
      <c r="K36" s="635">
        <f t="shared" si="3"/>
        <v>1515.9588088642658</v>
      </c>
      <c r="L36" s="635">
        <v>54726113</v>
      </c>
      <c r="M36" s="635">
        <v>41690509</v>
      </c>
      <c r="N36" s="635">
        <f t="shared" si="4"/>
        <v>13035604</v>
      </c>
      <c r="O36" s="450" t="s">
        <v>352</v>
      </c>
      <c r="P36" s="481"/>
      <c r="R36" s="455"/>
      <c r="S36" s="473" t="s">
        <v>1284</v>
      </c>
      <c r="T36" s="473"/>
      <c r="U36" s="296"/>
      <c r="V36" s="499"/>
      <c r="W36" s="499"/>
      <c r="Y36" s="620">
        <v>41372</v>
      </c>
      <c r="Z36" s="635">
        <v>3239</v>
      </c>
      <c r="AA36" s="635">
        <f t="shared" si="2"/>
        <v>1497.088298857672</v>
      </c>
      <c r="AB36" s="635">
        <v>4849069</v>
      </c>
    </row>
    <row r="37" spans="1:36" ht="17.25" customHeight="1">
      <c r="A37" s="474" t="s">
        <v>1255</v>
      </c>
      <c r="B37" s="450" t="s">
        <v>280</v>
      </c>
      <c r="C37" s="450" t="s">
        <v>1285</v>
      </c>
      <c r="D37" s="652"/>
      <c r="E37" s="635"/>
      <c r="F37" s="635"/>
      <c r="G37" s="635"/>
      <c r="H37" s="471"/>
      <c r="I37" s="620">
        <v>41368</v>
      </c>
      <c r="J37" s="635">
        <v>44642</v>
      </c>
      <c r="K37" s="635">
        <f t="shared" si="3"/>
        <v>1543.3164060749966</v>
      </c>
      <c r="L37" s="635">
        <v>68896731</v>
      </c>
      <c r="M37" s="635">
        <v>51555338</v>
      </c>
      <c r="N37" s="635">
        <f t="shared" si="4"/>
        <v>17341393</v>
      </c>
      <c r="O37" s="450" t="s">
        <v>352</v>
      </c>
      <c r="P37" s="481"/>
      <c r="R37" s="455"/>
      <c r="S37" s="473" t="s">
        <v>1284</v>
      </c>
      <c r="T37" s="473"/>
      <c r="U37" s="296"/>
      <c r="V37" s="499"/>
      <c r="W37" s="499"/>
      <c r="Y37" s="620">
        <v>41372</v>
      </c>
      <c r="Z37" s="635">
        <v>0</v>
      </c>
      <c r="AA37" s="635"/>
      <c r="AB37" s="635">
        <v>6494265</v>
      </c>
    </row>
    <row r="38" spans="1:36" ht="17.25" customHeight="1">
      <c r="A38" s="474" t="s">
        <v>1255</v>
      </c>
      <c r="B38" s="450" t="s">
        <v>280</v>
      </c>
      <c r="C38" s="450" t="s">
        <v>1285</v>
      </c>
      <c r="D38" s="652"/>
      <c r="E38" s="635"/>
      <c r="F38" s="635"/>
      <c r="G38" s="635"/>
      <c r="H38" s="471"/>
      <c r="I38" s="620">
        <v>41369</v>
      </c>
      <c r="J38" s="635">
        <v>4700</v>
      </c>
      <c r="K38" s="635">
        <f t="shared" si="3"/>
        <v>1551.5810638297871</v>
      </c>
      <c r="L38" s="635">
        <v>7292431</v>
      </c>
      <c r="M38" s="635">
        <v>5427850</v>
      </c>
      <c r="N38" s="635">
        <f t="shared" si="4"/>
        <v>1864581</v>
      </c>
      <c r="O38" s="450" t="s">
        <v>352</v>
      </c>
      <c r="P38" s="481"/>
      <c r="R38" s="455"/>
      <c r="S38" s="473" t="s">
        <v>1284</v>
      </c>
      <c r="T38" s="473"/>
      <c r="U38" s="296"/>
      <c r="V38" s="499"/>
      <c r="W38" s="499"/>
      <c r="Y38" s="620">
        <v>41374</v>
      </c>
      <c r="Z38" s="635">
        <v>10603</v>
      </c>
      <c r="AA38" s="635">
        <f t="shared" ref="AA38:AA50" si="5">+AB38/Z38</f>
        <v>1446.7260209374706</v>
      </c>
      <c r="AB38" s="635">
        <v>15339636</v>
      </c>
    </row>
    <row r="39" spans="1:36" ht="17.25" customHeight="1">
      <c r="A39" s="474" t="s">
        <v>1255</v>
      </c>
      <c r="B39" s="450" t="s">
        <v>280</v>
      </c>
      <c r="C39" s="450" t="s">
        <v>1285</v>
      </c>
      <c r="D39" s="652"/>
      <c r="E39" s="635"/>
      <c r="F39" s="635"/>
      <c r="G39" s="635"/>
      <c r="H39" s="471"/>
      <c r="I39" s="620">
        <v>41372</v>
      </c>
      <c r="J39" s="635">
        <v>3239</v>
      </c>
      <c r="K39" s="635">
        <f t="shared" si="3"/>
        <v>1497.088298857672</v>
      </c>
      <c r="L39" s="635">
        <v>4849069</v>
      </c>
      <c r="M39" s="635">
        <v>3740597</v>
      </c>
      <c r="N39" s="635">
        <f t="shared" si="4"/>
        <v>1108472</v>
      </c>
      <c r="O39" s="450" t="s">
        <v>352</v>
      </c>
      <c r="P39" s="481"/>
      <c r="R39" s="455"/>
      <c r="S39" s="473" t="s">
        <v>1284</v>
      </c>
      <c r="T39" s="473"/>
      <c r="U39" s="296"/>
      <c r="V39" s="499"/>
      <c r="W39" s="499"/>
      <c r="Y39" s="620">
        <v>41380</v>
      </c>
      <c r="Z39" s="635">
        <v>700</v>
      </c>
      <c r="AA39" s="635">
        <f t="shared" si="5"/>
        <v>1507.4185714285713</v>
      </c>
      <c r="AB39" s="635">
        <v>1055193</v>
      </c>
    </row>
    <row r="40" spans="1:36" ht="17.25" customHeight="1">
      <c r="A40" s="474" t="s">
        <v>1255</v>
      </c>
      <c r="B40" s="450" t="s">
        <v>280</v>
      </c>
      <c r="C40" s="450" t="s">
        <v>1285</v>
      </c>
      <c r="D40" s="652"/>
      <c r="E40" s="635"/>
      <c r="F40" s="635"/>
      <c r="G40" s="635"/>
      <c r="H40" s="471"/>
      <c r="I40" s="620">
        <v>41372</v>
      </c>
      <c r="J40" s="635">
        <v>0</v>
      </c>
      <c r="K40" s="635"/>
      <c r="L40" s="635">
        <v>6494265</v>
      </c>
      <c r="M40" s="635">
        <v>0</v>
      </c>
      <c r="N40" s="635">
        <f t="shared" si="4"/>
        <v>6494265</v>
      </c>
      <c r="O40" s="450" t="s">
        <v>1003</v>
      </c>
      <c r="P40" s="481"/>
      <c r="R40" s="455"/>
      <c r="S40" s="473" t="s">
        <v>1284</v>
      </c>
      <c r="T40" s="473"/>
      <c r="U40" s="296"/>
      <c r="V40" s="499"/>
      <c r="W40" s="499"/>
      <c r="Y40" s="620">
        <v>41409</v>
      </c>
      <c r="Z40" s="635">
        <v>17590</v>
      </c>
      <c r="AA40" s="635">
        <f t="shared" si="5"/>
        <v>1522.8672541216599</v>
      </c>
      <c r="AB40" s="635">
        <v>26787235</v>
      </c>
    </row>
    <row r="41" spans="1:36" ht="17.25" customHeight="1">
      <c r="A41" s="474" t="s">
        <v>1255</v>
      </c>
      <c r="B41" s="450" t="s">
        <v>280</v>
      </c>
      <c r="C41" s="450" t="s">
        <v>1285</v>
      </c>
      <c r="D41" s="652"/>
      <c r="E41" s="635"/>
      <c r="F41" s="635"/>
      <c r="G41" s="635"/>
      <c r="H41" s="471"/>
      <c r="I41" s="620">
        <v>41374</v>
      </c>
      <c r="J41" s="635">
        <v>10603</v>
      </c>
      <c r="K41" s="635">
        <f t="shared" ref="K41:K53" si="6">+L41/J41</f>
        <v>1446.7260209374706</v>
      </c>
      <c r="L41" s="635">
        <v>15339636</v>
      </c>
      <c r="M41" s="635">
        <v>12244999</v>
      </c>
      <c r="N41" s="635">
        <f t="shared" si="4"/>
        <v>3094637</v>
      </c>
      <c r="O41" s="450" t="s">
        <v>352</v>
      </c>
      <c r="P41" s="481"/>
      <c r="R41" s="455"/>
      <c r="S41" s="473" t="s">
        <v>1284</v>
      </c>
      <c r="T41" s="473"/>
      <c r="U41" s="296"/>
      <c r="V41" s="499"/>
      <c r="W41" s="499"/>
      <c r="Y41" s="620">
        <v>41414</v>
      </c>
      <c r="Z41" s="635">
        <v>3</v>
      </c>
      <c r="AA41" s="635">
        <f t="shared" si="5"/>
        <v>1510.6666666666667</v>
      </c>
      <c r="AB41" s="635">
        <v>4532</v>
      </c>
    </row>
    <row r="42" spans="1:36" ht="17.25" customHeight="1">
      <c r="A42" s="474" t="s">
        <v>1255</v>
      </c>
      <c r="B42" s="450" t="s">
        <v>280</v>
      </c>
      <c r="C42" s="450" t="s">
        <v>1285</v>
      </c>
      <c r="D42" s="652"/>
      <c r="E42" s="635"/>
      <c r="F42" s="635"/>
      <c r="G42" s="635"/>
      <c r="H42" s="471"/>
      <c r="I42" s="620">
        <v>41380</v>
      </c>
      <c r="J42" s="635">
        <v>700</v>
      </c>
      <c r="K42" s="635">
        <f t="shared" si="6"/>
        <v>1507.4185714285713</v>
      </c>
      <c r="L42" s="635">
        <v>1055193</v>
      </c>
      <c r="M42" s="635">
        <v>808403</v>
      </c>
      <c r="N42" s="635">
        <f t="shared" si="4"/>
        <v>246790</v>
      </c>
      <c r="O42" s="450" t="s">
        <v>352</v>
      </c>
      <c r="P42" s="481"/>
      <c r="R42" s="455"/>
      <c r="S42" s="473" t="s">
        <v>1284</v>
      </c>
      <c r="T42" s="473"/>
      <c r="U42" s="296"/>
      <c r="V42" s="499"/>
      <c r="W42" s="499"/>
      <c r="Y42" s="620">
        <v>41425</v>
      </c>
      <c r="Z42" s="635">
        <v>10211</v>
      </c>
      <c r="AA42" s="635">
        <f t="shared" si="5"/>
        <v>1524.0842228968759</v>
      </c>
      <c r="AB42" s="635">
        <v>15562424</v>
      </c>
    </row>
    <row r="43" spans="1:36" ht="17.25" customHeight="1">
      <c r="A43" s="474" t="s">
        <v>1255</v>
      </c>
      <c r="B43" s="450" t="s">
        <v>280</v>
      </c>
      <c r="C43" s="450" t="s">
        <v>1285</v>
      </c>
      <c r="D43" s="652"/>
      <c r="E43" s="635"/>
      <c r="F43" s="635"/>
      <c r="G43" s="635"/>
      <c r="H43" s="471"/>
      <c r="I43" s="620">
        <v>41409</v>
      </c>
      <c r="J43" s="635">
        <v>17590</v>
      </c>
      <c r="K43" s="635">
        <f t="shared" si="6"/>
        <v>1522.8672541216599</v>
      </c>
      <c r="L43" s="635">
        <v>26787235</v>
      </c>
      <c r="M43" s="635">
        <v>20314018</v>
      </c>
      <c r="N43" s="635">
        <f t="shared" si="4"/>
        <v>6473217</v>
      </c>
      <c r="O43" s="450" t="s">
        <v>352</v>
      </c>
      <c r="P43" s="481"/>
      <c r="R43" s="455"/>
      <c r="S43" s="473" t="s">
        <v>1284</v>
      </c>
      <c r="T43" s="473"/>
      <c r="U43" s="296"/>
      <c r="V43" s="499"/>
      <c r="W43" s="499"/>
      <c r="Y43" s="620">
        <v>41428</v>
      </c>
      <c r="Z43" s="635">
        <v>85996</v>
      </c>
      <c r="AA43" s="635">
        <f t="shared" si="5"/>
        <v>1553.6655890971674</v>
      </c>
      <c r="AB43" s="635">
        <v>133609026</v>
      </c>
    </row>
    <row r="44" spans="1:36" ht="17.25" customHeight="1">
      <c r="A44" s="474" t="s">
        <v>1255</v>
      </c>
      <c r="B44" s="450" t="s">
        <v>280</v>
      </c>
      <c r="C44" s="450" t="s">
        <v>1285</v>
      </c>
      <c r="D44" s="652"/>
      <c r="E44" s="635"/>
      <c r="F44" s="635"/>
      <c r="G44" s="635"/>
      <c r="H44" s="471"/>
      <c r="I44" s="620">
        <v>41414</v>
      </c>
      <c r="J44" s="635">
        <v>3</v>
      </c>
      <c r="K44" s="635">
        <f t="shared" si="6"/>
        <v>1510.6666666666667</v>
      </c>
      <c r="L44" s="635">
        <v>4532</v>
      </c>
      <c r="M44" s="635">
        <v>3465</v>
      </c>
      <c r="N44" s="635">
        <f t="shared" si="4"/>
        <v>1067</v>
      </c>
      <c r="O44" s="450" t="s">
        <v>352</v>
      </c>
      <c r="P44" s="481"/>
      <c r="R44" s="455"/>
      <c r="S44" s="473" t="s">
        <v>1284</v>
      </c>
      <c r="T44" s="473"/>
      <c r="U44" s="689"/>
      <c r="V44" s="508"/>
      <c r="W44" s="508"/>
      <c r="Y44" s="620">
        <v>41473</v>
      </c>
      <c r="Z44" s="635">
        <v>1000</v>
      </c>
      <c r="AA44" s="635">
        <f t="shared" si="5"/>
        <v>1302.799</v>
      </c>
      <c r="AB44" s="635">
        <v>1302799</v>
      </c>
      <c r="AE44" s="656" t="s">
        <v>1251</v>
      </c>
      <c r="AF44" s="642">
        <v>40541</v>
      </c>
      <c r="AG44" s="610">
        <v>216340</v>
      </c>
      <c r="AH44" s="610">
        <v>10084</v>
      </c>
      <c r="AI44" s="610">
        <v>-2181583377</v>
      </c>
    </row>
    <row r="45" spans="1:36" ht="17.25" customHeight="1">
      <c r="A45" s="474" t="s">
        <v>1255</v>
      </c>
      <c r="B45" s="450" t="s">
        <v>280</v>
      </c>
      <c r="C45" s="450" t="s">
        <v>1285</v>
      </c>
      <c r="D45" s="652"/>
      <c r="E45" s="635"/>
      <c r="F45" s="635"/>
      <c r="G45" s="635"/>
      <c r="H45" s="471"/>
      <c r="I45" s="620">
        <v>41425</v>
      </c>
      <c r="J45" s="635">
        <v>10211</v>
      </c>
      <c r="K45" s="635">
        <f t="shared" si="6"/>
        <v>1524.0842228968759</v>
      </c>
      <c r="L45" s="635">
        <v>15562424</v>
      </c>
      <c r="M45" s="635">
        <v>11792293</v>
      </c>
      <c r="N45" s="635">
        <f t="shared" si="4"/>
        <v>3770131</v>
      </c>
      <c r="O45" s="450" t="s">
        <v>352</v>
      </c>
      <c r="P45" s="481"/>
      <c r="R45" s="455"/>
      <c r="S45" s="473" t="s">
        <v>1284</v>
      </c>
      <c r="T45" s="473"/>
      <c r="U45" s="689"/>
      <c r="V45" s="508"/>
      <c r="W45" s="508"/>
      <c r="Y45" s="620">
        <v>41477</v>
      </c>
      <c r="Z45" s="635">
        <v>1000</v>
      </c>
      <c r="AA45" s="635">
        <f t="shared" si="5"/>
        <v>1320.396</v>
      </c>
      <c r="AB45" s="635">
        <v>1320396</v>
      </c>
      <c r="AE45" s="655" t="s">
        <v>1251</v>
      </c>
      <c r="AF45" s="651">
        <v>40574</v>
      </c>
      <c r="AG45" s="614">
        <v>278760</v>
      </c>
      <c r="AH45" s="614">
        <f>+AI45/AG45</f>
        <v>-10084.049999999999</v>
      </c>
      <c r="AI45" s="614">
        <v>-2811029778</v>
      </c>
    </row>
    <row r="46" spans="1:36" ht="17.25" customHeight="1">
      <c r="A46" s="474" t="s">
        <v>1255</v>
      </c>
      <c r="B46" s="450" t="s">
        <v>280</v>
      </c>
      <c r="C46" s="450" t="s">
        <v>1285</v>
      </c>
      <c r="D46" s="652"/>
      <c r="E46" s="635"/>
      <c r="F46" s="635"/>
      <c r="G46" s="635"/>
      <c r="H46" s="471"/>
      <c r="I46" s="620">
        <v>41428</v>
      </c>
      <c r="J46" s="635">
        <v>85996</v>
      </c>
      <c r="K46" s="635">
        <f t="shared" si="6"/>
        <v>1553.6655890971674</v>
      </c>
      <c r="L46" s="635">
        <v>133609026</v>
      </c>
      <c r="M46" s="635">
        <v>99313492</v>
      </c>
      <c r="N46" s="635">
        <f t="shared" si="4"/>
        <v>34295534</v>
      </c>
      <c r="O46" s="450" t="s">
        <v>352</v>
      </c>
      <c r="P46" s="481"/>
      <c r="R46" s="455"/>
      <c r="S46" s="473" t="s">
        <v>1284</v>
      </c>
      <c r="T46" s="473"/>
      <c r="U46" s="689"/>
      <c r="V46" s="508"/>
      <c r="W46" s="508"/>
      <c r="Y46" s="620">
        <v>41478</v>
      </c>
      <c r="Z46" s="635">
        <v>4200</v>
      </c>
      <c r="AA46" s="635">
        <f t="shared" si="5"/>
        <v>1313.8254761904761</v>
      </c>
      <c r="AB46" s="635">
        <v>5518067</v>
      </c>
      <c r="AF46" s="630">
        <v>41578</v>
      </c>
      <c r="AG46" s="657">
        <f>+AB46+AB47</f>
        <v>6173205</v>
      </c>
      <c r="AH46" s="648">
        <f>+AI46/AG46</f>
        <v>1332.3363685476183</v>
      </c>
      <c r="AI46" s="648">
        <v>8224785532</v>
      </c>
      <c r="AJ46" s="665">
        <f>+XIRR(AI44:AI46,AF44:AF46)</f>
        <v>0.19589917063713075</v>
      </c>
    </row>
    <row r="47" spans="1:36" ht="17.25" customHeight="1">
      <c r="A47" s="474" t="s">
        <v>1255</v>
      </c>
      <c r="B47" s="450" t="s">
        <v>280</v>
      </c>
      <c r="C47" s="450" t="s">
        <v>1285</v>
      </c>
      <c r="D47" s="652"/>
      <c r="E47" s="635"/>
      <c r="F47" s="635"/>
      <c r="G47" s="635"/>
      <c r="H47" s="471"/>
      <c r="I47" s="620">
        <v>41473</v>
      </c>
      <c r="J47" s="635">
        <v>1000</v>
      </c>
      <c r="K47" s="635">
        <f t="shared" si="6"/>
        <v>1302.799</v>
      </c>
      <c r="L47" s="635">
        <v>1302799</v>
      </c>
      <c r="M47" s="635">
        <v>1154862</v>
      </c>
      <c r="N47" s="635">
        <f>+L47-M47</f>
        <v>147937</v>
      </c>
      <c r="O47" s="450" t="s">
        <v>352</v>
      </c>
      <c r="P47" s="481"/>
      <c r="R47" s="455"/>
      <c r="S47" s="473" t="s">
        <v>1284</v>
      </c>
      <c r="T47" s="473"/>
      <c r="U47" s="689"/>
      <c r="V47" s="508"/>
      <c r="W47" s="508"/>
      <c r="Y47" s="620">
        <v>41480</v>
      </c>
      <c r="Z47" s="635">
        <v>500</v>
      </c>
      <c r="AA47" s="635">
        <f t="shared" si="5"/>
        <v>1310.2760000000001</v>
      </c>
      <c r="AB47" s="635">
        <v>655138</v>
      </c>
    </row>
    <row r="48" spans="1:36" ht="17.25" customHeight="1">
      <c r="A48" s="474" t="s">
        <v>1255</v>
      </c>
      <c r="B48" s="450" t="s">
        <v>280</v>
      </c>
      <c r="C48" s="450" t="s">
        <v>1285</v>
      </c>
      <c r="D48" s="652"/>
      <c r="E48" s="635"/>
      <c r="F48" s="635"/>
      <c r="G48" s="635"/>
      <c r="H48" s="471"/>
      <c r="I48" s="620">
        <v>41477</v>
      </c>
      <c r="J48" s="635">
        <v>1000</v>
      </c>
      <c r="K48" s="635">
        <f t="shared" si="6"/>
        <v>1320.396</v>
      </c>
      <c r="L48" s="635">
        <v>1320396</v>
      </c>
      <c r="M48" s="635">
        <v>1154862</v>
      </c>
      <c r="N48" s="635">
        <f t="shared" ref="N48:N58" si="7">+L48-M48</f>
        <v>165534</v>
      </c>
      <c r="O48" s="450" t="s">
        <v>352</v>
      </c>
      <c r="P48" s="481"/>
      <c r="R48" s="455"/>
      <c r="S48" s="473" t="s">
        <v>1284</v>
      </c>
      <c r="T48" s="473"/>
      <c r="U48" s="689"/>
      <c r="V48" s="508"/>
      <c r="W48" s="508"/>
      <c r="Y48" s="620">
        <v>41500</v>
      </c>
      <c r="Z48" s="635">
        <v>5991</v>
      </c>
      <c r="AA48" s="635">
        <f t="shared" si="5"/>
        <v>1251.7304289767985</v>
      </c>
      <c r="AB48" s="635">
        <v>7499117</v>
      </c>
      <c r="AE48" s="664" t="s">
        <v>1251</v>
      </c>
      <c r="AF48" s="668">
        <v>40589</v>
      </c>
      <c r="AG48" s="648">
        <v>324380</v>
      </c>
      <c r="AH48" s="648">
        <f>+AI48/AG48</f>
        <v>-4906.45</v>
      </c>
      <c r="AI48" s="648">
        <v>-1591554251</v>
      </c>
    </row>
    <row r="49" spans="1:36" ht="17.25" customHeight="1">
      <c r="A49" s="474" t="s">
        <v>1255</v>
      </c>
      <c r="B49" s="450" t="s">
        <v>280</v>
      </c>
      <c r="C49" s="450" t="s">
        <v>1285</v>
      </c>
      <c r="D49" s="652"/>
      <c r="E49" s="635"/>
      <c r="F49" s="635"/>
      <c r="G49" s="635"/>
      <c r="H49" s="471"/>
      <c r="I49" s="620">
        <v>41478</v>
      </c>
      <c r="J49" s="635">
        <v>4200</v>
      </c>
      <c r="K49" s="635">
        <f t="shared" si="6"/>
        <v>1313.8254761904761</v>
      </c>
      <c r="L49" s="635">
        <v>5518067</v>
      </c>
      <c r="M49" s="635">
        <v>4850419</v>
      </c>
      <c r="N49" s="635">
        <f t="shared" si="7"/>
        <v>667648</v>
      </c>
      <c r="O49" s="450" t="s">
        <v>352</v>
      </c>
      <c r="P49" s="481"/>
      <c r="R49" s="455"/>
      <c r="S49" s="473" t="s">
        <v>1284</v>
      </c>
      <c r="T49" s="473"/>
      <c r="U49" s="689"/>
      <c r="V49" s="508"/>
      <c r="W49" s="508"/>
      <c r="Y49" s="620">
        <v>41502</v>
      </c>
      <c r="Z49" s="635">
        <v>11</v>
      </c>
      <c r="AA49" s="635">
        <f t="shared" si="5"/>
        <v>1276.2727272727273</v>
      </c>
      <c r="AB49" s="635">
        <v>14039</v>
      </c>
      <c r="AF49" s="727">
        <v>41026</v>
      </c>
      <c r="AG49" s="648"/>
      <c r="AH49" s="648"/>
      <c r="AI49" s="648">
        <v>15915542</v>
      </c>
    </row>
    <row r="50" spans="1:36" ht="17.25" customHeight="1">
      <c r="A50" s="474" t="s">
        <v>1255</v>
      </c>
      <c r="B50" s="450" t="s">
        <v>280</v>
      </c>
      <c r="C50" s="450" t="s">
        <v>1285</v>
      </c>
      <c r="D50" s="652"/>
      <c r="E50" s="635"/>
      <c r="F50" s="635"/>
      <c r="G50" s="635"/>
      <c r="H50" s="471"/>
      <c r="I50" s="620">
        <v>41480</v>
      </c>
      <c r="J50" s="635">
        <v>500</v>
      </c>
      <c r="K50" s="635">
        <f t="shared" si="6"/>
        <v>1310.2760000000001</v>
      </c>
      <c r="L50" s="635">
        <v>655138</v>
      </c>
      <c r="M50" s="635">
        <v>577431</v>
      </c>
      <c r="N50" s="635">
        <f t="shared" si="7"/>
        <v>77707</v>
      </c>
      <c r="O50" s="450" t="s">
        <v>352</v>
      </c>
      <c r="P50" s="481"/>
      <c r="R50" s="455"/>
      <c r="S50" s="473" t="s">
        <v>1284</v>
      </c>
      <c r="T50" s="473"/>
      <c r="U50" s="689"/>
      <c r="V50" s="508"/>
      <c r="W50" s="508"/>
      <c r="Y50" s="620">
        <v>41506</v>
      </c>
      <c r="Z50" s="635">
        <v>2076</v>
      </c>
      <c r="AA50" s="635">
        <f t="shared" si="5"/>
        <v>1296.4542389210019</v>
      </c>
      <c r="AB50" s="635">
        <v>2691439</v>
      </c>
      <c r="AF50" s="630">
        <v>41390</v>
      </c>
      <c r="AG50" s="657"/>
      <c r="AH50" s="657"/>
      <c r="AI50" s="657">
        <v>15915542</v>
      </c>
    </row>
    <row r="51" spans="1:36" ht="17.25" customHeight="1">
      <c r="A51" s="474" t="s">
        <v>1255</v>
      </c>
      <c r="B51" s="450" t="s">
        <v>280</v>
      </c>
      <c r="C51" s="450" t="s">
        <v>1285</v>
      </c>
      <c r="D51" s="652"/>
      <c r="E51" s="635"/>
      <c r="F51" s="635"/>
      <c r="G51" s="635"/>
      <c r="H51" s="471"/>
      <c r="I51" s="620">
        <v>41500</v>
      </c>
      <c r="J51" s="635">
        <v>5991</v>
      </c>
      <c r="K51" s="635">
        <f t="shared" si="6"/>
        <v>1251.7304289767985</v>
      </c>
      <c r="L51" s="635">
        <v>7499117</v>
      </c>
      <c r="M51" s="635">
        <v>6918777</v>
      </c>
      <c r="N51" s="635">
        <f t="shared" si="7"/>
        <v>580340</v>
      </c>
      <c r="O51" s="450" t="s">
        <v>352</v>
      </c>
      <c r="P51" s="481"/>
      <c r="R51" s="455"/>
      <c r="S51" s="473" t="s">
        <v>1284</v>
      </c>
      <c r="T51" s="473"/>
      <c r="U51" s="689"/>
      <c r="V51" s="508"/>
      <c r="W51" s="508"/>
      <c r="Y51" s="728">
        <v>41549</v>
      </c>
      <c r="Z51" s="650">
        <v>106444</v>
      </c>
      <c r="AA51" s="657">
        <f>+AB51/Z51</f>
        <v>1398.038893690579</v>
      </c>
      <c r="AB51" s="729">
        <v>148812852</v>
      </c>
      <c r="AF51" s="730">
        <v>41578</v>
      </c>
      <c r="AG51" s="647">
        <v>97122</v>
      </c>
      <c r="AH51" s="669">
        <f>+AI51/AG51</f>
        <v>6045</v>
      </c>
      <c r="AI51" s="669">
        <v>587102490</v>
      </c>
    </row>
    <row r="52" spans="1:36" ht="17.25" customHeight="1">
      <c r="A52" s="474" t="s">
        <v>1255</v>
      </c>
      <c r="B52" s="450" t="s">
        <v>280</v>
      </c>
      <c r="C52" s="450" t="s">
        <v>1285</v>
      </c>
      <c r="D52" s="652"/>
      <c r="E52" s="635"/>
      <c r="F52" s="635"/>
      <c r="G52" s="635"/>
      <c r="H52" s="471"/>
      <c r="I52" s="620">
        <v>41502</v>
      </c>
      <c r="J52" s="635">
        <v>11</v>
      </c>
      <c r="K52" s="635">
        <f t="shared" si="6"/>
        <v>1276.2727272727273</v>
      </c>
      <c r="L52" s="635">
        <v>14039</v>
      </c>
      <c r="M52" s="635">
        <v>12703</v>
      </c>
      <c r="N52" s="635">
        <f t="shared" si="7"/>
        <v>1336</v>
      </c>
      <c r="O52" s="450" t="s">
        <v>352</v>
      </c>
      <c r="P52" s="481"/>
      <c r="R52" s="455"/>
      <c r="S52" s="473" t="s">
        <v>1284</v>
      </c>
      <c r="T52" s="473"/>
      <c r="U52" s="689"/>
      <c r="V52" s="508"/>
      <c r="W52" s="508"/>
      <c r="Y52" s="690">
        <v>41551</v>
      </c>
      <c r="Z52" s="744">
        <v>5500</v>
      </c>
      <c r="AA52" s="648">
        <v>1378</v>
      </c>
      <c r="AB52" s="691">
        <v>7552777</v>
      </c>
      <c r="AF52" s="623">
        <f>+AF51</f>
        <v>41578</v>
      </c>
      <c r="AG52" s="614">
        <f>+AB49-AG51</f>
        <v>-83083</v>
      </c>
      <c r="AH52" s="644">
        <f>+AI52/AG52</f>
        <v>-45440.035951999809</v>
      </c>
      <c r="AI52" s="644">
        <v>3775294507</v>
      </c>
      <c r="AJ52" s="665">
        <f>+XIRR(AI44:AI52,AF44:AF52)</f>
        <v>0.26492964625358573</v>
      </c>
    </row>
    <row r="53" spans="1:36" ht="17.25" customHeight="1">
      <c r="A53" s="474" t="s">
        <v>1255</v>
      </c>
      <c r="B53" s="450" t="s">
        <v>280</v>
      </c>
      <c r="C53" s="450" t="s">
        <v>1285</v>
      </c>
      <c r="D53" s="652"/>
      <c r="E53" s="635"/>
      <c r="F53" s="635"/>
      <c r="G53" s="635"/>
      <c r="H53" s="471"/>
      <c r="I53" s="620">
        <v>41506</v>
      </c>
      <c r="J53" s="635">
        <v>2076</v>
      </c>
      <c r="K53" s="635">
        <f t="shared" si="6"/>
        <v>1296.4542389210019</v>
      </c>
      <c r="L53" s="635">
        <v>2691439</v>
      </c>
      <c r="M53" s="635">
        <v>2397493</v>
      </c>
      <c r="N53" s="635">
        <f t="shared" si="7"/>
        <v>293946</v>
      </c>
      <c r="O53" s="450" t="s">
        <v>352</v>
      </c>
      <c r="P53" s="481"/>
      <c r="R53" s="455"/>
      <c r="S53" s="473" t="s">
        <v>1284</v>
      </c>
      <c r="T53" s="473"/>
      <c r="U53" s="689"/>
      <c r="V53" s="508"/>
      <c r="W53" s="508"/>
      <c r="Y53" s="690">
        <v>41554</v>
      </c>
      <c r="Z53" s="744">
        <v>48544</v>
      </c>
      <c r="AA53" s="648">
        <v>1410</v>
      </c>
      <c r="AB53" s="691">
        <v>68202261</v>
      </c>
    </row>
    <row r="54" spans="1:36" ht="17.25" customHeight="1">
      <c r="A54" s="474" t="s">
        <v>1255</v>
      </c>
      <c r="B54" s="450" t="s">
        <v>280</v>
      </c>
      <c r="C54" s="450" t="s">
        <v>1285</v>
      </c>
      <c r="D54" s="652"/>
      <c r="E54" s="635"/>
      <c r="F54" s="635"/>
      <c r="G54" s="635"/>
      <c r="H54" s="471"/>
      <c r="I54" s="728">
        <v>41549</v>
      </c>
      <c r="J54" s="650">
        <v>106444</v>
      </c>
      <c r="K54" s="657">
        <f>+L54/J54</f>
        <v>1398.038893690579</v>
      </c>
      <c r="L54" s="729">
        <v>148812852</v>
      </c>
      <c r="M54" s="657">
        <v>122928105</v>
      </c>
      <c r="N54" s="657">
        <f t="shared" si="7"/>
        <v>25884747</v>
      </c>
      <c r="O54" s="450" t="s">
        <v>352</v>
      </c>
      <c r="P54" s="481"/>
      <c r="R54" s="455"/>
      <c r="S54" s="474"/>
      <c r="T54" s="474"/>
      <c r="U54" s="689"/>
      <c r="V54" s="508"/>
      <c r="W54" s="508"/>
      <c r="Y54" s="731">
        <v>41555</v>
      </c>
      <c r="Z54" s="613">
        <v>23996</v>
      </c>
      <c r="AA54" s="614">
        <v>1451</v>
      </c>
      <c r="AB54" s="732">
        <v>34697705</v>
      </c>
      <c r="AC54" s="665">
        <f>+XIRR(AB27:AB54,Y27:Y54)</f>
        <v>0.10763055682182313</v>
      </c>
    </row>
    <row r="55" spans="1:36" ht="17.25" customHeight="1">
      <c r="A55" s="474" t="s">
        <v>1255</v>
      </c>
      <c r="B55" s="450" t="s">
        <v>280</v>
      </c>
      <c r="C55" s="450" t="s">
        <v>1285</v>
      </c>
      <c r="D55" s="668"/>
      <c r="E55" s="662"/>
      <c r="F55" s="662"/>
      <c r="G55" s="662"/>
      <c r="H55" s="558"/>
      <c r="I55" s="690">
        <v>41551</v>
      </c>
      <c r="J55" s="744">
        <v>5500</v>
      </c>
      <c r="K55" s="648">
        <v>1378</v>
      </c>
      <c r="L55" s="691">
        <v>7552777</v>
      </c>
      <c r="M55" s="648">
        <v>6351740</v>
      </c>
      <c r="N55" s="657">
        <f t="shared" si="7"/>
        <v>1201037</v>
      </c>
      <c r="O55" s="450" t="s">
        <v>352</v>
      </c>
      <c r="P55" s="692"/>
      <c r="R55" s="455"/>
      <c r="S55" s="474"/>
      <c r="T55" s="474"/>
      <c r="U55" s="689"/>
      <c r="V55" s="508"/>
      <c r="W55" s="508"/>
    </row>
    <row r="56" spans="1:36" ht="17.25" customHeight="1">
      <c r="A56" s="474" t="s">
        <v>1255</v>
      </c>
      <c r="B56" s="450" t="s">
        <v>280</v>
      </c>
      <c r="C56" s="450" t="s">
        <v>1285</v>
      </c>
      <c r="D56" s="668"/>
      <c r="E56" s="662"/>
      <c r="F56" s="662"/>
      <c r="G56" s="662"/>
      <c r="H56" s="558"/>
      <c r="I56" s="690">
        <v>41554</v>
      </c>
      <c r="J56" s="744">
        <v>48544</v>
      </c>
      <c r="K56" s="648">
        <v>1410</v>
      </c>
      <c r="L56" s="691">
        <v>68202261</v>
      </c>
      <c r="M56" s="648">
        <v>56061609</v>
      </c>
      <c r="N56" s="657">
        <f t="shared" si="7"/>
        <v>12140652</v>
      </c>
      <c r="O56" s="450" t="s">
        <v>352</v>
      </c>
      <c r="P56" s="692"/>
      <c r="R56" s="455"/>
      <c r="S56" s="474"/>
      <c r="T56" s="474"/>
      <c r="U56" s="689"/>
      <c r="V56" s="508"/>
      <c r="W56" s="508"/>
      <c r="AD56" s="639"/>
    </row>
    <row r="57" spans="1:36" ht="17.25" customHeight="1">
      <c r="A57" s="474" t="s">
        <v>1255</v>
      </c>
      <c r="B57" s="449" t="s">
        <v>280</v>
      </c>
      <c r="C57" s="449" t="s">
        <v>1285</v>
      </c>
      <c r="D57" s="651"/>
      <c r="E57" s="636"/>
      <c r="F57" s="636"/>
      <c r="G57" s="636"/>
      <c r="H57" s="470"/>
      <c r="I57" s="731">
        <v>41555</v>
      </c>
      <c r="J57" s="613">
        <v>23996</v>
      </c>
      <c r="K57" s="614">
        <v>1451</v>
      </c>
      <c r="L57" s="732">
        <v>34697705</v>
      </c>
      <c r="M57" s="614">
        <v>27712064</v>
      </c>
      <c r="N57" s="614">
        <f t="shared" si="7"/>
        <v>6985641</v>
      </c>
      <c r="O57" s="449" t="s">
        <v>352</v>
      </c>
      <c r="P57" s="486"/>
      <c r="R57" s="455"/>
      <c r="S57" s="474"/>
      <c r="T57" s="474"/>
      <c r="U57" s="689"/>
      <c r="V57" s="508"/>
      <c r="W57" s="508"/>
      <c r="AD57" s="639"/>
    </row>
    <row r="58" spans="1:36" ht="17.25" customHeight="1">
      <c r="A58" s="474" t="s">
        <v>1255</v>
      </c>
      <c r="B58" s="512" t="s">
        <v>280</v>
      </c>
      <c r="C58" s="512" t="s">
        <v>1437</v>
      </c>
      <c r="D58" s="668">
        <v>41558</v>
      </c>
      <c r="E58" s="662">
        <v>1397949</v>
      </c>
      <c r="F58" s="662">
        <v>1073</v>
      </c>
      <c r="G58" s="662">
        <v>1499999277</v>
      </c>
      <c r="H58" s="558" t="s">
        <v>1286</v>
      </c>
      <c r="I58" s="690">
        <v>41571</v>
      </c>
      <c r="J58" s="744">
        <v>279590</v>
      </c>
      <c r="K58" s="648">
        <v>4270</v>
      </c>
      <c r="L58" s="691">
        <v>1193849300</v>
      </c>
      <c r="M58" s="648">
        <v>300000070</v>
      </c>
      <c r="N58" s="648">
        <f t="shared" si="7"/>
        <v>893849230</v>
      </c>
      <c r="O58" s="512" t="s">
        <v>353</v>
      </c>
      <c r="P58" s="692"/>
      <c r="R58" s="455"/>
      <c r="S58" s="474"/>
      <c r="T58" s="474"/>
      <c r="U58" s="689"/>
      <c r="V58" s="508"/>
      <c r="W58" s="508"/>
      <c r="Z58" s="512" t="s">
        <v>1285</v>
      </c>
      <c r="AA58" s="668">
        <v>41558</v>
      </c>
      <c r="AB58" s="662">
        <v>1397949</v>
      </c>
      <c r="AC58" s="662">
        <v>1073</v>
      </c>
      <c r="AD58" s="662">
        <v>-1499999277</v>
      </c>
    </row>
    <row r="59" spans="1:36" ht="17.25" customHeight="1">
      <c r="A59" s="474" t="s">
        <v>1255</v>
      </c>
      <c r="B59" s="512" t="s">
        <v>280</v>
      </c>
      <c r="C59" s="512" t="s">
        <v>1285</v>
      </c>
      <c r="D59" s="668"/>
      <c r="E59" s="662"/>
      <c r="F59" s="662"/>
      <c r="G59" s="662"/>
      <c r="H59" s="558"/>
      <c r="I59" s="690">
        <v>41717</v>
      </c>
      <c r="J59" s="744">
        <v>32000</v>
      </c>
      <c r="K59" s="648">
        <f>+L59/J59</f>
        <v>1594.24034375</v>
      </c>
      <c r="L59" s="691">
        <v>51015691</v>
      </c>
      <c r="M59" s="648">
        <f>+J59*F58</f>
        <v>34336000</v>
      </c>
      <c r="N59" s="648">
        <f>+L59-M59</f>
        <v>16679691</v>
      </c>
      <c r="O59" s="512" t="s">
        <v>1442</v>
      </c>
      <c r="P59" s="692"/>
      <c r="R59" s="455"/>
      <c r="S59" s="474"/>
      <c r="T59" s="474"/>
      <c r="U59" s="689"/>
      <c r="V59" s="508"/>
      <c r="W59" s="508"/>
      <c r="AA59" s="668"/>
      <c r="AB59" s="662"/>
      <c r="AC59" s="662"/>
      <c r="AD59" s="696"/>
    </row>
    <row r="60" spans="1:36" ht="17.25" customHeight="1">
      <c r="A60" s="474" t="s">
        <v>1255</v>
      </c>
      <c r="B60" s="512" t="s">
        <v>280</v>
      </c>
      <c r="C60" s="512" t="s">
        <v>1285</v>
      </c>
      <c r="D60" s="668"/>
      <c r="E60" s="662"/>
      <c r="F60" s="662"/>
      <c r="G60" s="662"/>
      <c r="H60" s="558"/>
      <c r="I60" s="690">
        <v>41732</v>
      </c>
      <c r="J60" s="744">
        <v>9089</v>
      </c>
      <c r="K60" s="648">
        <f>+L60/J60</f>
        <v>1672.1387391352184</v>
      </c>
      <c r="L60" s="691">
        <v>15198069</v>
      </c>
      <c r="M60" s="648">
        <f>+J60*F58</f>
        <v>9752497</v>
      </c>
      <c r="N60" s="648">
        <f>+L60-M60</f>
        <v>5445572</v>
      </c>
      <c r="O60" s="512" t="s">
        <v>1442</v>
      </c>
      <c r="P60" s="692"/>
      <c r="R60" s="455"/>
      <c r="S60" s="474"/>
      <c r="T60" s="474"/>
      <c r="U60" s="689"/>
      <c r="V60" s="508"/>
      <c r="W60" s="508"/>
      <c r="AA60" s="668"/>
      <c r="AB60" s="662"/>
      <c r="AC60" s="662"/>
      <c r="AD60" s="696"/>
    </row>
    <row r="61" spans="1:36" ht="17.25" customHeight="1">
      <c r="A61" s="474" t="s">
        <v>1255</v>
      </c>
      <c r="B61" s="456" t="s">
        <v>279</v>
      </c>
      <c r="C61" s="456" t="s">
        <v>1285</v>
      </c>
      <c r="D61" s="642">
        <v>40466</v>
      </c>
      <c r="E61" s="634"/>
      <c r="F61" s="634"/>
      <c r="G61" s="634">
        <v>3000000000</v>
      </c>
      <c r="H61" s="469" t="s">
        <v>1287</v>
      </c>
      <c r="I61" s="536">
        <v>40557</v>
      </c>
      <c r="J61" s="634"/>
      <c r="K61" s="610"/>
      <c r="L61" s="610">
        <v>22684932</v>
      </c>
      <c r="M61" s="610">
        <v>0</v>
      </c>
      <c r="N61" s="634">
        <f t="shared" ref="N61:N68" si="8">+L61-M61</f>
        <v>22684932</v>
      </c>
      <c r="O61" s="456" t="s">
        <v>1250</v>
      </c>
      <c r="P61" s="480"/>
      <c r="R61" s="455"/>
      <c r="S61" s="474"/>
      <c r="T61" s="474"/>
      <c r="U61" s="294" t="s">
        <v>19</v>
      </c>
      <c r="V61" s="501" t="s">
        <v>1358</v>
      </c>
      <c r="W61" s="501" t="s">
        <v>794</v>
      </c>
      <c r="AA61" s="690">
        <v>41571</v>
      </c>
      <c r="AB61" s="744">
        <v>279590</v>
      </c>
      <c r="AC61" s="648">
        <v>4270</v>
      </c>
      <c r="AD61" s="691">
        <v>1193849300</v>
      </c>
    </row>
    <row r="62" spans="1:36" ht="17.25" customHeight="1">
      <c r="A62" s="474" t="s">
        <v>1359</v>
      </c>
      <c r="B62" s="450" t="s">
        <v>1360</v>
      </c>
      <c r="C62" s="450" t="s">
        <v>1361</v>
      </c>
      <c r="D62" s="652"/>
      <c r="E62" s="635"/>
      <c r="F62" s="635"/>
      <c r="G62" s="635"/>
      <c r="H62" s="471"/>
      <c r="I62" s="620">
        <v>40647</v>
      </c>
      <c r="J62" s="635"/>
      <c r="K62" s="635"/>
      <c r="L62" s="635">
        <v>22191781</v>
      </c>
      <c r="M62" s="635">
        <v>0</v>
      </c>
      <c r="N62" s="635">
        <f t="shared" si="8"/>
        <v>22191781</v>
      </c>
      <c r="O62" s="450" t="s">
        <v>1362</v>
      </c>
      <c r="P62" s="481"/>
      <c r="R62" s="455"/>
      <c r="S62" s="474"/>
      <c r="T62" s="474"/>
      <c r="U62" s="296" t="s">
        <v>19</v>
      </c>
      <c r="V62" s="499" t="s">
        <v>1358</v>
      </c>
      <c r="W62" s="499" t="s">
        <v>794</v>
      </c>
      <c r="AA62" s="624">
        <v>41634</v>
      </c>
      <c r="AB62" s="625">
        <f>+AB58-AB61</f>
        <v>1118359</v>
      </c>
      <c r="AC62" s="455">
        <v>1455</v>
      </c>
      <c r="AD62" s="639">
        <f>+AB62*AC62</f>
        <v>1627212345</v>
      </c>
      <c r="AE62" s="665">
        <f>+XIRR(AD58:AD72,AA58:AA72)</f>
        <v>0.27043127417564394</v>
      </c>
    </row>
    <row r="63" spans="1:36" ht="17.25" customHeight="1">
      <c r="A63" s="474" t="s">
        <v>1359</v>
      </c>
      <c r="B63" s="545" t="s">
        <v>1360</v>
      </c>
      <c r="C63" s="545" t="s">
        <v>1361</v>
      </c>
      <c r="D63" s="646"/>
      <c r="E63" s="452"/>
      <c r="F63" s="452"/>
      <c r="G63" s="452"/>
      <c r="H63" s="557"/>
      <c r="I63" s="537">
        <v>40738</v>
      </c>
      <c r="J63" s="452"/>
      <c r="K63" s="452"/>
      <c r="L63" s="452">
        <v>22438356</v>
      </c>
      <c r="M63" s="452">
        <v>0</v>
      </c>
      <c r="N63" s="452">
        <f t="shared" si="8"/>
        <v>22438356</v>
      </c>
      <c r="O63" s="545" t="s">
        <v>1363</v>
      </c>
      <c r="P63" s="317"/>
      <c r="R63" s="455"/>
      <c r="S63" s="475"/>
      <c r="T63" s="475"/>
      <c r="U63" s="733"/>
      <c r="V63" s="734"/>
      <c r="W63" s="734"/>
      <c r="AA63" s="642">
        <v>40466</v>
      </c>
      <c r="AB63" s="634"/>
      <c r="AC63" s="634"/>
      <c r="AD63" s="634">
        <v>-3000000000</v>
      </c>
    </row>
    <row r="64" spans="1:36" ht="17.25" customHeight="1">
      <c r="A64" s="474" t="s">
        <v>1359</v>
      </c>
      <c r="B64" s="545" t="s">
        <v>1360</v>
      </c>
      <c r="C64" s="545" t="s">
        <v>1361</v>
      </c>
      <c r="D64" s="646"/>
      <c r="E64" s="452"/>
      <c r="F64" s="452"/>
      <c r="G64" s="452"/>
      <c r="H64" s="557"/>
      <c r="I64" s="537">
        <v>40828</v>
      </c>
      <c r="J64" s="452"/>
      <c r="K64" s="452"/>
      <c r="L64" s="452">
        <v>165000000</v>
      </c>
      <c r="M64" s="452"/>
      <c r="N64" s="452">
        <f t="shared" si="8"/>
        <v>165000000</v>
      </c>
      <c r="O64" s="545" t="s">
        <v>1364</v>
      </c>
      <c r="P64" s="317"/>
      <c r="R64" s="455"/>
      <c r="S64" s="473"/>
      <c r="T64" s="473"/>
      <c r="U64" s="733"/>
      <c r="V64" s="734"/>
      <c r="W64" s="734"/>
      <c r="AA64" s="536">
        <v>40557</v>
      </c>
      <c r="AB64" s="634"/>
      <c r="AC64" s="610"/>
      <c r="AD64" s="610">
        <v>22684932</v>
      </c>
    </row>
    <row r="65" spans="1:37" ht="17.25" customHeight="1">
      <c r="A65" s="474" t="s">
        <v>1359</v>
      </c>
      <c r="B65" s="450" t="s">
        <v>1360</v>
      </c>
      <c r="C65" s="450" t="s">
        <v>1361</v>
      </c>
      <c r="D65" s="652"/>
      <c r="E65" s="635"/>
      <c r="F65" s="635"/>
      <c r="G65" s="635"/>
      <c r="H65" s="471"/>
      <c r="I65" s="620">
        <v>40830</v>
      </c>
      <c r="J65" s="635"/>
      <c r="K65" s="635"/>
      <c r="L65" s="635">
        <v>22684932</v>
      </c>
      <c r="M65" s="635">
        <v>0</v>
      </c>
      <c r="N65" s="635">
        <f t="shared" si="8"/>
        <v>22684932</v>
      </c>
      <c r="O65" s="450" t="s">
        <v>1363</v>
      </c>
      <c r="P65" s="481"/>
      <c r="R65" s="455"/>
      <c r="S65" s="473"/>
      <c r="T65" s="473"/>
      <c r="U65" s="296"/>
      <c r="V65" s="499"/>
      <c r="W65" s="499"/>
      <c r="AA65" s="620">
        <v>40647</v>
      </c>
      <c r="AB65" s="635"/>
      <c r="AC65" s="635"/>
      <c r="AD65" s="635">
        <v>22191781</v>
      </c>
    </row>
    <row r="66" spans="1:37" ht="16.5" customHeight="1">
      <c r="A66" s="474" t="s">
        <v>1359</v>
      </c>
      <c r="B66" s="450" t="s">
        <v>1360</v>
      </c>
      <c r="C66" s="450" t="s">
        <v>1361</v>
      </c>
      <c r="D66" s="652"/>
      <c r="E66" s="635"/>
      <c r="F66" s="635"/>
      <c r="G66" s="635"/>
      <c r="H66" s="471"/>
      <c r="I66" s="620">
        <v>40924</v>
      </c>
      <c r="J66" s="635"/>
      <c r="K66" s="635"/>
      <c r="L66" s="635">
        <v>22622951</v>
      </c>
      <c r="M66" s="635"/>
      <c r="N66" s="635">
        <f t="shared" si="8"/>
        <v>22622951</v>
      </c>
      <c r="O66" s="450" t="s">
        <v>1363</v>
      </c>
      <c r="P66" s="481"/>
      <c r="R66" s="455"/>
      <c r="S66" s="473"/>
      <c r="T66" s="473"/>
      <c r="U66" s="296"/>
      <c r="V66" s="499"/>
      <c r="W66" s="499"/>
      <c r="AA66" s="537">
        <v>40738</v>
      </c>
      <c r="AB66" s="452"/>
      <c r="AC66" s="452"/>
      <c r="AD66" s="452">
        <v>22438356</v>
      </c>
    </row>
    <row r="67" spans="1:37" ht="17.25" customHeight="1">
      <c r="A67" s="474" t="s">
        <v>1359</v>
      </c>
      <c r="B67" s="450" t="s">
        <v>1360</v>
      </c>
      <c r="C67" s="450" t="s">
        <v>1361</v>
      </c>
      <c r="D67" s="652"/>
      <c r="E67" s="635"/>
      <c r="F67" s="635"/>
      <c r="G67" s="635"/>
      <c r="H67" s="471"/>
      <c r="I67" s="620">
        <v>41015</v>
      </c>
      <c r="J67" s="635"/>
      <c r="K67" s="635"/>
      <c r="L67" s="635">
        <v>22377049</v>
      </c>
      <c r="M67" s="635"/>
      <c r="N67" s="635">
        <f t="shared" si="8"/>
        <v>22377049</v>
      </c>
      <c r="O67" s="450" t="s">
        <v>1363</v>
      </c>
      <c r="P67" s="481"/>
      <c r="R67" s="455"/>
      <c r="S67" s="473"/>
      <c r="T67" s="473"/>
      <c r="U67" s="296"/>
      <c r="V67" s="499"/>
      <c r="W67" s="499"/>
      <c r="AA67" s="537">
        <v>40828</v>
      </c>
      <c r="AB67" s="452"/>
      <c r="AC67" s="452"/>
      <c r="AD67" s="452">
        <v>165000000</v>
      </c>
    </row>
    <row r="68" spans="1:37" ht="17.25" customHeight="1">
      <c r="A68" s="474" t="s">
        <v>1359</v>
      </c>
      <c r="B68" s="449" t="s">
        <v>1360</v>
      </c>
      <c r="C68" s="449" t="s">
        <v>1361</v>
      </c>
      <c r="D68" s="651"/>
      <c r="E68" s="636"/>
      <c r="F68" s="636"/>
      <c r="G68" s="636"/>
      <c r="H68" s="470"/>
      <c r="I68" s="667">
        <v>41029</v>
      </c>
      <c r="J68" s="636"/>
      <c r="K68" s="636"/>
      <c r="L68" s="636">
        <v>3121493851</v>
      </c>
      <c r="M68" s="636">
        <v>3000000000</v>
      </c>
      <c r="N68" s="636">
        <f t="shared" si="8"/>
        <v>121493851</v>
      </c>
      <c r="O68" s="449" t="s">
        <v>1365</v>
      </c>
      <c r="P68" s="486"/>
      <c r="R68" s="455"/>
      <c r="S68" s="473"/>
      <c r="T68" s="473"/>
      <c r="U68" s="295"/>
      <c r="V68" s="500"/>
      <c r="W68" s="500"/>
      <c r="AA68" s="620">
        <v>40830</v>
      </c>
      <c r="AB68" s="635"/>
      <c r="AC68" s="635"/>
      <c r="AD68" s="635">
        <v>22684932</v>
      </c>
    </row>
    <row r="69" spans="1:37" s="608" customFormat="1" ht="17.25" customHeight="1">
      <c r="A69" s="491" t="s">
        <v>1359</v>
      </c>
      <c r="B69" s="656" t="s">
        <v>1366</v>
      </c>
      <c r="C69" s="656" t="s">
        <v>1367</v>
      </c>
      <c r="D69" s="642">
        <v>40541</v>
      </c>
      <c r="E69" s="610">
        <v>216340</v>
      </c>
      <c r="F69" s="610">
        <v>10084</v>
      </c>
      <c r="G69" s="610">
        <v>2181583377</v>
      </c>
      <c r="H69" s="612" t="s">
        <v>1368</v>
      </c>
      <c r="I69" s="630">
        <v>41578</v>
      </c>
      <c r="J69" s="657">
        <f>+E69+E70</f>
        <v>495100</v>
      </c>
      <c r="K69" s="648">
        <f>+L69/J69</f>
        <v>16612.372312664109</v>
      </c>
      <c r="L69" s="648">
        <v>8224785532</v>
      </c>
      <c r="M69" s="648">
        <f>+G69+G71+G70</f>
        <v>4992613155</v>
      </c>
      <c r="N69" s="648">
        <f>+L69-M69</f>
        <v>3232172377</v>
      </c>
      <c r="O69" s="654" t="s">
        <v>1369</v>
      </c>
      <c r="P69" s="656"/>
      <c r="S69" s="491"/>
      <c r="T69" s="491"/>
      <c r="U69" s="492" t="s">
        <v>1370</v>
      </c>
      <c r="V69" s="492" t="s">
        <v>1371</v>
      </c>
      <c r="W69" s="492" t="s">
        <v>1372</v>
      </c>
      <c r="Z69" s="455"/>
      <c r="AA69" s="620">
        <v>40924</v>
      </c>
      <c r="AB69" s="635"/>
      <c r="AC69" s="635"/>
      <c r="AD69" s="635">
        <v>22622951</v>
      </c>
      <c r="AE69" s="455"/>
    </row>
    <row r="70" spans="1:37" s="608" customFormat="1" ht="17.25" customHeight="1">
      <c r="A70" s="491" t="s">
        <v>1477</v>
      </c>
      <c r="B70" s="491" t="s">
        <v>1478</v>
      </c>
      <c r="C70" s="491" t="s">
        <v>1479</v>
      </c>
      <c r="D70" s="660">
        <v>40541</v>
      </c>
      <c r="E70" s="920">
        <v>278760</v>
      </c>
      <c r="F70" s="918">
        <f>+SUM(G70:G71)/E70</f>
        <v>10084.049999999999</v>
      </c>
      <c r="G70" s="669">
        <v>2529926800</v>
      </c>
      <c r="H70" s="521" t="s">
        <v>1481</v>
      </c>
      <c r="I70" s="673"/>
      <c r="J70" s="647"/>
      <c r="K70" s="669"/>
      <c r="L70" s="669"/>
      <c r="M70" s="669"/>
      <c r="N70" s="669"/>
      <c r="O70" s="476"/>
      <c r="P70" s="491"/>
      <c r="S70" s="491"/>
      <c r="T70" s="491"/>
      <c r="U70" s="398"/>
      <c r="V70" s="398"/>
      <c r="W70" s="398"/>
      <c r="Z70" s="455"/>
      <c r="AA70" s="620"/>
      <c r="AB70" s="635"/>
      <c r="AC70" s="635"/>
      <c r="AD70" s="635"/>
      <c r="AE70" s="455"/>
    </row>
    <row r="71" spans="1:37" s="608" customFormat="1" ht="17.25" customHeight="1">
      <c r="A71" s="491" t="s">
        <v>1359</v>
      </c>
      <c r="B71" s="655" t="s">
        <v>1366</v>
      </c>
      <c r="C71" s="655" t="s">
        <v>1367</v>
      </c>
      <c r="D71" s="651">
        <v>40546</v>
      </c>
      <c r="E71" s="921"/>
      <c r="F71" s="919"/>
      <c r="G71" s="614">
        <v>281102978</v>
      </c>
      <c r="H71" s="613" t="s">
        <v>1368</v>
      </c>
      <c r="I71" s="632"/>
      <c r="J71" s="614"/>
      <c r="K71" s="614"/>
      <c r="L71" s="614"/>
      <c r="M71" s="614"/>
      <c r="N71" s="614"/>
      <c r="O71" s="655"/>
      <c r="P71" s="655"/>
      <c r="S71" s="491"/>
      <c r="T71" s="491"/>
      <c r="U71" s="493" t="s">
        <v>19</v>
      </c>
      <c r="V71" s="493" t="s">
        <v>796</v>
      </c>
      <c r="W71" s="493" t="s">
        <v>794</v>
      </c>
      <c r="Z71" s="455"/>
      <c r="AA71" s="620">
        <v>41015</v>
      </c>
      <c r="AB71" s="635"/>
      <c r="AC71" s="635"/>
      <c r="AD71" s="635">
        <v>22377049</v>
      </c>
      <c r="AE71" s="455"/>
    </row>
    <row r="72" spans="1:37" s="608" customFormat="1" ht="17.25" customHeight="1">
      <c r="A72" s="491" t="s">
        <v>1359</v>
      </c>
      <c r="B72" s="664" t="s">
        <v>1366</v>
      </c>
      <c r="C72" s="664" t="s">
        <v>1367</v>
      </c>
      <c r="D72" s="668">
        <v>40592</v>
      </c>
      <c r="E72" s="648">
        <v>324380</v>
      </c>
      <c r="F72" s="648">
        <f>+G72/E72</f>
        <v>4906.45</v>
      </c>
      <c r="G72" s="648">
        <v>1591554251</v>
      </c>
      <c r="H72" s="744" t="s">
        <v>1373</v>
      </c>
      <c r="I72" s="727">
        <v>41026</v>
      </c>
      <c r="J72" s="648"/>
      <c r="K72" s="648"/>
      <c r="L72" s="648">
        <v>15915542</v>
      </c>
      <c r="M72" s="648">
        <v>0</v>
      </c>
      <c r="N72" s="648">
        <f>+L72-M72</f>
        <v>15915542</v>
      </c>
      <c r="O72" s="664" t="s">
        <v>1374</v>
      </c>
      <c r="P72" s="664"/>
      <c r="S72" s="491"/>
      <c r="T72" s="491"/>
      <c r="U72" s="493" t="s">
        <v>19</v>
      </c>
      <c r="V72" s="493" t="s">
        <v>796</v>
      </c>
      <c r="W72" s="493" t="s">
        <v>794</v>
      </c>
      <c r="AA72" s="667">
        <v>41029</v>
      </c>
      <c r="AB72" s="636"/>
      <c r="AC72" s="636"/>
      <c r="AD72" s="636">
        <v>3121493851</v>
      </c>
    </row>
    <row r="73" spans="1:37" s="608" customFormat="1" ht="17.25" customHeight="1">
      <c r="A73" s="491" t="s">
        <v>1359</v>
      </c>
      <c r="B73" s="476" t="s">
        <v>1366</v>
      </c>
      <c r="C73" s="654" t="s">
        <v>1367</v>
      </c>
      <c r="D73" s="652"/>
      <c r="E73" s="657"/>
      <c r="F73" s="657"/>
      <c r="G73" s="657"/>
      <c r="H73" s="650"/>
      <c r="I73" s="630">
        <v>41390</v>
      </c>
      <c r="J73" s="657"/>
      <c r="K73" s="657"/>
      <c r="L73" s="657">
        <v>15915542</v>
      </c>
      <c r="M73" s="657">
        <v>0</v>
      </c>
      <c r="N73" s="657">
        <f>+L73-M73</f>
        <v>15915542</v>
      </c>
      <c r="O73" s="654" t="s">
        <v>1374</v>
      </c>
      <c r="P73" s="654"/>
      <c r="S73" s="491"/>
      <c r="T73" s="491"/>
      <c r="U73" s="494"/>
      <c r="V73" s="494"/>
      <c r="W73" s="494"/>
    </row>
    <row r="74" spans="1:37" s="608" customFormat="1" ht="17.25" customHeight="1">
      <c r="A74" s="491" t="s">
        <v>1359</v>
      </c>
      <c r="B74" s="476" t="s">
        <v>1366</v>
      </c>
      <c r="C74" s="654" t="s">
        <v>1367</v>
      </c>
      <c r="D74" s="660"/>
      <c r="E74" s="669"/>
      <c r="F74" s="669"/>
      <c r="G74" s="669"/>
      <c r="H74" s="521"/>
      <c r="I74" s="730">
        <v>41578</v>
      </c>
      <c r="J74" s="647">
        <v>97122</v>
      </c>
      <c r="K74" s="669">
        <f>+L74/J74</f>
        <v>6045</v>
      </c>
      <c r="L74" s="669">
        <v>587102490</v>
      </c>
      <c r="M74" s="669">
        <f>+ROUNDDOWN(G72/E72*J74,0)</f>
        <v>476524236</v>
      </c>
      <c r="N74" s="669">
        <f>+L74-M74</f>
        <v>110578254</v>
      </c>
      <c r="O74" s="491" t="s">
        <v>1375</v>
      </c>
      <c r="P74" s="476"/>
      <c r="S74" s="491"/>
      <c r="T74" s="491"/>
      <c r="U74" s="392"/>
      <c r="V74" s="392"/>
      <c r="W74" s="392"/>
    </row>
    <row r="75" spans="1:37" s="608" customFormat="1" ht="17.25" customHeight="1">
      <c r="A75" s="491" t="s">
        <v>1359</v>
      </c>
      <c r="B75" s="655" t="s">
        <v>1366</v>
      </c>
      <c r="C75" s="655" t="s">
        <v>1367</v>
      </c>
      <c r="D75" s="645"/>
      <c r="E75" s="644"/>
      <c r="F75" s="644"/>
      <c r="G75" s="644"/>
      <c r="H75" s="743"/>
      <c r="I75" s="623">
        <v>41578</v>
      </c>
      <c r="J75" s="614">
        <f>+E72-J74</f>
        <v>227258</v>
      </c>
      <c r="K75" s="644">
        <f>+L75/J75</f>
        <v>16612.372312525851</v>
      </c>
      <c r="L75" s="644">
        <v>3775294507</v>
      </c>
      <c r="M75" s="644">
        <f>+G72-M74</f>
        <v>1115030015</v>
      </c>
      <c r="N75" s="644">
        <f>+L75-M75</f>
        <v>2660264492</v>
      </c>
      <c r="O75" s="653" t="s">
        <v>1369</v>
      </c>
      <c r="P75" s="497">
        <f>SUM(G69:G75)-SUM(M69:M75)</f>
        <v>0</v>
      </c>
      <c r="S75" s="491"/>
      <c r="T75" s="491"/>
      <c r="U75" s="392"/>
      <c r="V75" s="392"/>
      <c r="W75" s="392"/>
      <c r="Z75" s="455"/>
      <c r="AA75" s="455"/>
      <c r="AB75" s="455"/>
      <c r="AC75" s="455"/>
      <c r="AD75" s="455"/>
      <c r="AE75" s="455"/>
    </row>
    <row r="76" spans="1:37" ht="17.25" customHeight="1">
      <c r="A76" s="653" t="s">
        <v>1359</v>
      </c>
      <c r="B76" s="653" t="s">
        <v>1366</v>
      </c>
      <c r="C76" s="653" t="s">
        <v>1376</v>
      </c>
      <c r="D76" s="645">
        <v>40667</v>
      </c>
      <c r="E76" s="644">
        <v>357142</v>
      </c>
      <c r="F76" s="644">
        <f>+G76/E76</f>
        <v>12081.166860800466</v>
      </c>
      <c r="G76" s="644">
        <f>4293192595+21499500</f>
        <v>4314692095</v>
      </c>
      <c r="H76" s="743" t="s">
        <v>1288</v>
      </c>
      <c r="I76" s="358">
        <v>41008</v>
      </c>
      <c r="J76" s="590"/>
      <c r="K76" s="590"/>
      <c r="L76" s="590">
        <v>17857100</v>
      </c>
      <c r="M76" s="590">
        <v>0</v>
      </c>
      <c r="N76" s="590">
        <f>+L76-M76</f>
        <v>17857100</v>
      </c>
      <c r="O76" s="475" t="s">
        <v>1374</v>
      </c>
      <c r="P76" s="292">
        <f>+G76-M76</f>
        <v>4314692095</v>
      </c>
      <c r="R76" s="455"/>
      <c r="S76" s="653"/>
      <c r="T76" s="653"/>
      <c r="U76" s="495" t="s">
        <v>1370</v>
      </c>
      <c r="V76" s="392" t="s">
        <v>1377</v>
      </c>
      <c r="W76" s="392" t="s">
        <v>1378</v>
      </c>
      <c r="Z76" s="653" t="s">
        <v>1376</v>
      </c>
      <c r="AA76" s="645">
        <v>40667</v>
      </c>
      <c r="AB76" s="644">
        <v>357142</v>
      </c>
      <c r="AC76" s="644">
        <f>+AD76/AB76</f>
        <v>-11960.769371846493</v>
      </c>
      <c r="AD76" s="644">
        <f>-4293192595+21499500</f>
        <v>-4271693095</v>
      </c>
      <c r="AE76" s="608"/>
      <c r="AF76" s="453" t="s">
        <v>1379</v>
      </c>
      <c r="AG76" s="640">
        <v>40535</v>
      </c>
      <c r="AH76" s="607"/>
      <c r="AI76" s="607"/>
      <c r="AJ76" s="607">
        <f>-3956879887-2637919925</f>
        <v>-6594799812</v>
      </c>
    </row>
    <row r="77" spans="1:37" ht="17.25" customHeight="1">
      <c r="A77" s="472" t="s">
        <v>1359</v>
      </c>
      <c r="B77" s="467" t="s">
        <v>1380</v>
      </c>
      <c r="C77" s="467"/>
      <c r="D77" s="446"/>
      <c r="E77" s="498"/>
      <c r="F77" s="498"/>
      <c r="G77" s="498">
        <f>SUM(G31:G76)</f>
        <v>15898857330</v>
      </c>
      <c r="H77" s="468"/>
      <c r="I77" s="447"/>
      <c r="J77" s="498"/>
      <c r="K77" s="498"/>
      <c r="L77" s="498">
        <f>SUM(L31:L76)</f>
        <v>17976014808</v>
      </c>
      <c r="M77" s="498">
        <f>SUM(M31:M76)</f>
        <v>10428254525</v>
      </c>
      <c r="N77" s="498">
        <f>SUM(N31:N76)</f>
        <v>7547760283</v>
      </c>
      <c r="O77" s="498">
        <f>SUM(O31:O76)</f>
        <v>0</v>
      </c>
      <c r="P77" s="498">
        <f>SUM(P31:P76)</f>
        <v>5470602805</v>
      </c>
      <c r="R77" s="455"/>
      <c r="S77" s="472"/>
      <c r="T77" s="472"/>
      <c r="U77" s="478"/>
      <c r="V77" s="478"/>
      <c r="W77" s="478"/>
      <c r="Z77" s="608"/>
      <c r="AA77" s="358">
        <v>41008</v>
      </c>
      <c r="AB77" s="590"/>
      <c r="AC77" s="590"/>
      <c r="AD77" s="590">
        <v>17857100</v>
      </c>
      <c r="AE77" s="608"/>
      <c r="AG77" s="619">
        <v>41264</v>
      </c>
      <c r="AH77" s="607"/>
      <c r="AI77" s="607"/>
      <c r="AJ77" s="607">
        <v>8401801581</v>
      </c>
      <c r="AK77" s="665">
        <f>+XIRR(AJ76:AJ77,AG76:AG77)</f>
        <v>0.12890536189079285</v>
      </c>
    </row>
    <row r="78" spans="1:37" ht="17.25" customHeight="1">
      <c r="A78" s="473" t="s">
        <v>1381</v>
      </c>
      <c r="B78" s="453" t="s">
        <v>1360</v>
      </c>
      <c r="C78" s="453" t="s">
        <v>1379</v>
      </c>
      <c r="D78" s="640">
        <v>40535</v>
      </c>
      <c r="E78" s="607"/>
      <c r="F78" s="607"/>
      <c r="G78" s="607">
        <f>3956879887+2637919925</f>
        <v>6594799812</v>
      </c>
      <c r="H78" s="463" t="s">
        <v>1382</v>
      </c>
      <c r="I78" s="619">
        <v>41264</v>
      </c>
      <c r="J78" s="607"/>
      <c r="K78" s="607"/>
      <c r="L78" s="607">
        <v>8401801581</v>
      </c>
      <c r="M78" s="607">
        <f>+G78</f>
        <v>6594799812</v>
      </c>
      <c r="N78" s="607">
        <f>+L78-M78</f>
        <v>1807001769</v>
      </c>
      <c r="O78" s="453" t="s">
        <v>1383</v>
      </c>
      <c r="P78" s="289">
        <f t="shared" ref="P78:P84" si="9">+G78-M78</f>
        <v>0</v>
      </c>
      <c r="R78" s="455"/>
      <c r="S78" s="473" t="s">
        <v>1384</v>
      </c>
      <c r="T78" s="473"/>
      <c r="U78" s="293" t="s">
        <v>1377</v>
      </c>
      <c r="V78" s="461" t="s">
        <v>1384</v>
      </c>
      <c r="W78" s="461" t="s">
        <v>1384</v>
      </c>
      <c r="Z78" s="608"/>
      <c r="AA78" s="624">
        <v>41634</v>
      </c>
      <c r="AB78" s="608"/>
      <c r="AC78" s="608"/>
      <c r="AD78" s="528">
        <f>+-AD76</f>
        <v>4271693095</v>
      </c>
      <c r="AE78" s="665">
        <f>+XIRR(AD76:AD78,AA76:AA78)</f>
        <v>1.5801101922988891E-3</v>
      </c>
    </row>
    <row r="79" spans="1:37" ht="17.25" customHeight="1">
      <c r="A79" s="450" t="s">
        <v>1381</v>
      </c>
      <c r="B79" s="453" t="s">
        <v>1360</v>
      </c>
      <c r="C79" s="453" t="s">
        <v>1379</v>
      </c>
      <c r="D79" s="640">
        <v>40535</v>
      </c>
      <c r="E79" s="607"/>
      <c r="F79" s="607"/>
      <c r="G79" s="607">
        <v>6562053638</v>
      </c>
      <c r="H79" s="463" t="s">
        <v>1385</v>
      </c>
      <c r="I79" s="619">
        <v>41264</v>
      </c>
      <c r="J79" s="607"/>
      <c r="K79" s="607"/>
      <c r="L79" s="607">
        <v>8354950542</v>
      </c>
      <c r="M79" s="607">
        <f>+G79</f>
        <v>6562053638</v>
      </c>
      <c r="N79" s="607">
        <f>+L79-M79</f>
        <v>1792896904</v>
      </c>
      <c r="O79" s="453" t="s">
        <v>1383</v>
      </c>
      <c r="P79" s="289">
        <f t="shared" si="9"/>
        <v>0</v>
      </c>
      <c r="R79" s="455"/>
      <c r="S79" s="474" t="s">
        <v>1386</v>
      </c>
      <c r="T79" s="474"/>
      <c r="U79" s="293" t="s">
        <v>1377</v>
      </c>
      <c r="V79" s="461" t="s">
        <v>1384</v>
      </c>
      <c r="W79" s="461" t="s">
        <v>1384</v>
      </c>
    </row>
    <row r="80" spans="1:37" ht="17.25" customHeight="1">
      <c r="A80" s="450" t="s">
        <v>1381</v>
      </c>
      <c r="B80" s="456" t="s">
        <v>1366</v>
      </c>
      <c r="C80" s="456" t="s">
        <v>1387</v>
      </c>
      <c r="D80" s="642">
        <v>40535</v>
      </c>
      <c r="E80" s="634">
        <v>31526</v>
      </c>
      <c r="F80" s="634">
        <f>+G80/E80</f>
        <v>241524.78202118885</v>
      </c>
      <c r="G80" s="634">
        <v>7614310278</v>
      </c>
      <c r="H80" s="469" t="s">
        <v>1388</v>
      </c>
      <c r="I80" s="536">
        <v>41492</v>
      </c>
      <c r="J80" s="634">
        <v>15763</v>
      </c>
      <c r="K80" s="634">
        <f>+L80/J80</f>
        <v>341876</v>
      </c>
      <c r="L80" s="634">
        <v>5388991388</v>
      </c>
      <c r="M80" s="634">
        <v>3807155139</v>
      </c>
      <c r="N80" s="634">
        <f>+L80-M80</f>
        <v>1581836249</v>
      </c>
      <c r="O80" s="456" t="s">
        <v>1389</v>
      </c>
      <c r="P80" s="480">
        <f>SUM(G80:G81)-SUM(M80:M81)</f>
        <v>0</v>
      </c>
      <c r="R80" s="455"/>
      <c r="S80" s="474"/>
      <c r="T80" s="474"/>
      <c r="U80" s="293" t="s">
        <v>1377</v>
      </c>
      <c r="V80" s="461" t="s">
        <v>1384</v>
      </c>
      <c r="W80" s="461" t="s">
        <v>1384</v>
      </c>
      <c r="Z80" s="453" t="s">
        <v>1387</v>
      </c>
      <c r="AA80" s="640">
        <v>40535</v>
      </c>
      <c r="AB80" s="607">
        <v>31526</v>
      </c>
      <c r="AC80" s="607">
        <f>+AD80/AB80</f>
        <v>-241524.78202118885</v>
      </c>
      <c r="AD80" s="607">
        <v>-7614310278</v>
      </c>
      <c r="AF80" s="453" t="s">
        <v>1379</v>
      </c>
      <c r="AG80" s="640">
        <v>40535</v>
      </c>
      <c r="AH80" s="607"/>
      <c r="AI80" s="607"/>
      <c r="AJ80" s="607">
        <v>-6562053638</v>
      </c>
    </row>
    <row r="81" spans="1:37" ht="17.25" customHeight="1">
      <c r="A81" s="450" t="s">
        <v>1381</v>
      </c>
      <c r="B81" s="449" t="s">
        <v>280</v>
      </c>
      <c r="C81" s="449"/>
      <c r="D81" s="651"/>
      <c r="E81" s="636"/>
      <c r="F81" s="636"/>
      <c r="G81" s="636"/>
      <c r="H81" s="470"/>
      <c r="I81" s="667">
        <v>41943</v>
      </c>
      <c r="J81" s="636">
        <v>15763</v>
      </c>
      <c r="K81" s="636">
        <v>2307500</v>
      </c>
      <c r="L81" s="636">
        <f>+J81*K81</f>
        <v>36373122500</v>
      </c>
      <c r="M81" s="636">
        <f>+G80-M80</f>
        <v>3807155139</v>
      </c>
      <c r="N81" s="636">
        <f>+L81-M81</f>
        <v>32565967361</v>
      </c>
      <c r="O81" s="449" t="s">
        <v>1484</v>
      </c>
      <c r="P81" s="486"/>
      <c r="R81" s="455"/>
      <c r="S81" s="474"/>
      <c r="T81" s="474"/>
      <c r="U81" s="693"/>
      <c r="V81" s="479"/>
      <c r="W81" s="479"/>
      <c r="AA81" s="640"/>
      <c r="AB81" s="607"/>
      <c r="AC81" s="607"/>
      <c r="AD81" s="607"/>
      <c r="AG81" s="640"/>
      <c r="AH81" s="607"/>
      <c r="AI81" s="607"/>
      <c r="AJ81" s="607"/>
    </row>
    <row r="82" spans="1:37" ht="17.25" customHeight="1">
      <c r="A82" s="450" t="s">
        <v>1381</v>
      </c>
      <c r="B82" s="512" t="s">
        <v>1366</v>
      </c>
      <c r="C82" s="512" t="s">
        <v>1390</v>
      </c>
      <c r="D82" s="668">
        <v>40535</v>
      </c>
      <c r="E82" s="662">
        <v>31526</v>
      </c>
      <c r="F82" s="662">
        <f>+G82/E82</f>
        <v>681752.6106388378</v>
      </c>
      <c r="G82" s="662">
        <v>21492932803</v>
      </c>
      <c r="H82" s="558" t="s">
        <v>1388</v>
      </c>
      <c r="I82" s="626">
        <v>40903</v>
      </c>
      <c r="J82" s="662">
        <v>31526</v>
      </c>
      <c r="K82" s="662">
        <v>757625</v>
      </c>
      <c r="L82" s="662">
        <v>18460184503</v>
      </c>
      <c r="M82" s="662">
        <v>21492932803</v>
      </c>
      <c r="N82" s="662">
        <f>L82+L83-M82</f>
        <v>2391952947</v>
      </c>
      <c r="O82" s="512" t="s">
        <v>1389</v>
      </c>
      <c r="P82" s="692">
        <f t="shared" si="9"/>
        <v>0</v>
      </c>
      <c r="R82" s="455"/>
      <c r="S82" s="475"/>
      <c r="T82" s="475"/>
      <c r="U82" s="693" t="s">
        <v>1377</v>
      </c>
      <c r="V82" s="479" t="s">
        <v>1384</v>
      </c>
      <c r="W82" s="479" t="s">
        <v>1384</v>
      </c>
      <c r="AA82" s="619">
        <v>41492</v>
      </c>
      <c r="AB82" s="607">
        <v>15763</v>
      </c>
      <c r="AC82" s="607">
        <f>+AD82/AB82</f>
        <v>341876</v>
      </c>
      <c r="AD82" s="607">
        <v>5388991388</v>
      </c>
      <c r="AG82" s="619">
        <v>41264</v>
      </c>
      <c r="AH82" s="607"/>
      <c r="AI82" s="607"/>
      <c r="AJ82" s="607">
        <v>8354950542</v>
      </c>
      <c r="AK82" s="665">
        <f>+XIRR(AJ80:AJ82,AG80:AG82)</f>
        <v>0.12855830788612363</v>
      </c>
    </row>
    <row r="83" spans="1:37" ht="17.25" customHeight="1">
      <c r="A83" s="450" t="s">
        <v>1381</v>
      </c>
      <c r="B83" s="449" t="s">
        <v>1366</v>
      </c>
      <c r="C83" s="449" t="s">
        <v>1390</v>
      </c>
      <c r="D83" s="651"/>
      <c r="E83" s="636"/>
      <c r="F83" s="636"/>
      <c r="G83" s="636"/>
      <c r="H83" s="470"/>
      <c r="I83" s="667">
        <v>40906</v>
      </c>
      <c r="J83" s="636"/>
      <c r="K83" s="636"/>
      <c r="L83" s="636">
        <v>5424701247</v>
      </c>
      <c r="M83" s="636"/>
      <c r="N83" s="636"/>
      <c r="O83" s="449"/>
      <c r="P83" s="486">
        <f t="shared" si="9"/>
        <v>0</v>
      </c>
      <c r="R83" s="455"/>
      <c r="S83" s="475"/>
      <c r="T83" s="475"/>
      <c r="U83" s="495"/>
      <c r="V83" s="520"/>
      <c r="W83" s="520"/>
      <c r="AA83" s="624">
        <v>41634</v>
      </c>
      <c r="AD83" s="625">
        <f>+P80</f>
        <v>0</v>
      </c>
      <c r="AE83" s="665">
        <f>+XIRR(AD80:AD83,AA80:AA83)</f>
        <v>-0.12351795397698878</v>
      </c>
    </row>
    <row r="84" spans="1:37" ht="17.25" customHeight="1">
      <c r="A84" s="450" t="s">
        <v>1381</v>
      </c>
      <c r="B84" s="475" t="s">
        <v>1360</v>
      </c>
      <c r="C84" s="475" t="s">
        <v>1387</v>
      </c>
      <c r="D84" s="645">
        <v>41502</v>
      </c>
      <c r="E84" s="590">
        <v>2384</v>
      </c>
      <c r="F84" s="590">
        <f>+G84/E84</f>
        <v>2307500</v>
      </c>
      <c r="G84" s="590">
        <v>5501080000</v>
      </c>
      <c r="H84" s="477" t="s">
        <v>1382</v>
      </c>
      <c r="I84" s="358">
        <v>41869</v>
      </c>
      <c r="J84" s="590"/>
      <c r="K84" s="590"/>
      <c r="L84" s="590">
        <v>165032400</v>
      </c>
      <c r="M84" s="590">
        <v>0</v>
      </c>
      <c r="N84" s="590">
        <f>+L84-M84</f>
        <v>165032400</v>
      </c>
      <c r="O84" s="475" t="s">
        <v>1482</v>
      </c>
      <c r="P84" s="692">
        <f t="shared" si="9"/>
        <v>5501080000</v>
      </c>
      <c r="R84" s="455"/>
      <c r="S84" s="475"/>
      <c r="T84" s="475"/>
      <c r="U84" s="495"/>
      <c r="V84" s="520"/>
      <c r="W84" s="520"/>
      <c r="Z84" s="475" t="s">
        <v>1387</v>
      </c>
      <c r="AA84" s="645">
        <v>41502</v>
      </c>
      <c r="AB84" s="590"/>
      <c r="AC84" s="590"/>
      <c r="AD84" s="590">
        <v>-5501080000</v>
      </c>
      <c r="AF84" s="512" t="s">
        <v>1390</v>
      </c>
      <c r="AG84" s="668">
        <v>40535</v>
      </c>
      <c r="AH84" s="662">
        <v>31526</v>
      </c>
      <c r="AI84" s="662">
        <f>+AJ84/AH84</f>
        <v>-681752.6106388378</v>
      </c>
      <c r="AJ84" s="662">
        <v>-21492932803</v>
      </c>
    </row>
    <row r="85" spans="1:37" ht="17.25" customHeight="1">
      <c r="A85" s="467" t="s">
        <v>1381</v>
      </c>
      <c r="B85" s="467" t="s">
        <v>1380</v>
      </c>
      <c r="C85" s="467"/>
      <c r="D85" s="467"/>
      <c r="E85" s="498"/>
      <c r="F85" s="498"/>
      <c r="G85" s="498">
        <f>SUM(G78:G84)</f>
        <v>47765176531</v>
      </c>
      <c r="H85" s="468"/>
      <c r="I85" s="478"/>
      <c r="J85" s="498"/>
      <c r="K85" s="498"/>
      <c r="L85" s="498">
        <f>SUM(L78:L84)</f>
        <v>82568784161</v>
      </c>
      <c r="M85" s="498">
        <f>SUM(M78:M82)</f>
        <v>42264096531</v>
      </c>
      <c r="N85" s="498">
        <f>SUM(N78:N82)</f>
        <v>40139655230</v>
      </c>
      <c r="O85" s="467"/>
      <c r="P85" s="487">
        <f>SUM(P78:P84)</f>
        <v>5501080000</v>
      </c>
      <c r="R85" s="455"/>
      <c r="S85" s="467"/>
      <c r="T85" s="467"/>
      <c r="U85" s="478"/>
      <c r="V85" s="478"/>
      <c r="W85" s="478"/>
      <c r="AA85" s="624">
        <v>41603</v>
      </c>
      <c r="AD85" s="625">
        <f>+-AD84</f>
        <v>5501080000</v>
      </c>
      <c r="AE85" s="665">
        <f>+XIRR(AD84:AD85,AA84:AA85)</f>
        <v>2.9802322387695314E-9</v>
      </c>
      <c r="AG85" s="626">
        <v>40903</v>
      </c>
      <c r="AH85" s="662">
        <v>31526</v>
      </c>
      <c r="AI85" s="662">
        <v>757625</v>
      </c>
      <c r="AJ85" s="662">
        <v>18460184503</v>
      </c>
    </row>
    <row r="86" spans="1:37" ht="17.25" customHeight="1">
      <c r="A86" s="502" t="s">
        <v>1391</v>
      </c>
      <c r="B86" s="473" t="s">
        <v>1366</v>
      </c>
      <c r="C86" s="473" t="s">
        <v>1392</v>
      </c>
      <c r="D86" s="507">
        <v>40904</v>
      </c>
      <c r="E86" s="591">
        <v>4380000</v>
      </c>
      <c r="F86" s="591">
        <v>10000</v>
      </c>
      <c r="G86" s="591">
        <v>43800000000</v>
      </c>
      <c r="H86" s="565" t="s">
        <v>1393</v>
      </c>
      <c r="I86" s="431">
        <v>41093</v>
      </c>
      <c r="J86" s="591"/>
      <c r="K86" s="591"/>
      <c r="L86" s="591">
        <v>753360000</v>
      </c>
      <c r="M86" s="591">
        <v>0</v>
      </c>
      <c r="N86" s="591">
        <f t="shared" ref="N86:N93" si="10">+L86-M86</f>
        <v>753360000</v>
      </c>
      <c r="O86" s="473" t="s">
        <v>1374</v>
      </c>
      <c r="P86" s="432">
        <f>+SUM(G86:G87)-SUM(M86:M89)</f>
        <v>43802370000</v>
      </c>
      <c r="R86" s="455"/>
      <c r="S86" s="473" t="s">
        <v>1370</v>
      </c>
      <c r="T86" s="473"/>
      <c r="U86" s="293" t="s">
        <v>1370</v>
      </c>
      <c r="V86" s="461" t="s">
        <v>1377</v>
      </c>
      <c r="W86" s="461" t="s">
        <v>1394</v>
      </c>
      <c r="AG86" s="667">
        <v>40906</v>
      </c>
      <c r="AH86" s="636"/>
      <c r="AI86" s="636"/>
      <c r="AJ86" s="636">
        <v>5424701247</v>
      </c>
      <c r="AK86" s="665">
        <f>+XIRR(AJ84:AJ86,AG84:AG86)</f>
        <v>0.11011998057365419</v>
      </c>
    </row>
    <row r="87" spans="1:37" ht="17.25" customHeight="1">
      <c r="A87" s="654" t="s">
        <v>1391</v>
      </c>
      <c r="B87" s="450" t="s">
        <v>1366</v>
      </c>
      <c r="C87" s="450" t="s">
        <v>1392</v>
      </c>
      <c r="D87" s="652">
        <v>40960</v>
      </c>
      <c r="E87" s="635">
        <v>7500</v>
      </c>
      <c r="F87" s="635">
        <v>10000</v>
      </c>
      <c r="G87" s="635">
        <f>+E87*F87</f>
        <v>75000000</v>
      </c>
      <c r="H87" s="471" t="s">
        <v>1393</v>
      </c>
      <c r="I87" s="620">
        <v>41297</v>
      </c>
      <c r="J87" s="635"/>
      <c r="K87" s="635"/>
      <c r="L87" s="635">
        <v>753360000</v>
      </c>
      <c r="M87" s="635">
        <v>0</v>
      </c>
      <c r="N87" s="635">
        <f t="shared" si="10"/>
        <v>753360000</v>
      </c>
      <c r="O87" s="450" t="s">
        <v>1374</v>
      </c>
      <c r="P87" s="481"/>
      <c r="R87" s="455"/>
      <c r="S87" s="475" t="s">
        <v>1395</v>
      </c>
      <c r="T87" s="475"/>
      <c r="U87" s="461"/>
      <c r="V87" s="461"/>
      <c r="W87" s="461" t="s">
        <v>1372</v>
      </c>
      <c r="Z87" s="473" t="s">
        <v>1392</v>
      </c>
      <c r="AA87" s="507">
        <v>40904</v>
      </c>
      <c r="AB87" s="591">
        <v>4380000</v>
      </c>
      <c r="AC87" s="591">
        <v>10000</v>
      </c>
      <c r="AD87" s="591">
        <v>-43800000000</v>
      </c>
    </row>
    <row r="88" spans="1:37" ht="17.25" customHeight="1">
      <c r="A88" s="654" t="s">
        <v>1391</v>
      </c>
      <c r="B88" s="450" t="s">
        <v>1366</v>
      </c>
      <c r="C88" s="450" t="s">
        <v>1392</v>
      </c>
      <c r="D88" s="652"/>
      <c r="E88" s="635"/>
      <c r="F88" s="635"/>
      <c r="G88" s="635"/>
      <c r="H88" s="471"/>
      <c r="I88" s="620">
        <v>41401</v>
      </c>
      <c r="J88" s="635"/>
      <c r="K88" s="635"/>
      <c r="L88" s="635">
        <v>172658348</v>
      </c>
      <c r="M88" s="635"/>
      <c r="N88" s="635">
        <f t="shared" si="10"/>
        <v>172658348</v>
      </c>
      <c r="O88" s="450" t="s">
        <v>1374</v>
      </c>
      <c r="P88" s="481"/>
      <c r="R88" s="455"/>
      <c r="S88" s="475" t="s">
        <v>1395</v>
      </c>
      <c r="T88" s="475"/>
      <c r="U88" s="461"/>
      <c r="V88" s="461"/>
      <c r="W88" s="461"/>
      <c r="Z88" s="450" t="s">
        <v>1392</v>
      </c>
      <c r="AA88" s="652">
        <v>40960</v>
      </c>
      <c r="AB88" s="635">
        <v>7500</v>
      </c>
      <c r="AC88" s="635">
        <v>10000</v>
      </c>
      <c r="AD88" s="635">
        <f>-+AB88*AC88</f>
        <v>-75000000</v>
      </c>
    </row>
    <row r="89" spans="1:37" ht="17.25" customHeight="1">
      <c r="A89" s="654" t="s">
        <v>1391</v>
      </c>
      <c r="B89" s="450" t="s">
        <v>1366</v>
      </c>
      <c r="C89" s="450" t="s">
        <v>1392</v>
      </c>
      <c r="D89" s="652"/>
      <c r="E89" s="635"/>
      <c r="F89" s="635"/>
      <c r="G89" s="635"/>
      <c r="H89" s="471"/>
      <c r="I89" s="620">
        <v>41415</v>
      </c>
      <c r="J89" s="635"/>
      <c r="K89" s="635"/>
      <c r="L89" s="635">
        <v>72630000</v>
      </c>
      <c r="M89" s="635">
        <v>72630000</v>
      </c>
      <c r="N89" s="635">
        <f t="shared" si="10"/>
        <v>0</v>
      </c>
      <c r="O89" s="450" t="s">
        <v>1396</v>
      </c>
      <c r="P89" s="481"/>
      <c r="R89" s="455"/>
      <c r="S89" s="475" t="s">
        <v>1395</v>
      </c>
      <c r="T89" s="475"/>
      <c r="U89" s="461"/>
      <c r="V89" s="461"/>
      <c r="W89" s="461"/>
      <c r="AA89" s="431">
        <v>41093</v>
      </c>
      <c r="AB89" s="591"/>
      <c r="AC89" s="591"/>
      <c r="AD89" s="591">
        <v>753360000</v>
      </c>
    </row>
    <row r="90" spans="1:37" ht="17.25" customHeight="1">
      <c r="A90" s="491" t="s">
        <v>1391</v>
      </c>
      <c r="B90" s="450" t="s">
        <v>1366</v>
      </c>
      <c r="C90" s="450" t="s">
        <v>1392</v>
      </c>
      <c r="D90" s="652"/>
      <c r="E90" s="635"/>
      <c r="F90" s="635"/>
      <c r="G90" s="635"/>
      <c r="H90" s="471"/>
      <c r="I90" s="620">
        <v>41459</v>
      </c>
      <c r="J90" s="635"/>
      <c r="K90" s="635"/>
      <c r="L90" s="635">
        <v>753365000</v>
      </c>
      <c r="M90" s="635">
        <v>0</v>
      </c>
      <c r="N90" s="635">
        <f t="shared" si="10"/>
        <v>753365000</v>
      </c>
      <c r="O90" s="450" t="s">
        <v>1374</v>
      </c>
      <c r="P90" s="481"/>
      <c r="R90" s="455"/>
      <c r="S90" s="475" t="s">
        <v>1395</v>
      </c>
      <c r="T90" s="475"/>
      <c r="U90" s="461"/>
      <c r="V90" s="461"/>
      <c r="W90" s="461"/>
      <c r="AA90" s="620">
        <v>41297</v>
      </c>
      <c r="AB90" s="635"/>
      <c r="AC90" s="635"/>
      <c r="AD90" s="635">
        <v>753360000</v>
      </c>
    </row>
    <row r="91" spans="1:37" ht="17.25" customHeight="1">
      <c r="A91" s="491" t="s">
        <v>1391</v>
      </c>
      <c r="B91" s="450" t="s">
        <v>280</v>
      </c>
      <c r="C91" s="450" t="s">
        <v>1392</v>
      </c>
      <c r="D91" s="652"/>
      <c r="E91" s="635"/>
      <c r="F91" s="635"/>
      <c r="G91" s="635"/>
      <c r="H91" s="471"/>
      <c r="I91" s="620">
        <v>41660</v>
      </c>
      <c r="J91" s="635"/>
      <c r="K91" s="635"/>
      <c r="L91" s="635">
        <v>736395623</v>
      </c>
      <c r="M91" s="635">
        <v>0</v>
      </c>
      <c r="N91" s="635">
        <f t="shared" si="10"/>
        <v>736395623</v>
      </c>
      <c r="O91" s="450" t="s">
        <v>1439</v>
      </c>
      <c r="P91" s="481"/>
      <c r="R91" s="455"/>
      <c r="S91" s="475"/>
      <c r="T91" s="475"/>
      <c r="U91" s="461"/>
      <c r="V91" s="461"/>
      <c r="W91" s="461"/>
      <c r="AA91" s="620"/>
      <c r="AB91" s="635"/>
      <c r="AC91" s="635"/>
      <c r="AD91" s="635"/>
    </row>
    <row r="92" spans="1:37" ht="17.25" customHeight="1">
      <c r="A92" s="491" t="s">
        <v>1391</v>
      </c>
      <c r="B92" s="450" t="s">
        <v>280</v>
      </c>
      <c r="C92" s="450" t="s">
        <v>1392</v>
      </c>
      <c r="D92" s="652"/>
      <c r="E92" s="635"/>
      <c r="F92" s="635"/>
      <c r="G92" s="635"/>
      <c r="H92" s="471"/>
      <c r="I92" s="620">
        <v>41781</v>
      </c>
      <c r="J92" s="635"/>
      <c r="K92" s="635"/>
      <c r="L92" s="635">
        <v>243049210</v>
      </c>
      <c r="M92" s="635">
        <v>0</v>
      </c>
      <c r="N92" s="635">
        <f t="shared" si="10"/>
        <v>243049210</v>
      </c>
      <c r="O92" s="450" t="s">
        <v>1455</v>
      </c>
      <c r="P92" s="481"/>
      <c r="R92" s="455"/>
      <c r="S92" s="475"/>
      <c r="T92" s="475"/>
      <c r="U92" s="461"/>
      <c r="V92" s="461"/>
      <c r="W92" s="461"/>
      <c r="AA92" s="620"/>
      <c r="AB92" s="635"/>
      <c r="AC92" s="635"/>
      <c r="AD92" s="635"/>
    </row>
    <row r="93" spans="1:37" ht="17.25" customHeight="1">
      <c r="A93" s="491" t="s">
        <v>1391</v>
      </c>
      <c r="B93" s="449" t="s">
        <v>280</v>
      </c>
      <c r="C93" s="449" t="s">
        <v>1392</v>
      </c>
      <c r="D93" s="651"/>
      <c r="E93" s="636"/>
      <c r="F93" s="636"/>
      <c r="G93" s="636"/>
      <c r="H93" s="470"/>
      <c r="I93" s="667">
        <v>41823</v>
      </c>
      <c r="J93" s="636"/>
      <c r="K93" s="636"/>
      <c r="L93" s="636">
        <v>366360000</v>
      </c>
      <c r="M93" s="636"/>
      <c r="N93" s="635">
        <f t="shared" si="10"/>
        <v>366360000</v>
      </c>
      <c r="O93" s="449" t="s">
        <v>1467</v>
      </c>
      <c r="P93" s="486"/>
      <c r="R93" s="455"/>
      <c r="S93" s="475"/>
      <c r="T93" s="475"/>
      <c r="U93" s="461"/>
      <c r="V93" s="461"/>
      <c r="W93" s="461"/>
      <c r="AA93" s="620"/>
      <c r="AB93" s="635"/>
      <c r="AC93" s="635"/>
      <c r="AD93" s="635"/>
    </row>
    <row r="94" spans="1:37" ht="17.25" customHeight="1">
      <c r="A94" s="318" t="s">
        <v>1391</v>
      </c>
      <c r="B94" s="467" t="s">
        <v>1380</v>
      </c>
      <c r="C94" s="467"/>
      <c r="D94" s="467"/>
      <c r="E94" s="498"/>
      <c r="F94" s="498"/>
      <c r="G94" s="498">
        <f>SUM(G86:G93)</f>
        <v>43875000000</v>
      </c>
      <c r="H94" s="468"/>
      <c r="I94" s="478"/>
      <c r="J94" s="498"/>
      <c r="K94" s="498"/>
      <c r="L94" s="498">
        <f>SUM(L86:L93)</f>
        <v>3851178181</v>
      </c>
      <c r="M94" s="498">
        <f>SUM(M86:M93)</f>
        <v>72630000</v>
      </c>
      <c r="N94" s="498">
        <f>SUM(N86:N93)</f>
        <v>3778548181</v>
      </c>
      <c r="O94" s="498"/>
      <c r="P94" s="498">
        <f>SUM(P86:P90)</f>
        <v>43802370000</v>
      </c>
      <c r="R94" s="455"/>
      <c r="S94" s="467"/>
      <c r="T94" s="467"/>
      <c r="U94" s="478"/>
      <c r="V94" s="478"/>
      <c r="W94" s="478"/>
      <c r="AA94" s="620">
        <v>41401</v>
      </c>
      <c r="AB94" s="635"/>
      <c r="AC94" s="635"/>
      <c r="AD94" s="635">
        <v>172658348</v>
      </c>
    </row>
    <row r="95" spans="1:37" s="608" customFormat="1" ht="17.25" customHeight="1">
      <c r="A95" s="609" t="s">
        <v>1397</v>
      </c>
      <c r="B95" s="609" t="s">
        <v>1366</v>
      </c>
      <c r="C95" s="609" t="s">
        <v>1398</v>
      </c>
      <c r="D95" s="640">
        <v>41054</v>
      </c>
      <c r="E95" s="641">
        <f>+G95/F95</f>
        <v>703000000</v>
      </c>
      <c r="F95" s="641">
        <v>100</v>
      </c>
      <c r="G95" s="641">
        <v>70300000000</v>
      </c>
      <c r="H95" s="464" t="s">
        <v>1399</v>
      </c>
      <c r="I95" s="462"/>
      <c r="J95" s="641"/>
      <c r="K95" s="641"/>
      <c r="L95" s="641"/>
      <c r="M95" s="641"/>
      <c r="N95" s="641"/>
      <c r="O95" s="609"/>
      <c r="P95" s="465">
        <f>+G95-M95</f>
        <v>70300000000</v>
      </c>
      <c r="R95" s="649"/>
      <c r="S95" s="609"/>
      <c r="T95" s="609"/>
      <c r="U95" s="462"/>
      <c r="V95" s="462"/>
      <c r="W95" s="462"/>
      <c r="AA95" s="620">
        <v>41415</v>
      </c>
      <c r="AB95" s="635"/>
      <c r="AC95" s="635"/>
      <c r="AD95" s="635">
        <v>72630000</v>
      </c>
    </row>
    <row r="96" spans="1:37" s="608" customFormat="1" ht="17.25" customHeight="1">
      <c r="A96" s="467" t="s">
        <v>1397</v>
      </c>
      <c r="B96" s="467" t="s">
        <v>1380</v>
      </c>
      <c r="C96" s="467"/>
      <c r="D96" s="467"/>
      <c r="E96" s="498"/>
      <c r="F96" s="498"/>
      <c r="G96" s="498">
        <f>SUM(G95)</f>
        <v>70300000000</v>
      </c>
      <c r="H96" s="468"/>
      <c r="I96" s="478"/>
      <c r="J96" s="498"/>
      <c r="K96" s="498"/>
      <c r="L96" s="498">
        <f>SUM(L95)</f>
        <v>0</v>
      </c>
      <c r="M96" s="498">
        <f>SUM(M95)</f>
        <v>0</v>
      </c>
      <c r="N96" s="498">
        <f>SUM(N95)</f>
        <v>0</v>
      </c>
      <c r="O96" s="467"/>
      <c r="P96" s="487">
        <f>SUM(P95)</f>
        <v>70300000000</v>
      </c>
      <c r="R96" s="649"/>
      <c r="S96" s="467"/>
      <c r="T96" s="467"/>
      <c r="U96" s="478"/>
      <c r="V96" s="478"/>
      <c r="W96" s="478"/>
      <c r="AA96" s="358">
        <v>41459</v>
      </c>
      <c r="AB96" s="590"/>
      <c r="AC96" s="590"/>
      <c r="AD96" s="590">
        <v>753365000</v>
      </c>
    </row>
    <row r="97" spans="1:31" s="608" customFormat="1" ht="17.25" customHeight="1">
      <c r="A97" s="502" t="s">
        <v>1400</v>
      </c>
      <c r="B97" s="656" t="s">
        <v>1366</v>
      </c>
      <c r="C97" s="656" t="s">
        <v>1401</v>
      </c>
      <c r="D97" s="642">
        <v>41472</v>
      </c>
      <c r="E97" s="610">
        <v>1500000</v>
      </c>
      <c r="F97" s="610">
        <v>100000</v>
      </c>
      <c r="G97" s="610">
        <v>150000000000</v>
      </c>
      <c r="H97" s="469" t="s">
        <v>1393</v>
      </c>
      <c r="I97" s="628">
        <v>41766</v>
      </c>
      <c r="J97" s="610">
        <v>0</v>
      </c>
      <c r="K97" s="610">
        <v>0</v>
      </c>
      <c r="L97" s="610">
        <v>6000000000</v>
      </c>
      <c r="M97" s="612">
        <v>0</v>
      </c>
      <c r="N97" s="532">
        <f>+L97-M97</f>
        <v>6000000000</v>
      </c>
      <c r="O97" s="610" t="s">
        <v>1455</v>
      </c>
      <c r="P97" s="610">
        <f>G97:G99-M97:M99</f>
        <v>150000000000</v>
      </c>
      <c r="Q97" s="641"/>
      <c r="R97" s="641"/>
      <c r="S97" s="641"/>
      <c r="T97" s="609"/>
      <c r="U97" s="465">
        <f>+L97-R97</f>
        <v>6000000000</v>
      </c>
      <c r="W97" s="649"/>
      <c r="AA97" s="681">
        <v>41634</v>
      </c>
      <c r="AD97" s="528">
        <f>+P86</f>
        <v>43802370000</v>
      </c>
      <c r="AE97" s="665">
        <f>+XIRR(AD87:AD97,AA87:AA97)</f>
        <v>2.8078940510749818E-2</v>
      </c>
    </row>
    <row r="98" spans="1:31" s="608" customFormat="1" ht="17.25" customHeight="1">
      <c r="A98" s="491" t="s">
        <v>1400</v>
      </c>
      <c r="B98" s="654" t="s">
        <v>280</v>
      </c>
      <c r="C98" s="654" t="s">
        <v>1401</v>
      </c>
      <c r="D98" s="652">
        <v>41662</v>
      </c>
      <c r="E98" s="657"/>
      <c r="F98" s="657"/>
      <c r="G98" s="657">
        <v>100000000</v>
      </c>
      <c r="H98" s="471"/>
      <c r="I98" s="630">
        <v>41946</v>
      </c>
      <c r="J98" s="657">
        <v>0</v>
      </c>
      <c r="K98" s="657">
        <v>0</v>
      </c>
      <c r="L98" s="657">
        <v>6000000000</v>
      </c>
      <c r="M98" s="650">
        <v>0</v>
      </c>
      <c r="N98" s="533">
        <f>+L98-M98</f>
        <v>6000000000</v>
      </c>
      <c r="O98" s="657" t="s">
        <v>1485</v>
      </c>
      <c r="P98" s="657"/>
      <c r="Q98" s="641"/>
      <c r="R98" s="641"/>
      <c r="S98" s="641"/>
      <c r="T98" s="609"/>
      <c r="U98" s="465"/>
      <c r="W98" s="649"/>
      <c r="AA98" s="681"/>
      <c r="AD98" s="528"/>
      <c r="AE98" s="665"/>
    </row>
    <row r="99" spans="1:31" s="608" customFormat="1" ht="17.25" customHeight="1">
      <c r="A99" s="653" t="s">
        <v>1400</v>
      </c>
      <c r="B99" s="655" t="s">
        <v>280</v>
      </c>
      <c r="C99" s="655" t="s">
        <v>1401</v>
      </c>
      <c r="D99" s="651">
        <v>41753</v>
      </c>
      <c r="E99" s="614"/>
      <c r="F99" s="614"/>
      <c r="G99" s="614">
        <v>2100000000</v>
      </c>
      <c r="H99" s="470"/>
      <c r="I99" s="632"/>
      <c r="J99" s="614"/>
      <c r="K99" s="614"/>
      <c r="L99" s="614"/>
      <c r="M99" s="613"/>
      <c r="N99" s="705"/>
      <c r="O99" s="614"/>
      <c r="P99" s="614"/>
      <c r="Q99" s="641"/>
      <c r="R99" s="641"/>
      <c r="S99" s="641"/>
      <c r="T99" s="609"/>
      <c r="U99" s="465"/>
      <c r="W99" s="649"/>
      <c r="AA99" s="681"/>
      <c r="AD99" s="528"/>
      <c r="AE99" s="665"/>
    </row>
    <row r="100" spans="1:31" s="608" customFormat="1" ht="17.25" customHeight="1">
      <c r="A100" s="467" t="s">
        <v>1400</v>
      </c>
      <c r="B100" s="467"/>
      <c r="C100" s="467"/>
      <c r="D100" s="467" t="s">
        <v>1380</v>
      </c>
      <c r="E100" s="467"/>
      <c r="F100" s="478"/>
      <c r="G100" s="433">
        <f>SUM(G97:G99)</f>
        <v>152200000000</v>
      </c>
      <c r="H100" s="478"/>
      <c r="I100" s="478"/>
      <c r="J100" s="498"/>
      <c r="K100" s="498"/>
      <c r="L100" s="498">
        <f>SUM(L97:L99)</f>
        <v>12000000000</v>
      </c>
      <c r="M100" s="498">
        <f t="shared" ref="M100:P100" si="11">SUM(M97:M99)</f>
        <v>0</v>
      </c>
      <c r="N100" s="498">
        <f t="shared" si="11"/>
        <v>12000000000</v>
      </c>
      <c r="O100" s="498"/>
      <c r="P100" s="498">
        <f t="shared" si="11"/>
        <v>150000000000</v>
      </c>
      <c r="Q100" s="498"/>
      <c r="R100" s="498"/>
      <c r="S100" s="498"/>
      <c r="T100" s="467"/>
      <c r="U100" s="487">
        <f>SUM(U97)</f>
        <v>6000000000</v>
      </c>
      <c r="W100" s="649"/>
    </row>
    <row r="101" spans="1:31" s="608" customFormat="1" ht="17.25" customHeight="1">
      <c r="A101" s="609" t="s">
        <v>1460</v>
      </c>
      <c r="B101" s="609" t="s">
        <v>280</v>
      </c>
      <c r="C101" s="609" t="s">
        <v>1461</v>
      </c>
      <c r="D101" s="640">
        <v>41710</v>
      </c>
      <c r="E101" s="641">
        <v>400000</v>
      </c>
      <c r="F101" s="641">
        <v>100000</v>
      </c>
      <c r="G101" s="641">
        <f>+E101*F101</f>
        <v>40000000000</v>
      </c>
      <c r="H101" s="471" t="s">
        <v>1487</v>
      </c>
      <c r="I101" s="395">
        <v>41948</v>
      </c>
      <c r="J101" s="641">
        <v>0</v>
      </c>
      <c r="K101" s="641">
        <v>0</v>
      </c>
      <c r="L101" s="641">
        <v>2700000000</v>
      </c>
      <c r="M101" s="464">
        <v>0</v>
      </c>
      <c r="N101" s="700">
        <f>+L101-M101</f>
        <v>2700000000</v>
      </c>
      <c r="O101" s="641" t="s">
        <v>1455</v>
      </c>
      <c r="P101" s="641">
        <f>G101-M101</f>
        <v>40000000000</v>
      </c>
      <c r="Q101" s="641"/>
      <c r="R101" s="641"/>
      <c r="S101" s="641"/>
      <c r="T101" s="609"/>
      <c r="U101" s="465">
        <f>+L101-R101</f>
        <v>2700000000</v>
      </c>
      <c r="W101" s="649"/>
      <c r="AA101" s="681">
        <v>41634</v>
      </c>
      <c r="AD101" s="528">
        <f>+P88</f>
        <v>0</v>
      </c>
      <c r="AE101" s="665" t="e">
        <f>+XIRR(AD89:AD101,AA89:AA101)</f>
        <v>#NUM!</v>
      </c>
    </row>
    <row r="102" spans="1:31" s="608" customFormat="1" ht="17.25" customHeight="1">
      <c r="A102" s="467" t="str">
        <f>+A101</f>
        <v>IMM인프라제2호</v>
      </c>
      <c r="B102" s="467"/>
      <c r="C102" s="467"/>
      <c r="D102" s="467" t="s">
        <v>577</v>
      </c>
      <c r="E102" s="467"/>
      <c r="F102" s="478"/>
      <c r="G102" s="433">
        <f>G101</f>
        <v>40000000000</v>
      </c>
      <c r="H102" s="478"/>
      <c r="I102" s="478"/>
      <c r="J102" s="498"/>
      <c r="K102" s="498"/>
      <c r="L102" s="498">
        <f>SUM(L101)</f>
        <v>2700000000</v>
      </c>
      <c r="M102" s="498">
        <f>SUM(M101)</f>
        <v>0</v>
      </c>
      <c r="N102" s="498">
        <f>SUM(N101)</f>
        <v>2700000000</v>
      </c>
      <c r="O102" s="498"/>
      <c r="P102" s="498">
        <f>SUM(P101)</f>
        <v>40000000000</v>
      </c>
      <c r="Q102" s="498"/>
      <c r="R102" s="498"/>
      <c r="S102" s="498"/>
      <c r="T102" s="467"/>
      <c r="U102" s="487">
        <f>SUM(U101)</f>
        <v>2700000000</v>
      </c>
      <c r="W102" s="649"/>
    </row>
    <row r="103" spans="1:31" s="608" customFormat="1" ht="17.25" customHeight="1">
      <c r="A103" s="609" t="s">
        <v>1462</v>
      </c>
      <c r="B103" s="609" t="s">
        <v>280</v>
      </c>
      <c r="C103" s="609" t="s">
        <v>1461</v>
      </c>
      <c r="D103" s="640">
        <v>41710</v>
      </c>
      <c r="E103" s="641">
        <v>400000</v>
      </c>
      <c r="F103" s="641">
        <v>100000</v>
      </c>
      <c r="G103" s="641">
        <f>+E103*F103</f>
        <v>40000000000</v>
      </c>
      <c r="H103" s="471" t="s">
        <v>1487</v>
      </c>
      <c r="I103" s="395">
        <v>41948</v>
      </c>
      <c r="J103" s="641"/>
      <c r="K103" s="641"/>
      <c r="L103" s="641">
        <v>2700000000</v>
      </c>
      <c r="M103" s="464">
        <v>0</v>
      </c>
      <c r="N103" s="700">
        <f>+L103-M103</f>
        <v>2700000000</v>
      </c>
      <c r="O103" s="641" t="s">
        <v>1455</v>
      </c>
      <c r="P103" s="641">
        <f>G103-M103</f>
        <v>40000000000</v>
      </c>
      <c r="Q103" s="641"/>
      <c r="R103" s="641"/>
      <c r="S103" s="641"/>
      <c r="T103" s="609"/>
      <c r="U103" s="465">
        <f>+L103-R103</f>
        <v>2700000000</v>
      </c>
      <c r="W103" s="649"/>
      <c r="AA103" s="681">
        <v>41634</v>
      </c>
      <c r="AD103" s="528">
        <f>+P90</f>
        <v>0</v>
      </c>
      <c r="AE103" s="665" t="e">
        <f>+XIRR(AD91:AD103,AA91:AA103)</f>
        <v>#NUM!</v>
      </c>
    </row>
    <row r="104" spans="1:31" s="608" customFormat="1" ht="17.25" customHeight="1">
      <c r="A104" s="467" t="str">
        <f>+A103</f>
        <v>IMM인프라제3호</v>
      </c>
      <c r="B104" s="467"/>
      <c r="C104" s="467"/>
      <c r="D104" s="467" t="s">
        <v>577</v>
      </c>
      <c r="E104" s="467"/>
      <c r="F104" s="478"/>
      <c r="G104" s="433">
        <f>G103</f>
        <v>40000000000</v>
      </c>
      <c r="H104" s="478"/>
      <c r="I104" s="478"/>
      <c r="J104" s="498"/>
      <c r="K104" s="498"/>
      <c r="L104" s="498">
        <f>SUM(L103)</f>
        <v>2700000000</v>
      </c>
      <c r="M104" s="498">
        <f>SUM(M103)</f>
        <v>0</v>
      </c>
      <c r="N104" s="498">
        <f>SUM(N103)</f>
        <v>2700000000</v>
      </c>
      <c r="O104" s="498"/>
      <c r="P104" s="498">
        <f>SUM(P103)</f>
        <v>40000000000</v>
      </c>
      <c r="Q104" s="498"/>
      <c r="R104" s="498"/>
      <c r="S104" s="498"/>
      <c r="T104" s="467"/>
      <c r="U104" s="487">
        <f>SUM(U103)</f>
        <v>2700000000</v>
      </c>
      <c r="W104" s="649"/>
    </row>
    <row r="105" spans="1:31" s="608" customFormat="1" ht="17.25" customHeight="1">
      <c r="A105" s="609" t="s">
        <v>1472</v>
      </c>
      <c r="B105" s="609" t="s">
        <v>280</v>
      </c>
      <c r="C105" s="609" t="s">
        <v>1473</v>
      </c>
      <c r="D105" s="640">
        <v>41817</v>
      </c>
      <c r="E105" s="641">
        <v>0</v>
      </c>
      <c r="F105" s="641">
        <v>0</v>
      </c>
      <c r="G105" s="641">
        <v>125000000000</v>
      </c>
      <c r="H105" s="471"/>
      <c r="I105" s="395"/>
      <c r="J105" s="641"/>
      <c r="K105" s="641"/>
      <c r="L105" s="641"/>
      <c r="M105" s="464"/>
      <c r="N105" s="700">
        <f>+L105-M105</f>
        <v>0</v>
      </c>
      <c r="O105" s="641" t="s">
        <v>1003</v>
      </c>
      <c r="P105" s="641">
        <f>G105-M105</f>
        <v>125000000000</v>
      </c>
      <c r="Q105" s="641"/>
      <c r="R105" s="641"/>
      <c r="S105" s="641"/>
      <c r="T105" s="609"/>
      <c r="U105" s="465">
        <f>+L105-R105</f>
        <v>0</v>
      </c>
      <c r="W105" s="649"/>
      <c r="AA105" s="681">
        <v>41634</v>
      </c>
      <c r="AD105" s="528">
        <f>+P92</f>
        <v>0</v>
      </c>
      <c r="AE105" s="665" t="e">
        <f>+XIRR(AD93:AD105,AA93:AA105)</f>
        <v>#NUM!</v>
      </c>
    </row>
    <row r="106" spans="1:31" s="608" customFormat="1" ht="17.25" customHeight="1">
      <c r="A106" s="467" t="str">
        <f>+A105</f>
        <v>IMM인프라제4호</v>
      </c>
      <c r="B106" s="467"/>
      <c r="C106" s="467"/>
      <c r="D106" s="467" t="s">
        <v>577</v>
      </c>
      <c r="E106" s="467"/>
      <c r="F106" s="478"/>
      <c r="G106" s="433">
        <f>G105</f>
        <v>125000000000</v>
      </c>
      <c r="H106" s="478"/>
      <c r="I106" s="478"/>
      <c r="J106" s="498"/>
      <c r="K106" s="498"/>
      <c r="L106" s="498">
        <f>SUM(L105)</f>
        <v>0</v>
      </c>
      <c r="M106" s="498">
        <f>SUM(M105)</f>
        <v>0</v>
      </c>
      <c r="N106" s="498">
        <f>SUM(N105)</f>
        <v>0</v>
      </c>
      <c r="O106" s="498"/>
      <c r="P106" s="498">
        <f>SUM(P105)</f>
        <v>125000000000</v>
      </c>
      <c r="Q106" s="498"/>
      <c r="R106" s="498"/>
      <c r="S106" s="498"/>
      <c r="T106" s="467"/>
      <c r="U106" s="487">
        <f>SUM(U105)</f>
        <v>0</v>
      </c>
      <c r="W106" s="649"/>
    </row>
    <row r="107" spans="1:31" s="608" customFormat="1" ht="17.25" customHeight="1">
      <c r="E107" s="611"/>
      <c r="F107" s="611"/>
      <c r="G107" s="611"/>
      <c r="H107" s="306"/>
      <c r="I107" s="649"/>
      <c r="J107" s="611"/>
      <c r="K107" s="611"/>
      <c r="L107" s="611"/>
      <c r="M107" s="611"/>
      <c r="N107" s="611"/>
      <c r="P107" s="528"/>
      <c r="R107" s="649"/>
      <c r="U107" s="649"/>
      <c r="V107" s="649"/>
      <c r="W107" s="649"/>
      <c r="AA107" s="681"/>
      <c r="AB107" s="611"/>
      <c r="AC107" s="611"/>
      <c r="AD107" s="611"/>
    </row>
    <row r="108" spans="1:31" s="608" customFormat="1" ht="17.25" customHeight="1">
      <c r="E108" s="611"/>
      <c r="F108" s="611"/>
      <c r="G108" s="611"/>
      <c r="H108" s="306"/>
      <c r="I108" s="306"/>
      <c r="J108" s="611"/>
      <c r="K108" s="611"/>
      <c r="L108" s="611"/>
      <c r="M108" s="611"/>
      <c r="N108" s="611"/>
      <c r="O108" s="611"/>
      <c r="P108" s="611"/>
      <c r="R108" s="649"/>
      <c r="U108" s="649"/>
      <c r="V108" s="649"/>
      <c r="W108" s="649"/>
      <c r="AA108" s="681">
        <v>41603</v>
      </c>
      <c r="AD108" s="528">
        <f>+-AD101</f>
        <v>0</v>
      </c>
      <c r="AE108" s="665" t="e">
        <f>+XIRR(AD101:AD108,AA101:AA108)</f>
        <v>#NUM!</v>
      </c>
    </row>
    <row r="109" spans="1:31" s="608" customFormat="1" ht="17.25" customHeight="1">
      <c r="A109" s="458" t="s">
        <v>1402</v>
      </c>
      <c r="E109" s="611"/>
      <c r="F109" s="611"/>
      <c r="G109" s="611"/>
      <c r="H109" s="306"/>
      <c r="I109" s="306"/>
      <c r="J109" s="611"/>
      <c r="K109" s="611"/>
      <c r="L109" s="611"/>
      <c r="M109" s="611"/>
      <c r="N109" s="611"/>
      <c r="O109" s="611"/>
      <c r="P109" s="611"/>
      <c r="R109" s="649"/>
      <c r="U109" s="649"/>
      <c r="V109" s="649"/>
      <c r="W109" s="649"/>
    </row>
    <row r="110" spans="1:31" s="608" customFormat="1" ht="17.25" customHeight="1">
      <c r="A110" s="458"/>
      <c r="E110" s="611"/>
      <c r="F110" s="611"/>
      <c r="G110" s="611"/>
      <c r="H110" s="306"/>
      <c r="I110" s="306"/>
      <c r="J110" s="611"/>
      <c r="K110" s="611"/>
      <c r="L110" s="611"/>
      <c r="M110" s="611"/>
      <c r="N110" s="611"/>
      <c r="O110" s="611"/>
      <c r="P110" s="611"/>
      <c r="R110" s="649"/>
      <c r="U110" s="649"/>
      <c r="V110" s="649"/>
      <c r="W110" s="649"/>
      <c r="Z110" s="609" t="s">
        <v>1401</v>
      </c>
      <c r="AA110" s="640">
        <v>41472</v>
      </c>
      <c r="AB110" s="641">
        <v>1500000</v>
      </c>
      <c r="AC110" s="641">
        <v>100000</v>
      </c>
      <c r="AD110" s="641">
        <v>-150000000000</v>
      </c>
    </row>
    <row r="111" spans="1:31" s="460" customFormat="1" ht="20.25" customHeight="1">
      <c r="A111" s="461" t="s">
        <v>1403</v>
      </c>
      <c r="B111" s="461" t="s">
        <v>1404</v>
      </c>
      <c r="C111" s="461" t="s">
        <v>1405</v>
      </c>
      <c r="D111" s="462" t="s">
        <v>1406</v>
      </c>
      <c r="E111" s="463" t="s">
        <v>1407</v>
      </c>
      <c r="F111" s="463" t="s">
        <v>1408</v>
      </c>
      <c r="G111" s="463" t="s">
        <v>1409</v>
      </c>
      <c r="H111" s="463" t="s">
        <v>1410</v>
      </c>
      <c r="I111" s="461" t="s">
        <v>1411</v>
      </c>
      <c r="J111" s="463" t="s">
        <v>1412</v>
      </c>
      <c r="K111" s="463" t="s">
        <v>1413</v>
      </c>
      <c r="L111" s="463" t="s">
        <v>1414</v>
      </c>
      <c r="M111" s="463" t="s">
        <v>1415</v>
      </c>
      <c r="N111" s="463" t="s">
        <v>1416</v>
      </c>
      <c r="O111" s="461" t="s">
        <v>1417</v>
      </c>
      <c r="P111" s="461" t="s">
        <v>1418</v>
      </c>
      <c r="Q111" s="461" t="s">
        <v>1419</v>
      </c>
      <c r="R111" s="461" t="s">
        <v>1420</v>
      </c>
      <c r="S111" s="461" t="s">
        <v>1421</v>
      </c>
      <c r="T111" s="461" t="s">
        <v>1422</v>
      </c>
      <c r="U111" s="461" t="s">
        <v>1423</v>
      </c>
      <c r="V111" s="461" t="s">
        <v>1424</v>
      </c>
      <c r="W111" s="461" t="s">
        <v>1425</v>
      </c>
      <c r="AA111" s="681">
        <v>41603</v>
      </c>
      <c r="AB111" s="608"/>
      <c r="AC111" s="608"/>
      <c r="AD111" s="528">
        <f>+-AD110</f>
        <v>150000000000</v>
      </c>
      <c r="AE111" s="665">
        <f>+XIRR(AD110:AD111,AA110:AA111)</f>
        <v>2.9802322387695314E-9</v>
      </c>
    </row>
    <row r="112" spans="1:31" s="608" customFormat="1" ht="17.25" customHeight="1">
      <c r="A112" s="656" t="s">
        <v>1426</v>
      </c>
      <c r="B112" s="656" t="s">
        <v>1366</v>
      </c>
      <c r="C112" s="656" t="s">
        <v>1427</v>
      </c>
      <c r="D112" s="656"/>
      <c r="E112" s="610">
        <v>2658800</v>
      </c>
      <c r="F112" s="610">
        <v>15000</v>
      </c>
      <c r="G112" s="610">
        <f>+E112*F112</f>
        <v>39882000000</v>
      </c>
      <c r="H112" s="612" t="s">
        <v>1399</v>
      </c>
      <c r="I112" s="612"/>
      <c r="J112" s="610">
        <v>0</v>
      </c>
      <c r="K112" s="610">
        <v>0</v>
      </c>
      <c r="L112" s="610">
        <v>736353429</v>
      </c>
      <c r="M112" s="610">
        <v>0</v>
      </c>
      <c r="N112" s="610">
        <f>+L112-M112</f>
        <v>736353429</v>
      </c>
      <c r="O112" s="610" t="s">
        <v>1374</v>
      </c>
      <c r="P112" s="610">
        <f>+SUM(G112:G113)-SUM(M112:M113)</f>
        <v>0</v>
      </c>
      <c r="R112" s="649"/>
      <c r="S112" s="609"/>
      <c r="T112" s="609"/>
      <c r="U112" s="462"/>
      <c r="V112" s="462"/>
      <c r="W112" s="462"/>
    </row>
    <row r="113" spans="1:23" s="608" customFormat="1" ht="17.25" customHeight="1">
      <c r="A113" s="655" t="s">
        <v>1426</v>
      </c>
      <c r="B113" s="653" t="s">
        <v>1366</v>
      </c>
      <c r="C113" s="653" t="s">
        <v>1427</v>
      </c>
      <c r="D113" s="653"/>
      <c r="E113" s="644"/>
      <c r="F113" s="644"/>
      <c r="G113" s="644"/>
      <c r="H113" s="743" t="s">
        <v>1399</v>
      </c>
      <c r="I113" s="743"/>
      <c r="J113" s="644">
        <v>2658800</v>
      </c>
      <c r="K113" s="644">
        <v>27000</v>
      </c>
      <c r="L113" s="644">
        <f>+J113*K113</f>
        <v>71787600000</v>
      </c>
      <c r="M113" s="644">
        <v>39882000000</v>
      </c>
      <c r="N113" s="644">
        <f>+L113-M113</f>
        <v>31905600000</v>
      </c>
      <c r="O113" s="644" t="s">
        <v>1428</v>
      </c>
      <c r="P113" s="644"/>
      <c r="R113" s="649"/>
      <c r="S113" s="609"/>
      <c r="T113" s="609"/>
      <c r="U113" s="462"/>
      <c r="V113" s="462"/>
      <c r="W113" s="462"/>
    </row>
    <row r="114" spans="1:23" s="608" customFormat="1" ht="17.25" customHeight="1">
      <c r="A114" s="467" t="s">
        <v>1426</v>
      </c>
      <c r="B114" s="467"/>
      <c r="C114" s="467"/>
      <c r="D114" s="467"/>
      <c r="E114" s="498"/>
      <c r="F114" s="498"/>
      <c r="G114" s="498">
        <f>SUM(G112:G113)</f>
        <v>39882000000</v>
      </c>
      <c r="H114" s="468"/>
      <c r="I114" s="468"/>
      <c r="J114" s="498"/>
      <c r="K114" s="498"/>
      <c r="L114" s="498">
        <f>SUM(L112:L113)</f>
        <v>72523953429</v>
      </c>
      <c r="M114" s="498">
        <f>SUM(M112:M113)</f>
        <v>39882000000</v>
      </c>
      <c r="N114" s="498">
        <f>SUM(N112:N113)</f>
        <v>32641953429</v>
      </c>
      <c r="O114" s="498"/>
      <c r="P114" s="498"/>
      <c r="R114" s="649"/>
      <c r="S114" s="496"/>
      <c r="T114" s="496"/>
      <c r="U114" s="422"/>
      <c r="V114" s="422"/>
      <c r="W114" s="422"/>
    </row>
    <row r="115" spans="1:23" ht="17.25" customHeight="1">
      <c r="A115" s="456" t="s">
        <v>1468</v>
      </c>
      <c r="B115" s="456" t="s">
        <v>1360</v>
      </c>
      <c r="C115" s="456" t="s">
        <v>1390</v>
      </c>
      <c r="D115" s="642">
        <v>40904</v>
      </c>
      <c r="E115" s="720">
        <f>+G115/F115</f>
        <v>36837.6787216148</v>
      </c>
      <c r="F115" s="634">
        <v>1189000</v>
      </c>
      <c r="G115" s="634">
        <v>43800000000</v>
      </c>
      <c r="H115" s="469" t="s">
        <v>1382</v>
      </c>
      <c r="I115" s="536">
        <v>40995</v>
      </c>
      <c r="J115" s="634"/>
      <c r="K115" s="634"/>
      <c r="L115" s="634">
        <v>438000000</v>
      </c>
      <c r="M115" s="634"/>
      <c r="N115" s="634">
        <f>+L115-M115</f>
        <v>438000000</v>
      </c>
      <c r="O115" s="456" t="s">
        <v>1430</v>
      </c>
      <c r="P115" s="480">
        <f>SUM(G115:G123)-SUM(M115:M123)</f>
        <v>21300000000</v>
      </c>
      <c r="S115" s="456" t="s">
        <v>1370</v>
      </c>
      <c r="T115" s="456"/>
      <c r="U115" s="294" t="s">
        <v>1370</v>
      </c>
      <c r="V115" s="501" t="s">
        <v>1377</v>
      </c>
      <c r="W115" s="501" t="s">
        <v>1394</v>
      </c>
    </row>
    <row r="116" spans="1:23" ht="17.25" customHeight="1">
      <c r="A116" s="450" t="s">
        <v>1468</v>
      </c>
      <c r="B116" s="450" t="s">
        <v>1360</v>
      </c>
      <c r="C116" s="450" t="s">
        <v>1390</v>
      </c>
      <c r="D116" s="652"/>
      <c r="E116" s="635"/>
      <c r="F116" s="635"/>
      <c r="G116" s="635"/>
      <c r="H116" s="471"/>
      <c r="I116" s="620">
        <v>41087</v>
      </c>
      <c r="J116" s="635"/>
      <c r="K116" s="635"/>
      <c r="L116" s="635">
        <v>438000000</v>
      </c>
      <c r="M116" s="635"/>
      <c r="N116" s="635">
        <f t="shared" ref="N116:N128" si="12">+L116-M116</f>
        <v>438000000</v>
      </c>
      <c r="O116" s="450" t="s">
        <v>1430</v>
      </c>
      <c r="P116" s="481"/>
      <c r="S116" s="450"/>
      <c r="T116" s="450"/>
      <c r="U116" s="296"/>
      <c r="V116" s="499"/>
      <c r="W116" s="499"/>
    </row>
    <row r="117" spans="1:23" ht="17.25" customHeight="1">
      <c r="A117" s="450" t="s">
        <v>1468</v>
      </c>
      <c r="B117" s="450" t="s">
        <v>1360</v>
      </c>
      <c r="C117" s="450" t="s">
        <v>1390</v>
      </c>
      <c r="D117" s="652"/>
      <c r="E117" s="635"/>
      <c r="F117" s="635"/>
      <c r="G117" s="635"/>
      <c r="H117" s="471"/>
      <c r="I117" s="620">
        <v>41179</v>
      </c>
      <c r="J117" s="635"/>
      <c r="K117" s="635"/>
      <c r="L117" s="635">
        <v>438000000</v>
      </c>
      <c r="M117" s="635"/>
      <c r="N117" s="635">
        <f t="shared" si="12"/>
        <v>438000000</v>
      </c>
      <c r="O117" s="450" t="s">
        <v>1430</v>
      </c>
      <c r="P117" s="481"/>
      <c r="S117" s="450"/>
      <c r="T117" s="450"/>
      <c r="U117" s="296"/>
      <c r="V117" s="499"/>
      <c r="W117" s="499"/>
    </row>
    <row r="118" spans="1:23" ht="17.25" customHeight="1">
      <c r="A118" s="450" t="s">
        <v>1468</v>
      </c>
      <c r="B118" s="450" t="s">
        <v>1360</v>
      </c>
      <c r="C118" s="450" t="s">
        <v>1390</v>
      </c>
      <c r="D118" s="652"/>
      <c r="E118" s="635"/>
      <c r="F118" s="635"/>
      <c r="G118" s="635"/>
      <c r="H118" s="471"/>
      <c r="I118" s="620">
        <v>41270</v>
      </c>
      <c r="J118" s="635"/>
      <c r="K118" s="635"/>
      <c r="L118" s="635">
        <v>438000000</v>
      </c>
      <c r="M118" s="635"/>
      <c r="N118" s="635">
        <f t="shared" si="12"/>
        <v>438000000</v>
      </c>
      <c r="O118" s="450" t="s">
        <v>1430</v>
      </c>
      <c r="P118" s="481"/>
      <c r="S118" s="450"/>
      <c r="T118" s="450"/>
      <c r="U118" s="296"/>
      <c r="V118" s="499"/>
      <c r="W118" s="499"/>
    </row>
    <row r="119" spans="1:23" ht="17.25" customHeight="1">
      <c r="A119" s="450" t="s">
        <v>1468</v>
      </c>
      <c r="B119" s="450" t="s">
        <v>1360</v>
      </c>
      <c r="C119" s="450" t="s">
        <v>1390</v>
      </c>
      <c r="D119" s="652"/>
      <c r="E119" s="635"/>
      <c r="F119" s="635"/>
      <c r="G119" s="635"/>
      <c r="H119" s="471"/>
      <c r="I119" s="620">
        <v>41360</v>
      </c>
      <c r="J119" s="635"/>
      <c r="K119" s="635"/>
      <c r="L119" s="635">
        <v>438000000</v>
      </c>
      <c r="M119" s="635"/>
      <c r="N119" s="635">
        <f t="shared" si="12"/>
        <v>438000000</v>
      </c>
      <c r="O119" s="450" t="s">
        <v>1430</v>
      </c>
      <c r="P119" s="481"/>
      <c r="S119" s="450"/>
      <c r="T119" s="450"/>
      <c r="U119" s="296"/>
      <c r="V119" s="499"/>
      <c r="W119" s="499"/>
    </row>
    <row r="120" spans="1:23" ht="17.25" customHeight="1">
      <c r="A120" s="450" t="s">
        <v>1468</v>
      </c>
      <c r="B120" s="450" t="s">
        <v>1360</v>
      </c>
      <c r="C120" s="450" t="s">
        <v>1390</v>
      </c>
      <c r="D120" s="652"/>
      <c r="E120" s="635"/>
      <c r="F120" s="635"/>
      <c r="G120" s="635"/>
      <c r="H120" s="471"/>
      <c r="I120" s="620">
        <v>41452</v>
      </c>
      <c r="J120" s="635"/>
      <c r="K120" s="635"/>
      <c r="L120" s="635">
        <v>438000000</v>
      </c>
      <c r="M120" s="635"/>
      <c r="N120" s="635">
        <f t="shared" si="12"/>
        <v>438000000</v>
      </c>
      <c r="O120" s="450" t="s">
        <v>1430</v>
      </c>
      <c r="P120" s="481"/>
      <c r="S120" s="449"/>
      <c r="T120" s="449"/>
      <c r="U120" s="295"/>
      <c r="V120" s="500"/>
      <c r="W120" s="500"/>
    </row>
    <row r="121" spans="1:23" ht="17.25" customHeight="1">
      <c r="A121" s="450" t="s">
        <v>1468</v>
      </c>
      <c r="B121" s="450" t="s">
        <v>1360</v>
      </c>
      <c r="C121" s="450" t="s">
        <v>1390</v>
      </c>
      <c r="D121" s="652"/>
      <c r="E121" s="635"/>
      <c r="F121" s="635"/>
      <c r="G121" s="635"/>
      <c r="H121" s="471"/>
      <c r="I121" s="620">
        <v>41544</v>
      </c>
      <c r="J121" s="635"/>
      <c r="K121" s="635"/>
      <c r="L121" s="635">
        <v>438000000</v>
      </c>
      <c r="M121" s="635"/>
      <c r="N121" s="635">
        <f t="shared" si="12"/>
        <v>438000000</v>
      </c>
      <c r="O121" s="450" t="s">
        <v>1430</v>
      </c>
      <c r="P121" s="481"/>
      <c r="S121" s="475"/>
      <c r="T121" s="475"/>
      <c r="U121" s="495"/>
      <c r="V121" s="520"/>
      <c r="W121" s="520"/>
    </row>
    <row r="122" spans="1:23" ht="17.25" customHeight="1">
      <c r="A122" s="450" t="s">
        <v>1468</v>
      </c>
      <c r="B122" s="450" t="s">
        <v>1360</v>
      </c>
      <c r="C122" s="450" t="s">
        <v>1390</v>
      </c>
      <c r="D122" s="652"/>
      <c r="E122" s="635"/>
      <c r="F122" s="635"/>
      <c r="G122" s="635"/>
      <c r="H122" s="471"/>
      <c r="I122" s="620">
        <v>41626</v>
      </c>
      <c r="J122" s="717">
        <f>+M122/F115</f>
        <v>18923.465096719934</v>
      </c>
      <c r="K122" s="635"/>
      <c r="L122" s="635">
        <v>22500000000</v>
      </c>
      <c r="M122" s="635">
        <v>22500000000</v>
      </c>
      <c r="N122" s="635">
        <f t="shared" si="12"/>
        <v>0</v>
      </c>
      <c r="O122" s="450" t="s">
        <v>1431</v>
      </c>
      <c r="P122" s="481"/>
      <c r="S122" s="475"/>
      <c r="T122" s="475"/>
      <c r="U122" s="495"/>
      <c r="V122" s="520"/>
      <c r="W122" s="520"/>
    </row>
    <row r="123" spans="1:23" ht="17.25" customHeight="1">
      <c r="A123" s="450" t="s">
        <v>1468</v>
      </c>
      <c r="B123" s="450" t="s">
        <v>1360</v>
      </c>
      <c r="C123" s="450" t="s">
        <v>1390</v>
      </c>
      <c r="D123" s="652"/>
      <c r="E123" s="635"/>
      <c r="F123" s="635"/>
      <c r="G123" s="635"/>
      <c r="H123" s="471"/>
      <c r="I123" s="620">
        <v>41635</v>
      </c>
      <c r="J123" s="635"/>
      <c r="K123" s="635"/>
      <c r="L123" s="635">
        <v>418273973</v>
      </c>
      <c r="M123" s="635"/>
      <c r="N123" s="635">
        <f t="shared" si="12"/>
        <v>418273973</v>
      </c>
      <c r="O123" s="450" t="s">
        <v>1430</v>
      </c>
      <c r="P123" s="481"/>
      <c r="S123" s="475"/>
      <c r="T123" s="475"/>
      <c r="U123" s="495"/>
      <c r="V123" s="520"/>
      <c r="W123" s="520"/>
    </row>
    <row r="124" spans="1:23" ht="17.25" customHeight="1">
      <c r="A124" s="450" t="s">
        <v>1468</v>
      </c>
      <c r="B124" s="450" t="s">
        <v>309</v>
      </c>
      <c r="C124" s="450" t="s">
        <v>1289</v>
      </c>
      <c r="D124" s="652"/>
      <c r="E124" s="635"/>
      <c r="F124" s="635"/>
      <c r="G124" s="635"/>
      <c r="H124" s="471"/>
      <c r="I124" s="620">
        <v>41725</v>
      </c>
      <c r="J124" s="635"/>
      <c r="K124" s="635"/>
      <c r="L124" s="635">
        <v>213000000</v>
      </c>
      <c r="M124" s="635"/>
      <c r="N124" s="635">
        <f t="shared" si="12"/>
        <v>213000000</v>
      </c>
      <c r="O124" s="450" t="s">
        <v>1456</v>
      </c>
      <c r="P124" s="481"/>
      <c r="S124" s="475"/>
      <c r="T124" s="475"/>
      <c r="U124" s="495"/>
      <c r="V124" s="520"/>
      <c r="W124" s="520"/>
    </row>
    <row r="125" spans="1:23" ht="17.25" customHeight="1">
      <c r="A125" s="450" t="s">
        <v>1468</v>
      </c>
      <c r="B125" s="450" t="s">
        <v>279</v>
      </c>
      <c r="C125" s="450" t="s">
        <v>1289</v>
      </c>
      <c r="D125" s="652"/>
      <c r="E125" s="635"/>
      <c r="F125" s="635"/>
      <c r="G125" s="635"/>
      <c r="H125" s="471"/>
      <c r="I125" s="620">
        <v>41817</v>
      </c>
      <c r="J125" s="635"/>
      <c r="K125" s="635"/>
      <c r="L125" s="635">
        <v>213000000</v>
      </c>
      <c r="M125" s="635"/>
      <c r="N125" s="635">
        <f t="shared" si="12"/>
        <v>213000000</v>
      </c>
      <c r="O125" s="450" t="s">
        <v>1456</v>
      </c>
      <c r="P125" s="481"/>
      <c r="S125" s="475"/>
      <c r="T125" s="475"/>
      <c r="U125" s="495"/>
      <c r="V125" s="520"/>
      <c r="W125" s="520"/>
    </row>
    <row r="126" spans="1:23" ht="17.25" customHeight="1">
      <c r="A126" s="450" t="s">
        <v>1468</v>
      </c>
      <c r="B126" s="450" t="s">
        <v>279</v>
      </c>
      <c r="C126" s="450" t="s">
        <v>1289</v>
      </c>
      <c r="D126" s="652"/>
      <c r="E126" s="635"/>
      <c r="F126" s="635"/>
      <c r="G126" s="635"/>
      <c r="H126" s="471"/>
      <c r="I126" s="620">
        <v>41908</v>
      </c>
      <c r="J126" s="635"/>
      <c r="K126" s="635"/>
      <c r="L126" s="635">
        <v>213000000</v>
      </c>
      <c r="M126" s="635">
        <v>0</v>
      </c>
      <c r="N126" s="635">
        <f t="shared" si="12"/>
        <v>213000000</v>
      </c>
      <c r="O126" s="450" t="s">
        <v>1483</v>
      </c>
      <c r="P126" s="481"/>
      <c r="S126" s="475"/>
      <c r="T126" s="475"/>
      <c r="U126" s="495"/>
      <c r="V126" s="520"/>
      <c r="W126" s="520"/>
    </row>
    <row r="127" spans="1:23" ht="17.25" customHeight="1">
      <c r="A127" s="450" t="s">
        <v>1468</v>
      </c>
      <c r="B127" s="449" t="s">
        <v>279</v>
      </c>
      <c r="C127" s="449" t="s">
        <v>1289</v>
      </c>
      <c r="D127" s="651"/>
      <c r="E127" s="636"/>
      <c r="F127" s="636"/>
      <c r="G127" s="636"/>
      <c r="H127" s="470"/>
      <c r="I127" s="667">
        <v>41999</v>
      </c>
      <c r="J127" s="636"/>
      <c r="K127" s="636"/>
      <c r="L127" s="636">
        <v>213000000</v>
      </c>
      <c r="M127" s="636">
        <v>0</v>
      </c>
      <c r="N127" s="636">
        <f>+L127-M127</f>
        <v>213000000</v>
      </c>
      <c r="O127" s="449"/>
      <c r="P127" s="486"/>
      <c r="S127" s="475"/>
      <c r="T127" s="475"/>
      <c r="U127" s="495"/>
      <c r="V127" s="520"/>
      <c r="W127" s="520"/>
    </row>
    <row r="128" spans="1:23" ht="17.25" customHeight="1">
      <c r="A128" s="450" t="s">
        <v>1468</v>
      </c>
      <c r="B128" s="475" t="s">
        <v>1366</v>
      </c>
      <c r="C128" s="475" t="s">
        <v>1390</v>
      </c>
      <c r="D128" s="645">
        <v>41626</v>
      </c>
      <c r="E128" s="590">
        <v>10000</v>
      </c>
      <c r="F128" s="590">
        <f>+G128/E128</f>
        <v>2250000</v>
      </c>
      <c r="G128" s="590">
        <v>22500000000</v>
      </c>
      <c r="H128" s="477" t="s">
        <v>1388</v>
      </c>
      <c r="I128" s="358"/>
      <c r="J128" s="590"/>
      <c r="K128" s="590"/>
      <c r="L128" s="590"/>
      <c r="M128" s="590"/>
      <c r="N128" s="590">
        <f t="shared" si="12"/>
        <v>0</v>
      </c>
      <c r="O128" s="475"/>
      <c r="P128" s="292">
        <f>+G128-M128</f>
        <v>22500000000</v>
      </c>
      <c r="S128" s="475"/>
      <c r="T128" s="475"/>
      <c r="U128" s="495"/>
      <c r="V128" s="520"/>
      <c r="W128" s="520"/>
    </row>
    <row r="129" spans="1:16384" ht="17.25" customHeight="1">
      <c r="A129" s="467" t="s">
        <v>1429</v>
      </c>
      <c r="B129" s="467"/>
      <c r="C129" s="467"/>
      <c r="D129" s="315"/>
      <c r="E129" s="498"/>
      <c r="F129" s="498"/>
      <c r="G129" s="498">
        <f>SUM(G115:G128)</f>
        <v>66300000000</v>
      </c>
      <c r="H129" s="468"/>
      <c r="I129" s="703"/>
      <c r="J129" s="498"/>
      <c r="K129" s="498"/>
      <c r="L129" s="498">
        <f>SUM(L115:L128)</f>
        <v>26836273973</v>
      </c>
      <c r="M129" s="498">
        <f>SUM(M115:M128)</f>
        <v>22500000000</v>
      </c>
      <c r="N129" s="498">
        <f>SUM(N115:N128)</f>
        <v>4336273973</v>
      </c>
      <c r="O129" s="467"/>
      <c r="P129" s="487">
        <f>SUM(P115:P128)</f>
        <v>43800000000</v>
      </c>
      <c r="S129" s="467"/>
      <c r="T129" s="467"/>
      <c r="U129" s="478"/>
      <c r="V129" s="478"/>
      <c r="W129" s="478"/>
    </row>
    <row r="130" spans="1:16384" ht="17.25" customHeight="1">
      <c r="A130" s="473" t="s">
        <v>1469</v>
      </c>
      <c r="B130" s="456" t="s">
        <v>1366</v>
      </c>
      <c r="C130" s="456" t="s">
        <v>1432</v>
      </c>
      <c r="D130" s="642">
        <v>41059</v>
      </c>
      <c r="E130" s="634">
        <v>219984</v>
      </c>
      <c r="F130" s="634">
        <f>+G130/E130</f>
        <v>318204.81205451308</v>
      </c>
      <c r="G130" s="634">
        <v>69999967375</v>
      </c>
      <c r="H130" s="469" t="s">
        <v>1393</v>
      </c>
      <c r="I130" s="536"/>
      <c r="J130" s="634"/>
      <c r="K130" s="634"/>
      <c r="L130" s="634"/>
      <c r="M130" s="634"/>
      <c r="N130" s="634"/>
      <c r="O130" s="456" t="s">
        <v>1433</v>
      </c>
      <c r="P130" s="480">
        <f>SUM(G130:G134)-SUM(M130:M134)</f>
        <v>69517148366</v>
      </c>
      <c r="S130" s="453" t="s">
        <v>1395</v>
      </c>
      <c r="T130" s="453"/>
      <c r="U130" s="501"/>
      <c r="V130" s="501"/>
      <c r="W130" s="501" t="s">
        <v>1372</v>
      </c>
    </row>
    <row r="131" spans="1:16384">
      <c r="A131" s="450" t="s">
        <v>1469</v>
      </c>
      <c r="B131" s="450" t="s">
        <v>1366</v>
      </c>
      <c r="C131" s="450" t="s">
        <v>1432</v>
      </c>
      <c r="D131" s="643">
        <v>41166</v>
      </c>
      <c r="E131" s="635"/>
      <c r="F131" s="635"/>
      <c r="G131" s="635">
        <v>-382065519</v>
      </c>
      <c r="H131" s="471" t="s">
        <v>1434</v>
      </c>
      <c r="I131" s="620"/>
      <c r="J131" s="635"/>
      <c r="K131" s="635"/>
      <c r="L131" s="635"/>
      <c r="M131" s="635"/>
      <c r="N131" s="635"/>
      <c r="O131" s="450"/>
      <c r="P131" s="481"/>
      <c r="S131" s="453"/>
      <c r="T131" s="453"/>
      <c r="U131" s="499"/>
      <c r="V131" s="499"/>
      <c r="W131" s="499"/>
    </row>
    <row r="132" spans="1:16384">
      <c r="A132" s="450" t="s">
        <v>1469</v>
      </c>
      <c r="B132" s="450" t="s">
        <v>1366</v>
      </c>
      <c r="C132" s="450" t="s">
        <v>1432</v>
      </c>
      <c r="D132" s="652">
        <v>41170</v>
      </c>
      <c r="E132" s="635">
        <v>1224</v>
      </c>
      <c r="F132" s="635">
        <f>+G132/E132</f>
        <v>312156.15931372548</v>
      </c>
      <c r="G132" s="635">
        <v>382079139</v>
      </c>
      <c r="H132" s="471" t="s">
        <v>1393</v>
      </c>
      <c r="I132" s="620"/>
      <c r="J132" s="635"/>
      <c r="K132" s="635"/>
      <c r="L132" s="635"/>
      <c r="M132" s="635"/>
      <c r="N132" s="635"/>
      <c r="O132" s="450" t="s">
        <v>1433</v>
      </c>
      <c r="P132" s="481"/>
      <c r="S132" s="453"/>
      <c r="T132" s="453"/>
      <c r="U132" s="499"/>
      <c r="V132" s="499"/>
      <c r="W132" s="499"/>
    </row>
    <row r="133" spans="1:16384">
      <c r="A133" s="450" t="s">
        <v>1469</v>
      </c>
      <c r="B133" s="450" t="s">
        <v>1366</v>
      </c>
      <c r="C133" s="450" t="s">
        <v>1432</v>
      </c>
      <c r="D133" s="643">
        <v>41240</v>
      </c>
      <c r="E133" s="635"/>
      <c r="F133" s="635"/>
      <c r="G133" s="635">
        <v>-318325314</v>
      </c>
      <c r="H133" s="471" t="s">
        <v>1434</v>
      </c>
      <c r="I133" s="620"/>
      <c r="J133" s="635"/>
      <c r="K133" s="635"/>
      <c r="L133" s="635"/>
      <c r="M133" s="635"/>
      <c r="N133" s="635"/>
      <c r="O133" s="450" t="s">
        <v>1433</v>
      </c>
      <c r="P133" s="481"/>
      <c r="S133" s="453"/>
      <c r="T133" s="453"/>
      <c r="U133" s="499"/>
      <c r="V133" s="499"/>
      <c r="W133" s="499"/>
    </row>
    <row r="134" spans="1:16384">
      <c r="A134" s="450" t="s">
        <v>1469</v>
      </c>
      <c r="B134" s="450" t="s">
        <v>1366</v>
      </c>
      <c r="C134" s="450" t="s">
        <v>1432</v>
      </c>
      <c r="D134" s="643">
        <v>41361</v>
      </c>
      <c r="E134" s="635"/>
      <c r="F134" s="635"/>
      <c r="G134" s="635">
        <v>-164507315</v>
      </c>
      <c r="H134" s="471" t="s">
        <v>1434</v>
      </c>
      <c r="I134" s="620"/>
      <c r="J134" s="635"/>
      <c r="K134" s="635"/>
      <c r="L134" s="635"/>
      <c r="M134" s="635"/>
      <c r="N134" s="635"/>
      <c r="O134" s="450"/>
      <c r="P134" s="481"/>
      <c r="S134" s="453"/>
      <c r="T134" s="453"/>
      <c r="U134" s="500"/>
      <c r="V134" s="500"/>
      <c r="W134" s="500"/>
    </row>
    <row r="135" spans="1:16384">
      <c r="A135" s="450" t="s">
        <v>1469</v>
      </c>
      <c r="B135" s="545" t="s">
        <v>1465</v>
      </c>
      <c r="C135" s="545" t="s">
        <v>1466</v>
      </c>
      <c r="D135" s="518">
        <v>41653</v>
      </c>
      <c r="E135" s="452"/>
      <c r="F135" s="452"/>
      <c r="G135" s="452">
        <v>-732611250</v>
      </c>
      <c r="H135" s="557" t="s">
        <v>1464</v>
      </c>
      <c r="I135" s="537"/>
      <c r="J135" s="452"/>
      <c r="K135" s="452"/>
      <c r="L135" s="452"/>
      <c r="M135" s="452"/>
      <c r="N135" s="452"/>
      <c r="O135" s="545"/>
      <c r="P135" s="317"/>
      <c r="S135" s="453"/>
      <c r="T135" s="453"/>
      <c r="U135" s="520"/>
      <c r="V135" s="520"/>
      <c r="W135" s="520"/>
    </row>
    <row r="136" spans="1:16384">
      <c r="A136" s="450" t="s">
        <v>1469</v>
      </c>
      <c r="B136" s="450" t="s">
        <v>1465</v>
      </c>
      <c r="C136" s="450" t="s">
        <v>1466</v>
      </c>
      <c r="D136" s="643">
        <v>41737</v>
      </c>
      <c r="E136" s="635">
        <v>2081</v>
      </c>
      <c r="F136" s="717">
        <f>+G136/E136</f>
        <v>302577.65977895242</v>
      </c>
      <c r="G136" s="635">
        <v>629664110</v>
      </c>
      <c r="H136" s="471" t="s">
        <v>1464</v>
      </c>
      <c r="I136" s="620"/>
      <c r="J136" s="635"/>
      <c r="K136" s="635"/>
      <c r="L136" s="635"/>
      <c r="M136" s="635"/>
      <c r="N136" s="635"/>
      <c r="O136" s="450"/>
      <c r="P136" s="481"/>
      <c r="S136" s="453"/>
      <c r="T136" s="453"/>
      <c r="U136" s="520"/>
      <c r="V136" s="520"/>
      <c r="W136" s="520"/>
    </row>
    <row r="137" spans="1:16384">
      <c r="A137" s="450" t="s">
        <v>1469</v>
      </c>
      <c r="B137" s="450" t="s">
        <v>1465</v>
      </c>
      <c r="C137" s="450" t="s">
        <v>1466</v>
      </c>
      <c r="D137" s="457">
        <v>41820</v>
      </c>
      <c r="E137" s="636"/>
      <c r="F137" s="702"/>
      <c r="G137" s="636">
        <v>-4334363684</v>
      </c>
      <c r="H137" s="470" t="s">
        <v>1475</v>
      </c>
      <c r="I137" s="667"/>
      <c r="J137" s="636"/>
      <c r="K137" s="636"/>
      <c r="L137" s="636"/>
      <c r="M137" s="636"/>
      <c r="N137" s="636"/>
      <c r="O137" s="449"/>
      <c r="P137" s="486"/>
      <c r="S137" s="453"/>
      <c r="T137" s="453"/>
      <c r="U137" s="520"/>
      <c r="V137" s="520"/>
      <c r="W137" s="520"/>
    </row>
    <row r="138" spans="1:16384">
      <c r="A138" s="467"/>
      <c r="B138" s="467"/>
      <c r="C138" s="467"/>
      <c r="D138" s="467"/>
      <c r="E138" s="498">
        <f>SUM(E130:E136)</f>
        <v>223289</v>
      </c>
      <c r="F138" s="498"/>
      <c r="G138" s="498">
        <f>SUM(G130:G137)</f>
        <v>65079837542</v>
      </c>
      <c r="H138" s="468"/>
      <c r="I138" s="703"/>
      <c r="J138" s="498"/>
      <c r="K138" s="498"/>
      <c r="L138" s="498">
        <f>SUM(L130:L134)</f>
        <v>0</v>
      </c>
      <c r="M138" s="498">
        <f>SUM(M130:M134)</f>
        <v>0</v>
      </c>
      <c r="N138" s="498">
        <f>SUM(N130:N134)</f>
        <v>0</v>
      </c>
      <c r="O138" s="467"/>
      <c r="P138" s="487">
        <f>SUM(P130:P134)</f>
        <v>69517148366</v>
      </c>
      <c r="S138" s="467"/>
      <c r="T138" s="467"/>
      <c r="U138" s="478"/>
      <c r="V138" s="478"/>
      <c r="W138" s="478"/>
    </row>
    <row r="139" spans="1:16384" ht="17.25" customHeight="1">
      <c r="A139" s="456" t="s">
        <v>1470</v>
      </c>
      <c r="B139" s="456" t="s">
        <v>1366</v>
      </c>
      <c r="C139" s="456" t="s">
        <v>1435</v>
      </c>
      <c r="D139" s="642">
        <v>41481</v>
      </c>
      <c r="E139" s="634">
        <v>1980855</v>
      </c>
      <c r="F139" s="469">
        <f>G139/E139</f>
        <v>141353.10257439339</v>
      </c>
      <c r="G139" s="469">
        <v>280000000000</v>
      </c>
      <c r="H139" s="501" t="s">
        <v>1436</v>
      </c>
      <c r="I139" s="628">
        <v>41759</v>
      </c>
      <c r="J139" s="634">
        <v>0</v>
      </c>
      <c r="K139" s="634">
        <v>0</v>
      </c>
      <c r="L139" s="634">
        <v>9702000000</v>
      </c>
      <c r="M139" s="469">
        <v>0</v>
      </c>
      <c r="N139" s="480">
        <f>+L139-M139</f>
        <v>9702000000</v>
      </c>
      <c r="O139" s="634" t="s">
        <v>1458</v>
      </c>
      <c r="P139" s="634">
        <f>SUM(G139:G142)+SUM(M139:M142)</f>
        <v>300000000000</v>
      </c>
      <c r="Q139" s="607"/>
      <c r="R139" s="607"/>
      <c r="S139" s="607"/>
      <c r="T139" s="453"/>
      <c r="U139" s="289">
        <f>SUM(L139:L141)-SUM(R139:R141)</f>
        <v>20097000000</v>
      </c>
      <c r="W139" s="460"/>
    </row>
    <row r="140" spans="1:16384" ht="17.25" customHeight="1">
      <c r="A140" s="449" t="s">
        <v>1470</v>
      </c>
      <c r="B140" s="449" t="s">
        <v>280</v>
      </c>
      <c r="C140" s="449" t="s">
        <v>1435</v>
      </c>
      <c r="D140" s="651"/>
      <c r="E140" s="636"/>
      <c r="F140" s="470"/>
      <c r="G140" s="470"/>
      <c r="H140" s="500"/>
      <c r="I140" s="632">
        <v>41943</v>
      </c>
      <c r="J140" s="636">
        <v>0</v>
      </c>
      <c r="K140" s="636">
        <v>0</v>
      </c>
      <c r="L140" s="636">
        <v>9702000000</v>
      </c>
      <c r="M140" s="470">
        <v>0</v>
      </c>
      <c r="N140" s="486">
        <f>+L140-M140</f>
        <v>9702000000</v>
      </c>
      <c r="O140" s="636" t="s">
        <v>1485</v>
      </c>
      <c r="P140" s="636"/>
      <c r="Q140" s="607"/>
      <c r="R140" s="607"/>
      <c r="S140" s="607"/>
      <c r="T140" s="453"/>
      <c r="U140" s="289"/>
      <c r="W140" s="460"/>
    </row>
    <row r="141" spans="1:16384" ht="17.25" customHeight="1">
      <c r="A141" s="456" t="s">
        <v>1470</v>
      </c>
      <c r="B141" s="456" t="s">
        <v>1360</v>
      </c>
      <c r="C141" s="456" t="s">
        <v>1435</v>
      </c>
      <c r="D141" s="642">
        <v>41481</v>
      </c>
      <c r="E141" s="456"/>
      <c r="F141" s="501"/>
      <c r="G141" s="469">
        <v>20000000000</v>
      </c>
      <c r="H141" s="469" t="s">
        <v>1385</v>
      </c>
      <c r="I141" s="628">
        <v>41666</v>
      </c>
      <c r="J141" s="634">
        <v>0</v>
      </c>
      <c r="K141" s="634">
        <v>0</v>
      </c>
      <c r="L141" s="634">
        <v>693000000</v>
      </c>
      <c r="M141" s="469">
        <v>0</v>
      </c>
      <c r="N141" s="480">
        <f>+L141-M141</f>
        <v>693000000</v>
      </c>
      <c r="O141" s="634" t="s">
        <v>1457</v>
      </c>
      <c r="P141" s="634"/>
      <c r="Q141" s="607"/>
      <c r="R141" s="607"/>
      <c r="S141" s="607"/>
      <c r="T141" s="453"/>
      <c r="U141" s="289"/>
      <c r="W141" s="460"/>
    </row>
    <row r="142" spans="1:16384" ht="17.25" customHeight="1">
      <c r="A142" s="450" t="s">
        <v>1470</v>
      </c>
      <c r="B142" s="450" t="s">
        <v>1360</v>
      </c>
      <c r="C142" s="450" t="s">
        <v>1435</v>
      </c>
      <c r="D142" s="652"/>
      <c r="E142" s="450"/>
      <c r="F142" s="499"/>
      <c r="G142" s="471"/>
      <c r="H142" s="471"/>
      <c r="I142" s="630">
        <v>41845</v>
      </c>
      <c r="J142" s="635">
        <v>0</v>
      </c>
      <c r="K142" s="635">
        <v>0</v>
      </c>
      <c r="L142" s="635">
        <v>693000000</v>
      </c>
      <c r="M142" s="471">
        <v>0</v>
      </c>
      <c r="N142" s="481">
        <f>+L142-M142</f>
        <v>693000000</v>
      </c>
      <c r="O142" s="635" t="s">
        <v>1457</v>
      </c>
      <c r="P142" s="635"/>
      <c r="Q142" s="607"/>
      <c r="R142" s="607"/>
      <c r="S142" s="607"/>
      <c r="T142" s="453"/>
      <c r="U142" s="289"/>
      <c r="W142" s="460"/>
    </row>
    <row r="143" spans="1:16384" ht="17.25" customHeight="1">
      <c r="A143" s="475"/>
      <c r="B143" s="475"/>
      <c r="C143" s="475"/>
      <c r="D143" s="645"/>
      <c r="E143" s="475"/>
      <c r="F143" s="520"/>
      <c r="G143" s="477"/>
      <c r="H143" s="477"/>
      <c r="I143" s="623">
        <v>42030</v>
      </c>
      <c r="J143" s="590"/>
      <c r="K143" s="590"/>
      <c r="L143" s="590">
        <v>693000000</v>
      </c>
      <c r="M143" s="477"/>
      <c r="N143" s="481">
        <f>+L143-M143</f>
        <v>693000000</v>
      </c>
      <c r="O143" s="635" t="s">
        <v>1253</v>
      </c>
      <c r="P143" s="590"/>
      <c r="Q143" s="607"/>
      <c r="R143" s="607"/>
      <c r="S143" s="607"/>
      <c r="T143" s="453"/>
      <c r="U143" s="289"/>
      <c r="W143" s="460"/>
    </row>
    <row r="144" spans="1:16384" ht="17.25" customHeight="1">
      <c r="A144" s="467" t="s">
        <v>1290</v>
      </c>
      <c r="B144" s="467"/>
      <c r="C144" s="467"/>
      <c r="D144" s="467" t="s">
        <v>502</v>
      </c>
      <c r="E144" s="467"/>
      <c r="F144" s="478"/>
      <c r="G144" s="433">
        <f>SUM(G139:G142)</f>
        <v>300000000000</v>
      </c>
      <c r="H144" s="478"/>
      <c r="I144" s="478"/>
      <c r="J144" s="498"/>
      <c r="K144" s="498"/>
      <c r="L144" s="498">
        <f>SUM(L139:L143)</f>
        <v>21483000000</v>
      </c>
      <c r="M144" s="498">
        <f t="shared" ref="M144:N144" si="13">SUM(M139:M142)</f>
        <v>0</v>
      </c>
      <c r="N144" s="498">
        <f t="shared" si="13"/>
        <v>20790000000</v>
      </c>
      <c r="O144" s="498"/>
      <c r="P144" s="498">
        <f>SUM(P139:P141)</f>
        <v>300000000000</v>
      </c>
      <c r="Q144" s="498">
        <f>SUM(Q132:Q138)</f>
        <v>0</v>
      </c>
      <c r="R144" s="498">
        <f>SUM(R132:R138)</f>
        <v>0</v>
      </c>
      <c r="S144" s="498">
        <f>SUM(S132:S138)</f>
        <v>0</v>
      </c>
      <c r="T144" s="467"/>
      <c r="U144" s="487">
        <f>SUM(U139:U141)</f>
        <v>20097000000</v>
      </c>
      <c r="AA144" s="460"/>
      <c r="AB144" s="460"/>
      <c r="AC144" s="460"/>
      <c r="AD144" s="608"/>
      <c r="AE144" s="639"/>
      <c r="AF144" s="639"/>
      <c r="AG144" s="639"/>
      <c r="AH144" s="459"/>
      <c r="AI144" s="624"/>
      <c r="AJ144" s="639"/>
      <c r="AK144" s="639"/>
      <c r="AL144" s="639"/>
      <c r="AM144" s="639"/>
      <c r="AN144" s="639"/>
      <c r="AP144" s="625"/>
      <c r="AV144" s="460"/>
      <c r="AW144" s="460"/>
      <c r="AX144" s="460"/>
      <c r="AY144" s="608"/>
      <c r="AZ144" s="639"/>
      <c r="BA144" s="639"/>
      <c r="BB144" s="639"/>
      <c r="BC144" s="459"/>
      <c r="BD144" s="624"/>
      <c r="BE144" s="639"/>
      <c r="BF144" s="639"/>
      <c r="BG144" s="639"/>
      <c r="BH144" s="639"/>
      <c r="BI144" s="639"/>
      <c r="BK144" s="625"/>
      <c r="BQ144" s="460"/>
      <c r="BR144" s="460"/>
      <c r="BS144" s="460"/>
      <c r="BT144" s="608"/>
      <c r="BU144" s="639"/>
      <c r="BV144" s="639"/>
      <c r="BW144" s="639"/>
      <c r="BX144" s="459"/>
      <c r="BY144" s="624"/>
      <c r="BZ144" s="639"/>
      <c r="CA144" s="639"/>
      <c r="CB144" s="639"/>
      <c r="CC144" s="639"/>
      <c r="CD144" s="434"/>
      <c r="CE144" s="453"/>
      <c r="CF144" s="289"/>
      <c r="CG144" s="453"/>
      <c r="CH144" s="453"/>
      <c r="CI144" s="453"/>
      <c r="CJ144" s="453"/>
      <c r="CK144" s="453"/>
      <c r="CL144" s="461"/>
      <c r="CM144" s="461"/>
      <c r="CN144" s="461"/>
      <c r="CO144" s="609"/>
      <c r="CP144" s="607"/>
      <c r="CQ144" s="607"/>
      <c r="CR144" s="607"/>
      <c r="CS144" s="463"/>
      <c r="CT144" s="454"/>
      <c r="CU144" s="607"/>
      <c r="CV144" s="607"/>
      <c r="CW144" s="607"/>
      <c r="CX144" s="607"/>
      <c r="CY144" s="607"/>
      <c r="CZ144" s="453"/>
      <c r="DA144" s="289"/>
      <c r="DB144" s="453"/>
      <c r="DC144" s="453"/>
      <c r="DD144" s="453"/>
      <c r="DE144" s="453"/>
      <c r="DF144" s="453"/>
      <c r="DG144" s="461"/>
      <c r="DH144" s="461"/>
      <c r="DI144" s="461"/>
      <c r="DJ144" s="609"/>
      <c r="DK144" s="607"/>
      <c r="DL144" s="607"/>
      <c r="DM144" s="607"/>
      <c r="DN144" s="463"/>
      <c r="DO144" s="454"/>
      <c r="DP144" s="607"/>
      <c r="DQ144" s="607"/>
      <c r="DR144" s="607"/>
      <c r="DS144" s="607"/>
      <c r="DT144" s="607"/>
      <c r="DU144" s="453"/>
      <c r="DV144" s="289"/>
      <c r="DW144" s="453"/>
      <c r="DX144" s="453"/>
      <c r="DY144" s="453"/>
      <c r="DZ144" s="453"/>
      <c r="EA144" s="453"/>
      <c r="EB144" s="461"/>
      <c r="EC144" s="461"/>
      <c r="ED144" s="461"/>
      <c r="EE144" s="609"/>
      <c r="EF144" s="607"/>
      <c r="EG144" s="607"/>
      <c r="EH144" s="607"/>
      <c r="EI144" s="463"/>
      <c r="EJ144" s="454"/>
      <c r="EK144" s="607"/>
      <c r="EL144" s="607"/>
      <c r="EM144" s="607"/>
      <c r="EN144" s="607"/>
      <c r="EO144" s="607"/>
      <c r="EP144" s="453"/>
      <c r="EQ144" s="289"/>
      <c r="ER144" s="453"/>
      <c r="ES144" s="453"/>
      <c r="ET144" s="453"/>
      <c r="EU144" s="453"/>
      <c r="EV144" s="453"/>
      <c r="EW144" s="461"/>
      <c r="EX144" s="461"/>
      <c r="EY144" s="461"/>
      <c r="EZ144" s="609"/>
      <c r="FA144" s="607"/>
      <c r="FB144" s="607"/>
      <c r="FC144" s="607"/>
      <c r="FD144" s="463"/>
      <c r="FE144" s="454"/>
      <c r="FF144" s="607"/>
      <c r="FG144" s="607"/>
      <c r="FH144" s="607"/>
      <c r="FI144" s="607"/>
      <c r="FJ144" s="607"/>
      <c r="FK144" s="453"/>
      <c r="FL144" s="289"/>
      <c r="FM144" s="453"/>
      <c r="FN144" s="453"/>
      <c r="FO144" s="453"/>
      <c r="FP144" s="453"/>
      <c r="FQ144" s="453"/>
      <c r="FR144" s="461"/>
      <c r="FS144" s="461"/>
      <c r="FT144" s="461"/>
      <c r="FU144" s="609"/>
      <c r="FV144" s="607"/>
      <c r="FW144" s="607"/>
      <c r="FX144" s="607"/>
      <c r="FY144" s="463"/>
      <c r="FZ144" s="454"/>
      <c r="GA144" s="607"/>
      <c r="GB144" s="607"/>
      <c r="GC144" s="607"/>
      <c r="GD144" s="607"/>
      <c r="GE144" s="607"/>
      <c r="GF144" s="453"/>
      <c r="GG144" s="289"/>
      <c r="GH144" s="453"/>
      <c r="GI144" s="453"/>
      <c r="GJ144" s="453"/>
      <c r="GK144" s="453"/>
      <c r="GL144" s="453"/>
      <c r="GM144" s="461"/>
      <c r="GN144" s="461"/>
      <c r="GO144" s="461"/>
      <c r="GP144" s="609"/>
      <c r="GQ144" s="607"/>
      <c r="GR144" s="607"/>
      <c r="GS144" s="607"/>
      <c r="GT144" s="463"/>
      <c r="GU144" s="454"/>
      <c r="GV144" s="607"/>
      <c r="GW144" s="607"/>
      <c r="GX144" s="607"/>
      <c r="GY144" s="607"/>
      <c r="GZ144" s="607"/>
      <c r="HA144" s="453"/>
      <c r="HB144" s="289"/>
      <c r="HC144" s="453"/>
      <c r="HD144" s="453"/>
      <c r="HE144" s="453"/>
      <c r="HF144" s="453"/>
      <c r="HG144" s="453"/>
      <c r="HH144" s="461"/>
      <c r="HI144" s="461"/>
      <c r="HJ144" s="461"/>
      <c r="HK144" s="609"/>
      <c r="HL144" s="607"/>
      <c r="HM144" s="607"/>
      <c r="HN144" s="607"/>
      <c r="HO144" s="463"/>
      <c r="HP144" s="454"/>
      <c r="HQ144" s="607"/>
      <c r="HR144" s="607"/>
      <c r="HS144" s="607"/>
      <c r="HT144" s="607"/>
      <c r="HU144" s="607"/>
      <c r="HV144" s="453"/>
      <c r="HW144" s="289"/>
      <c r="HX144" s="453"/>
      <c r="HY144" s="453"/>
      <c r="HZ144" s="453"/>
      <c r="IA144" s="453"/>
      <c r="IB144" s="453"/>
      <c r="IC144" s="461"/>
      <c r="ID144" s="461"/>
      <c r="IE144" s="461"/>
      <c r="IF144" s="609"/>
      <c r="IG144" s="607"/>
      <c r="IH144" s="607"/>
      <c r="II144" s="607"/>
      <c r="IJ144" s="463"/>
      <c r="IK144" s="454"/>
      <c r="IL144" s="607"/>
      <c r="IM144" s="607"/>
      <c r="IN144" s="607"/>
      <c r="IO144" s="607"/>
      <c r="IP144" s="607"/>
      <c r="IQ144" s="453"/>
      <c r="IR144" s="289"/>
      <c r="IS144" s="453"/>
      <c r="IT144" s="453"/>
      <c r="IU144" s="453"/>
      <c r="IV144" s="453"/>
      <c r="IW144" s="453"/>
      <c r="IX144" s="461"/>
      <c r="IY144" s="461"/>
      <c r="IZ144" s="461"/>
      <c r="JA144" s="609"/>
      <c r="JB144" s="607"/>
      <c r="JC144" s="607"/>
      <c r="JD144" s="607"/>
      <c r="JE144" s="463"/>
      <c r="JF144" s="454"/>
      <c r="JG144" s="607"/>
      <c r="JH144" s="607"/>
      <c r="JI144" s="607"/>
      <c r="JJ144" s="607"/>
      <c r="JK144" s="607"/>
      <c r="JL144" s="453"/>
      <c r="JM144" s="289"/>
      <c r="JN144" s="453"/>
      <c r="JO144" s="453"/>
      <c r="JP144" s="453"/>
      <c r="JQ144" s="453"/>
      <c r="JR144" s="453"/>
      <c r="JS144" s="461"/>
      <c r="JT144" s="461"/>
      <c r="JU144" s="461"/>
      <c r="JV144" s="609"/>
      <c r="JW144" s="607"/>
      <c r="JX144" s="607"/>
      <c r="JY144" s="607"/>
      <c r="JZ144" s="463"/>
      <c r="KA144" s="454"/>
      <c r="KB144" s="607"/>
      <c r="KC144" s="607"/>
      <c r="KD144" s="607"/>
      <c r="KE144" s="607"/>
      <c r="KF144" s="607"/>
      <c r="KG144" s="453"/>
      <c r="KH144" s="289"/>
      <c r="KI144" s="453"/>
      <c r="KJ144" s="453"/>
      <c r="KK144" s="453"/>
      <c r="KL144" s="453"/>
      <c r="KM144" s="453"/>
      <c r="KN144" s="461"/>
      <c r="KO144" s="461"/>
      <c r="KP144" s="461"/>
      <c r="KQ144" s="609"/>
      <c r="KR144" s="607"/>
      <c r="KS144" s="607"/>
      <c r="KT144" s="607"/>
      <c r="KU144" s="463"/>
      <c r="KV144" s="454"/>
      <c r="KW144" s="607"/>
      <c r="KX144" s="607"/>
      <c r="KY144" s="607"/>
      <c r="KZ144" s="607"/>
      <c r="LA144" s="607"/>
      <c r="LB144" s="453"/>
      <c r="LC144" s="289"/>
      <c r="LD144" s="453"/>
      <c r="LE144" s="453"/>
      <c r="LF144" s="453"/>
      <c r="LG144" s="453"/>
      <c r="LH144" s="453"/>
      <c r="LI144" s="461"/>
      <c r="LJ144" s="461"/>
      <c r="LK144" s="461"/>
      <c r="LL144" s="609"/>
      <c r="LM144" s="607"/>
      <c r="LN144" s="607"/>
      <c r="LO144" s="607"/>
      <c r="LP144" s="463"/>
      <c r="LQ144" s="454"/>
      <c r="LR144" s="607"/>
      <c r="LS144" s="607"/>
      <c r="LT144" s="607"/>
      <c r="LU144" s="607"/>
      <c r="LV144" s="607"/>
      <c r="LW144" s="453"/>
      <c r="LX144" s="289"/>
      <c r="LY144" s="453"/>
      <c r="LZ144" s="453"/>
      <c r="MA144" s="453"/>
      <c r="MB144" s="453"/>
      <c r="MC144" s="453"/>
      <c r="MD144" s="461"/>
      <c r="ME144" s="461"/>
      <c r="MF144" s="461"/>
      <c r="MG144" s="609"/>
      <c r="MH144" s="607"/>
      <c r="MI144" s="607"/>
      <c r="MJ144" s="607"/>
      <c r="MK144" s="463"/>
      <c r="ML144" s="454"/>
      <c r="MM144" s="607"/>
      <c r="MN144" s="607"/>
      <c r="MO144" s="607"/>
      <c r="MP144" s="607"/>
      <c r="MQ144" s="607"/>
      <c r="MR144" s="453"/>
      <c r="MS144" s="289"/>
      <c r="MT144" s="453"/>
      <c r="MU144" s="453"/>
      <c r="MV144" s="453"/>
      <c r="MW144" s="453"/>
      <c r="MX144" s="453"/>
      <c r="MY144" s="461"/>
      <c r="MZ144" s="461"/>
      <c r="NA144" s="461"/>
      <c r="NB144" s="609"/>
      <c r="NC144" s="607"/>
      <c r="ND144" s="607"/>
      <c r="NE144" s="607"/>
      <c r="NF144" s="463"/>
      <c r="NG144" s="454"/>
      <c r="NH144" s="607"/>
      <c r="NI144" s="607"/>
      <c r="NJ144" s="607"/>
      <c r="NK144" s="607"/>
      <c r="NL144" s="607"/>
      <c r="NM144" s="453"/>
      <c r="NN144" s="289"/>
      <c r="NO144" s="453"/>
      <c r="NP144" s="453"/>
      <c r="NQ144" s="453"/>
      <c r="NR144" s="453"/>
      <c r="NS144" s="453"/>
      <c r="NT144" s="461"/>
      <c r="NU144" s="461"/>
      <c r="NV144" s="461"/>
      <c r="NW144" s="609"/>
      <c r="NX144" s="607"/>
      <c r="NY144" s="607"/>
      <c r="NZ144" s="607"/>
      <c r="OA144" s="463"/>
      <c r="OB144" s="454"/>
      <c r="OC144" s="607"/>
      <c r="OD144" s="607"/>
      <c r="OE144" s="607"/>
      <c r="OF144" s="607"/>
      <c r="OG144" s="607"/>
      <c r="OH144" s="453"/>
      <c r="OI144" s="289"/>
      <c r="OJ144" s="453"/>
      <c r="OK144" s="453"/>
      <c r="OL144" s="453"/>
      <c r="OM144" s="453"/>
      <c r="ON144" s="453"/>
      <c r="OO144" s="461"/>
      <c r="OP144" s="461"/>
      <c r="OQ144" s="461"/>
      <c r="OR144" s="609"/>
      <c r="OS144" s="607"/>
      <c r="OT144" s="607"/>
      <c r="OU144" s="607"/>
      <c r="OV144" s="463"/>
      <c r="OW144" s="454"/>
      <c r="OX144" s="607"/>
      <c r="OY144" s="607"/>
      <c r="OZ144" s="607"/>
      <c r="PA144" s="607"/>
      <c r="PB144" s="607"/>
      <c r="PC144" s="453"/>
      <c r="PD144" s="289"/>
      <c r="PE144" s="453"/>
      <c r="PF144" s="453"/>
      <c r="PG144" s="453"/>
      <c r="PH144" s="453"/>
      <c r="PI144" s="453"/>
      <c r="PJ144" s="461"/>
      <c r="PK144" s="461"/>
      <c r="PL144" s="461"/>
      <c r="PM144" s="609"/>
      <c r="PN144" s="607"/>
      <c r="PO144" s="607"/>
      <c r="PP144" s="607"/>
      <c r="PQ144" s="463"/>
      <c r="PR144" s="454"/>
      <c r="PS144" s="607"/>
      <c r="PT144" s="607"/>
      <c r="PU144" s="607"/>
      <c r="PV144" s="607"/>
      <c r="PW144" s="607"/>
      <c r="PX144" s="453"/>
      <c r="PY144" s="289"/>
      <c r="PZ144" s="453"/>
      <c r="QA144" s="453"/>
      <c r="QB144" s="453"/>
      <c r="QC144" s="453"/>
      <c r="QD144" s="453"/>
      <c r="QE144" s="461"/>
      <c r="QF144" s="461"/>
      <c r="QG144" s="461"/>
      <c r="QH144" s="609"/>
      <c r="QI144" s="607"/>
      <c r="QJ144" s="607"/>
      <c r="QK144" s="607"/>
      <c r="QL144" s="463"/>
      <c r="QM144" s="454"/>
      <c r="QN144" s="607"/>
      <c r="QO144" s="607"/>
      <c r="QP144" s="607"/>
      <c r="QQ144" s="607"/>
      <c r="QR144" s="607"/>
      <c r="QS144" s="453"/>
      <c r="QT144" s="289"/>
      <c r="QU144" s="453"/>
      <c r="QV144" s="453"/>
      <c r="QW144" s="453"/>
      <c r="QX144" s="453"/>
      <c r="QY144" s="453"/>
      <c r="QZ144" s="461"/>
      <c r="RA144" s="461"/>
      <c r="RB144" s="461"/>
      <c r="RC144" s="609"/>
      <c r="RD144" s="607"/>
      <c r="RE144" s="607"/>
      <c r="RF144" s="607"/>
      <c r="RG144" s="463"/>
      <c r="RH144" s="454"/>
      <c r="RI144" s="607"/>
      <c r="RJ144" s="607"/>
      <c r="RK144" s="607"/>
      <c r="RL144" s="607"/>
      <c r="RM144" s="607"/>
      <c r="RN144" s="453"/>
      <c r="RO144" s="289"/>
      <c r="RP144" s="453"/>
      <c r="RQ144" s="453"/>
      <c r="RR144" s="453"/>
      <c r="RS144" s="453"/>
      <c r="RT144" s="453"/>
      <c r="RU144" s="461"/>
      <c r="RV144" s="461"/>
      <c r="RW144" s="461"/>
      <c r="RX144" s="609"/>
      <c r="RY144" s="607"/>
      <c r="RZ144" s="607"/>
      <c r="SA144" s="607"/>
      <c r="SB144" s="463"/>
      <c r="SC144" s="454"/>
      <c r="SD144" s="607"/>
      <c r="SE144" s="607"/>
      <c r="SF144" s="607"/>
      <c r="SG144" s="607"/>
      <c r="SH144" s="607"/>
      <c r="SI144" s="453"/>
      <c r="SJ144" s="289"/>
      <c r="SK144" s="453"/>
      <c r="SL144" s="453"/>
      <c r="SM144" s="453"/>
      <c r="SN144" s="453"/>
      <c r="SO144" s="453"/>
      <c r="SP144" s="461"/>
      <c r="SQ144" s="461"/>
      <c r="SR144" s="461"/>
      <c r="SS144" s="609"/>
      <c r="ST144" s="607"/>
      <c r="SU144" s="607"/>
      <c r="SV144" s="607"/>
      <c r="SW144" s="463"/>
      <c r="SX144" s="454"/>
      <c r="SY144" s="607"/>
      <c r="SZ144" s="607"/>
      <c r="TA144" s="607"/>
      <c r="TB144" s="607"/>
      <c r="TC144" s="607"/>
      <c r="TD144" s="453"/>
      <c r="TE144" s="289"/>
      <c r="TF144" s="453"/>
      <c r="TG144" s="453"/>
      <c r="TH144" s="453"/>
      <c r="TI144" s="453"/>
      <c r="TJ144" s="453"/>
      <c r="TK144" s="461"/>
      <c r="TL144" s="461"/>
      <c r="TM144" s="461"/>
      <c r="TN144" s="609"/>
      <c r="TO144" s="607"/>
      <c r="TP144" s="607"/>
      <c r="TQ144" s="607"/>
      <c r="TR144" s="463"/>
      <c r="TS144" s="454"/>
      <c r="TT144" s="607"/>
      <c r="TU144" s="607"/>
      <c r="TV144" s="607"/>
      <c r="TW144" s="607"/>
      <c r="TX144" s="607"/>
      <c r="TY144" s="453"/>
      <c r="TZ144" s="289"/>
      <c r="UA144" s="453"/>
      <c r="UB144" s="453"/>
      <c r="UC144" s="453"/>
      <c r="UD144" s="453"/>
      <c r="UE144" s="453"/>
      <c r="UF144" s="461"/>
      <c r="UG144" s="461"/>
      <c r="UH144" s="461"/>
      <c r="UI144" s="609"/>
      <c r="UJ144" s="607"/>
      <c r="UK144" s="607"/>
      <c r="UL144" s="607"/>
      <c r="UM144" s="463"/>
      <c r="UN144" s="454"/>
      <c r="UO144" s="607"/>
      <c r="UP144" s="607"/>
      <c r="UQ144" s="607"/>
      <c r="UR144" s="607"/>
      <c r="US144" s="607"/>
      <c r="UT144" s="453"/>
      <c r="UU144" s="289"/>
      <c r="UV144" s="453"/>
      <c r="UW144" s="453"/>
      <c r="UX144" s="453"/>
      <c r="UY144" s="453"/>
      <c r="UZ144" s="453"/>
      <c r="VA144" s="461"/>
      <c r="VB144" s="461"/>
      <c r="VC144" s="461"/>
      <c r="VD144" s="609"/>
      <c r="VE144" s="607"/>
      <c r="VF144" s="607"/>
      <c r="VG144" s="607"/>
      <c r="VH144" s="463"/>
      <c r="VI144" s="454"/>
      <c r="VJ144" s="607"/>
      <c r="VK144" s="607"/>
      <c r="VL144" s="607"/>
      <c r="VM144" s="607"/>
      <c r="VN144" s="607"/>
      <c r="VO144" s="453"/>
      <c r="VP144" s="289"/>
      <c r="VQ144" s="453"/>
      <c r="VR144" s="453"/>
      <c r="VS144" s="453"/>
      <c r="VT144" s="453"/>
      <c r="VU144" s="453"/>
      <c r="VV144" s="461"/>
      <c r="VW144" s="461"/>
      <c r="VX144" s="461"/>
      <c r="VY144" s="609"/>
      <c r="VZ144" s="607"/>
      <c r="WA144" s="607"/>
      <c r="WB144" s="607"/>
      <c r="WC144" s="463"/>
      <c r="WD144" s="454"/>
      <c r="WE144" s="607"/>
      <c r="WF144" s="607"/>
      <c r="WG144" s="607"/>
      <c r="WH144" s="607"/>
      <c r="WI144" s="607"/>
      <c r="WJ144" s="453"/>
      <c r="WK144" s="289"/>
      <c r="WL144" s="453"/>
      <c r="WM144" s="453"/>
      <c r="WN144" s="453"/>
      <c r="WO144" s="453"/>
      <c r="WP144" s="453"/>
      <c r="WQ144" s="461"/>
      <c r="WR144" s="461"/>
      <c r="WS144" s="461"/>
      <c r="WT144" s="609"/>
      <c r="WU144" s="607"/>
      <c r="WV144" s="607"/>
      <c r="WW144" s="607"/>
      <c r="WX144" s="463"/>
      <c r="WY144" s="454"/>
      <c r="WZ144" s="607"/>
      <c r="XA144" s="607"/>
      <c r="XB144" s="607"/>
      <c r="XC144" s="607"/>
      <c r="XD144" s="607"/>
      <c r="XE144" s="453"/>
      <c r="XF144" s="289"/>
      <c r="XG144" s="453"/>
      <c r="XH144" s="453"/>
      <c r="XI144" s="453"/>
      <c r="XJ144" s="453"/>
      <c r="XK144" s="453"/>
      <c r="XL144" s="461"/>
      <c r="XM144" s="461"/>
      <c r="XN144" s="461"/>
      <c r="XO144" s="609"/>
      <c r="XP144" s="607"/>
      <c r="XQ144" s="607"/>
      <c r="XR144" s="607"/>
      <c r="XS144" s="463"/>
      <c r="XT144" s="454"/>
      <c r="XU144" s="607"/>
      <c r="XV144" s="607"/>
      <c r="XW144" s="607"/>
      <c r="XX144" s="607"/>
      <c r="XY144" s="607"/>
      <c r="XZ144" s="453"/>
      <c r="YA144" s="289"/>
      <c r="YB144" s="453"/>
      <c r="YC144" s="453"/>
      <c r="YD144" s="453"/>
      <c r="YE144" s="453"/>
      <c r="YF144" s="453"/>
      <c r="YG144" s="461"/>
      <c r="YH144" s="461"/>
      <c r="YI144" s="461"/>
      <c r="YJ144" s="609"/>
      <c r="YK144" s="607"/>
      <c r="YL144" s="607"/>
      <c r="YM144" s="607"/>
      <c r="YN144" s="463"/>
      <c r="YO144" s="454"/>
      <c r="YP144" s="607"/>
      <c r="YQ144" s="607"/>
      <c r="YR144" s="607"/>
      <c r="YS144" s="607"/>
      <c r="YT144" s="607"/>
      <c r="YU144" s="453"/>
      <c r="YV144" s="289"/>
      <c r="YW144" s="453"/>
      <c r="YX144" s="453"/>
      <c r="YY144" s="453"/>
      <c r="YZ144" s="453"/>
      <c r="ZA144" s="453"/>
      <c r="ZB144" s="461"/>
      <c r="ZC144" s="461"/>
      <c r="ZD144" s="461"/>
      <c r="ZE144" s="609"/>
      <c r="ZF144" s="607"/>
      <c r="ZG144" s="607"/>
      <c r="ZH144" s="607"/>
      <c r="ZI144" s="463"/>
      <c r="ZJ144" s="454"/>
      <c r="ZK144" s="607"/>
      <c r="ZL144" s="607"/>
      <c r="ZM144" s="607"/>
      <c r="ZN144" s="607"/>
      <c r="ZO144" s="607"/>
      <c r="ZP144" s="453"/>
      <c r="ZQ144" s="289"/>
      <c r="ZR144" s="453"/>
      <c r="ZS144" s="453"/>
      <c r="ZT144" s="453"/>
      <c r="ZU144" s="453"/>
      <c r="ZV144" s="453"/>
      <c r="ZW144" s="461"/>
      <c r="ZX144" s="461"/>
      <c r="ZY144" s="461"/>
      <c r="ZZ144" s="609"/>
      <c r="AAA144" s="607"/>
      <c r="AAB144" s="607"/>
      <c r="AAC144" s="607"/>
      <c r="AAD144" s="463"/>
      <c r="AAE144" s="454"/>
      <c r="AAF144" s="607"/>
      <c r="AAG144" s="607"/>
      <c r="AAH144" s="607"/>
      <c r="AAI144" s="607"/>
      <c r="AAJ144" s="607"/>
      <c r="AAK144" s="453"/>
      <c r="AAL144" s="289"/>
      <c r="AAM144" s="453"/>
      <c r="AAN144" s="453"/>
      <c r="AAO144" s="453"/>
      <c r="AAP144" s="453"/>
      <c r="AAQ144" s="453"/>
      <c r="AAR144" s="461"/>
      <c r="AAS144" s="461"/>
      <c r="AAT144" s="461"/>
      <c r="AAU144" s="609"/>
      <c r="AAV144" s="607"/>
      <c r="AAW144" s="607"/>
      <c r="AAX144" s="607"/>
      <c r="AAY144" s="463"/>
      <c r="AAZ144" s="454"/>
      <c r="ABA144" s="607"/>
      <c r="ABB144" s="607"/>
      <c r="ABC144" s="607"/>
      <c r="ABD144" s="607"/>
      <c r="ABE144" s="607"/>
      <c r="ABF144" s="453"/>
      <c r="ABG144" s="289"/>
      <c r="ABH144" s="453"/>
      <c r="ABI144" s="453"/>
      <c r="ABJ144" s="453"/>
      <c r="ABK144" s="453"/>
      <c r="ABL144" s="453"/>
      <c r="ABM144" s="461"/>
      <c r="ABN144" s="461"/>
      <c r="ABO144" s="461"/>
      <c r="ABP144" s="609"/>
      <c r="ABQ144" s="607"/>
      <c r="ABR144" s="607"/>
      <c r="ABS144" s="607"/>
      <c r="ABT144" s="463"/>
      <c r="ABU144" s="454"/>
      <c r="ABV144" s="607"/>
      <c r="ABW144" s="607"/>
      <c r="ABX144" s="607"/>
      <c r="ABY144" s="607"/>
      <c r="ABZ144" s="607"/>
      <c r="ACA144" s="453"/>
      <c r="ACB144" s="289"/>
      <c r="ACC144" s="453"/>
      <c r="ACD144" s="453"/>
      <c r="ACE144" s="453"/>
      <c r="ACF144" s="453"/>
      <c r="ACG144" s="453"/>
      <c r="ACH144" s="461"/>
      <c r="ACI144" s="461"/>
      <c r="ACJ144" s="461"/>
      <c r="ACK144" s="609"/>
      <c r="ACL144" s="607"/>
      <c r="ACM144" s="607"/>
      <c r="ACN144" s="607"/>
      <c r="ACO144" s="463"/>
      <c r="ACP144" s="454"/>
      <c r="ACQ144" s="607"/>
      <c r="ACR144" s="607"/>
      <c r="ACS144" s="607"/>
      <c r="ACT144" s="607"/>
      <c r="ACU144" s="607"/>
      <c r="ACV144" s="453"/>
      <c r="ACW144" s="289"/>
      <c r="ACX144" s="453"/>
      <c r="ACY144" s="453"/>
      <c r="ACZ144" s="453"/>
      <c r="ADA144" s="453"/>
      <c r="ADB144" s="453"/>
      <c r="ADC144" s="461"/>
      <c r="ADD144" s="461"/>
      <c r="ADE144" s="461"/>
      <c r="ADF144" s="609"/>
      <c r="ADG144" s="607"/>
      <c r="ADH144" s="607"/>
      <c r="ADI144" s="607"/>
      <c r="ADJ144" s="463"/>
      <c r="ADK144" s="454"/>
      <c r="ADL144" s="607"/>
      <c r="ADM144" s="607"/>
      <c r="ADN144" s="607"/>
      <c r="ADO144" s="607"/>
      <c r="ADP144" s="607"/>
      <c r="ADQ144" s="453"/>
      <c r="ADR144" s="289"/>
      <c r="ADS144" s="453"/>
      <c r="ADT144" s="453"/>
      <c r="ADU144" s="453"/>
      <c r="ADV144" s="453"/>
      <c r="ADW144" s="453"/>
      <c r="ADX144" s="461"/>
      <c r="ADY144" s="461"/>
      <c r="ADZ144" s="461"/>
      <c r="AEA144" s="609"/>
      <c r="AEB144" s="607"/>
      <c r="AEC144" s="607"/>
      <c r="AED144" s="607"/>
      <c r="AEE144" s="463"/>
      <c r="AEF144" s="454"/>
      <c r="AEG144" s="607"/>
      <c r="AEH144" s="607"/>
      <c r="AEI144" s="607"/>
      <c r="AEJ144" s="607"/>
      <c r="AEK144" s="607"/>
      <c r="AEL144" s="453"/>
      <c r="AEM144" s="289"/>
      <c r="AEN144" s="453"/>
      <c r="AEO144" s="453"/>
      <c r="AEP144" s="453"/>
      <c r="AEQ144" s="453"/>
      <c r="AER144" s="453"/>
      <c r="AES144" s="461"/>
      <c r="AET144" s="461"/>
      <c r="AEU144" s="461"/>
      <c r="AEV144" s="609"/>
      <c r="AEW144" s="607"/>
      <c r="AEX144" s="607"/>
      <c r="AEY144" s="607"/>
      <c r="AEZ144" s="463"/>
      <c r="AFA144" s="454"/>
      <c r="AFB144" s="607"/>
      <c r="AFC144" s="607"/>
      <c r="AFD144" s="607"/>
      <c r="AFE144" s="607"/>
      <c r="AFF144" s="607"/>
      <c r="AFG144" s="453"/>
      <c r="AFH144" s="289"/>
      <c r="AFI144" s="453"/>
      <c r="AFJ144" s="453"/>
      <c r="AFK144" s="453"/>
      <c r="AFL144" s="453"/>
      <c r="AFM144" s="453"/>
      <c r="AFN144" s="461"/>
      <c r="AFO144" s="461"/>
      <c r="AFP144" s="461"/>
      <c r="AFQ144" s="609"/>
      <c r="AFR144" s="607"/>
      <c r="AFS144" s="607"/>
      <c r="AFT144" s="607"/>
      <c r="AFU144" s="463"/>
      <c r="AFV144" s="454"/>
      <c r="AFW144" s="607"/>
      <c r="AFX144" s="607"/>
      <c r="AFY144" s="607"/>
      <c r="AFZ144" s="607"/>
      <c r="AGA144" s="607"/>
      <c r="AGB144" s="453"/>
      <c r="AGC144" s="289"/>
      <c r="AGD144" s="453"/>
      <c r="AGE144" s="453"/>
      <c r="AGF144" s="453"/>
      <c r="AGG144" s="453"/>
      <c r="AGH144" s="453"/>
      <c r="AGI144" s="461"/>
      <c r="AGJ144" s="461"/>
      <c r="AGK144" s="461"/>
      <c r="AGL144" s="609"/>
      <c r="AGM144" s="607"/>
      <c r="AGN144" s="607"/>
      <c r="AGO144" s="607"/>
      <c r="AGP144" s="463"/>
      <c r="AGQ144" s="454"/>
      <c r="AGR144" s="607"/>
      <c r="AGS144" s="607"/>
      <c r="AGT144" s="607"/>
      <c r="AGU144" s="607"/>
      <c r="AGV144" s="607"/>
      <c r="AGW144" s="453"/>
      <c r="AGX144" s="289"/>
      <c r="AGY144" s="453"/>
      <c r="AGZ144" s="453"/>
      <c r="AHA144" s="453"/>
      <c r="AHB144" s="453"/>
      <c r="AHC144" s="453"/>
      <c r="AHD144" s="461"/>
      <c r="AHE144" s="461"/>
      <c r="AHF144" s="461"/>
      <c r="AHG144" s="609"/>
      <c r="AHH144" s="607"/>
      <c r="AHI144" s="607"/>
      <c r="AHJ144" s="607"/>
      <c r="AHK144" s="463"/>
      <c r="AHL144" s="454"/>
      <c r="AHM144" s="607"/>
      <c r="AHN144" s="607"/>
      <c r="AHO144" s="607"/>
      <c r="AHP144" s="607"/>
      <c r="AHQ144" s="607"/>
      <c r="AHR144" s="453"/>
      <c r="AHS144" s="289"/>
      <c r="AHT144" s="453"/>
      <c r="AHU144" s="453"/>
      <c r="AHV144" s="453"/>
      <c r="AHW144" s="453"/>
      <c r="AHX144" s="453"/>
      <c r="AHY144" s="461"/>
      <c r="AHZ144" s="461"/>
      <c r="AIA144" s="461"/>
      <c r="AIB144" s="609"/>
      <c r="AIC144" s="607"/>
      <c r="AID144" s="607"/>
      <c r="AIE144" s="607"/>
      <c r="AIF144" s="463"/>
      <c r="AIG144" s="454"/>
      <c r="AIH144" s="607"/>
      <c r="AII144" s="607"/>
      <c r="AIJ144" s="607"/>
      <c r="AIK144" s="607"/>
      <c r="AIL144" s="607"/>
      <c r="AIM144" s="453"/>
      <c r="AIN144" s="289"/>
      <c r="AIO144" s="453"/>
      <c r="AIP144" s="453"/>
      <c r="AIQ144" s="453"/>
      <c r="AIR144" s="453"/>
      <c r="AIS144" s="453"/>
      <c r="AIT144" s="461"/>
      <c r="AIU144" s="461"/>
      <c r="AIV144" s="461"/>
      <c r="AIW144" s="609"/>
      <c r="AIX144" s="607"/>
      <c r="AIY144" s="607"/>
      <c r="AIZ144" s="607"/>
      <c r="AJA144" s="463"/>
      <c r="AJB144" s="454"/>
      <c r="AJC144" s="607"/>
      <c r="AJD144" s="607"/>
      <c r="AJE144" s="607"/>
      <c r="AJF144" s="607"/>
      <c r="AJG144" s="607"/>
      <c r="AJH144" s="453"/>
      <c r="AJI144" s="289"/>
      <c r="AJJ144" s="453"/>
      <c r="AJK144" s="453"/>
      <c r="AJL144" s="453"/>
      <c r="AJM144" s="453"/>
      <c r="AJN144" s="453"/>
      <c r="AJO144" s="461"/>
      <c r="AJP144" s="461"/>
      <c r="AJQ144" s="461"/>
      <c r="AJR144" s="609"/>
      <c r="AJS144" s="607"/>
      <c r="AJT144" s="607"/>
      <c r="AJU144" s="607"/>
      <c r="AJV144" s="463"/>
      <c r="AJW144" s="454"/>
      <c r="AJX144" s="607"/>
      <c r="AJY144" s="607"/>
      <c r="AJZ144" s="607"/>
      <c r="AKA144" s="607"/>
      <c r="AKB144" s="607"/>
      <c r="AKC144" s="453"/>
      <c r="AKD144" s="289"/>
      <c r="AKE144" s="453"/>
      <c r="AKF144" s="453"/>
      <c r="AKG144" s="453"/>
      <c r="AKH144" s="453"/>
      <c r="AKI144" s="453"/>
      <c r="AKJ144" s="461"/>
      <c r="AKK144" s="461"/>
      <c r="AKL144" s="461"/>
      <c r="AKM144" s="609"/>
      <c r="AKN144" s="607"/>
      <c r="AKO144" s="607"/>
      <c r="AKP144" s="607"/>
      <c r="AKQ144" s="463"/>
      <c r="AKR144" s="454"/>
      <c r="AKS144" s="607"/>
      <c r="AKT144" s="607"/>
      <c r="AKU144" s="607"/>
      <c r="AKV144" s="607"/>
      <c r="AKW144" s="607"/>
      <c r="AKX144" s="453"/>
      <c r="AKY144" s="289"/>
      <c r="AKZ144" s="453"/>
      <c r="ALA144" s="453"/>
      <c r="ALB144" s="453"/>
      <c r="ALC144" s="453"/>
      <c r="ALD144" s="453"/>
      <c r="ALE144" s="461"/>
      <c r="ALF144" s="461"/>
      <c r="ALG144" s="461"/>
      <c r="ALH144" s="609"/>
      <c r="ALI144" s="607"/>
      <c r="ALJ144" s="607"/>
      <c r="ALK144" s="607"/>
      <c r="ALL144" s="463"/>
      <c r="ALM144" s="454"/>
      <c r="ALN144" s="607"/>
      <c r="ALO144" s="607"/>
      <c r="ALP144" s="607"/>
      <c r="ALQ144" s="607"/>
      <c r="ALR144" s="607"/>
      <c r="ALS144" s="453"/>
      <c r="ALT144" s="289"/>
      <c r="ALU144" s="453"/>
      <c r="ALV144" s="453"/>
      <c r="ALW144" s="453"/>
      <c r="ALX144" s="453"/>
      <c r="ALY144" s="453"/>
      <c r="ALZ144" s="461"/>
      <c r="AMA144" s="461"/>
      <c r="AMB144" s="461"/>
      <c r="AMC144" s="609"/>
      <c r="AMD144" s="607"/>
      <c r="AME144" s="607"/>
      <c r="AMF144" s="607"/>
      <c r="AMG144" s="463"/>
      <c r="AMH144" s="454"/>
      <c r="AMI144" s="607"/>
      <c r="AMJ144" s="607"/>
      <c r="AMK144" s="607"/>
      <c r="AML144" s="607"/>
      <c r="AMM144" s="607"/>
      <c r="AMN144" s="453"/>
      <c r="AMO144" s="289"/>
      <c r="AMP144" s="453"/>
      <c r="AMQ144" s="453"/>
      <c r="AMR144" s="453"/>
      <c r="AMS144" s="453"/>
      <c r="AMT144" s="453"/>
      <c r="AMU144" s="461"/>
      <c r="AMV144" s="461"/>
      <c r="AMW144" s="461"/>
      <c r="AMX144" s="609"/>
      <c r="AMY144" s="607"/>
      <c r="AMZ144" s="607"/>
      <c r="ANA144" s="607"/>
      <c r="ANB144" s="463"/>
      <c r="ANC144" s="454"/>
      <c r="AND144" s="607"/>
      <c r="ANE144" s="607"/>
      <c r="ANF144" s="607"/>
      <c r="ANG144" s="607"/>
      <c r="ANH144" s="607"/>
      <c r="ANI144" s="453"/>
      <c r="ANJ144" s="289"/>
      <c r="ANK144" s="453"/>
      <c r="ANL144" s="453"/>
      <c r="ANM144" s="453"/>
      <c r="ANN144" s="453"/>
      <c r="ANO144" s="453"/>
      <c r="ANP144" s="461"/>
      <c r="ANQ144" s="461"/>
      <c r="ANR144" s="461"/>
      <c r="ANS144" s="609"/>
      <c r="ANT144" s="607"/>
      <c r="ANU144" s="607"/>
      <c r="ANV144" s="607"/>
      <c r="ANW144" s="463"/>
      <c r="ANX144" s="454"/>
      <c r="ANY144" s="607"/>
      <c r="ANZ144" s="607"/>
      <c r="AOA144" s="607"/>
      <c r="AOB144" s="607"/>
      <c r="AOC144" s="607"/>
      <c r="AOD144" s="453"/>
      <c r="AOE144" s="289"/>
      <c r="AOF144" s="453"/>
      <c r="AOG144" s="453"/>
      <c r="AOH144" s="453"/>
      <c r="AOI144" s="453"/>
      <c r="AOJ144" s="453"/>
      <c r="AOK144" s="461"/>
      <c r="AOL144" s="461"/>
      <c r="AOM144" s="461"/>
      <c r="AON144" s="609"/>
      <c r="AOO144" s="607"/>
      <c r="AOP144" s="607"/>
      <c r="AOQ144" s="607"/>
      <c r="AOR144" s="463"/>
      <c r="AOS144" s="454"/>
      <c r="AOT144" s="607"/>
      <c r="AOU144" s="607"/>
      <c r="AOV144" s="607"/>
      <c r="AOW144" s="607"/>
      <c r="AOX144" s="607"/>
      <c r="AOY144" s="453"/>
      <c r="AOZ144" s="289"/>
      <c r="APA144" s="453"/>
      <c r="APB144" s="453"/>
      <c r="APC144" s="453"/>
      <c r="APD144" s="453"/>
      <c r="APE144" s="453"/>
      <c r="APF144" s="461"/>
      <c r="APG144" s="461"/>
      <c r="APH144" s="461"/>
      <c r="API144" s="609"/>
      <c r="APJ144" s="607"/>
      <c r="APK144" s="607"/>
      <c r="APL144" s="607"/>
      <c r="APM144" s="463"/>
      <c r="APN144" s="454"/>
      <c r="APO144" s="607"/>
      <c r="APP144" s="607"/>
      <c r="APQ144" s="607"/>
      <c r="APR144" s="607"/>
      <c r="APS144" s="607"/>
      <c r="APT144" s="453"/>
      <c r="APU144" s="289"/>
      <c r="APV144" s="453"/>
      <c r="APW144" s="453"/>
      <c r="APX144" s="453"/>
      <c r="APY144" s="453"/>
      <c r="APZ144" s="453"/>
      <c r="AQA144" s="461"/>
      <c r="AQB144" s="461"/>
      <c r="AQC144" s="461"/>
      <c r="AQD144" s="609"/>
      <c r="AQE144" s="607"/>
      <c r="AQF144" s="607"/>
      <c r="AQG144" s="607"/>
      <c r="AQH144" s="463"/>
      <c r="AQI144" s="454"/>
      <c r="AQJ144" s="607"/>
      <c r="AQK144" s="607"/>
      <c r="AQL144" s="607"/>
      <c r="AQM144" s="607"/>
      <c r="AQN144" s="607"/>
      <c r="AQO144" s="453"/>
      <c r="AQP144" s="289"/>
      <c r="AQQ144" s="453"/>
      <c r="AQR144" s="453"/>
      <c r="AQS144" s="453"/>
      <c r="AQT144" s="453"/>
      <c r="AQU144" s="453"/>
      <c r="AQV144" s="461"/>
      <c r="AQW144" s="461"/>
      <c r="AQX144" s="461"/>
      <c r="AQY144" s="609"/>
      <c r="AQZ144" s="607"/>
      <c r="ARA144" s="607"/>
      <c r="ARB144" s="607"/>
      <c r="ARC144" s="463"/>
      <c r="ARD144" s="454"/>
      <c r="ARE144" s="607"/>
      <c r="ARF144" s="607"/>
      <c r="ARG144" s="607"/>
      <c r="ARH144" s="607"/>
      <c r="ARI144" s="607"/>
      <c r="ARJ144" s="453"/>
      <c r="ARK144" s="289"/>
      <c r="ARL144" s="453"/>
      <c r="ARM144" s="453"/>
      <c r="ARN144" s="453"/>
      <c r="ARO144" s="453"/>
      <c r="ARP144" s="453"/>
      <c r="ARQ144" s="461"/>
      <c r="ARR144" s="461"/>
      <c r="ARS144" s="461"/>
      <c r="ART144" s="609"/>
      <c r="ARU144" s="607"/>
      <c r="ARV144" s="607"/>
      <c r="ARW144" s="607"/>
      <c r="ARX144" s="463"/>
      <c r="ARY144" s="454"/>
      <c r="ARZ144" s="607"/>
      <c r="ASA144" s="607"/>
      <c r="ASB144" s="607"/>
      <c r="ASC144" s="607"/>
      <c r="ASD144" s="607"/>
      <c r="ASE144" s="453"/>
      <c r="ASF144" s="289"/>
      <c r="ASG144" s="453"/>
      <c r="ASH144" s="453"/>
      <c r="ASI144" s="453"/>
      <c r="ASJ144" s="453"/>
      <c r="ASK144" s="453"/>
      <c r="ASL144" s="461"/>
      <c r="ASM144" s="461"/>
      <c r="ASN144" s="461"/>
      <c r="ASO144" s="609"/>
      <c r="ASP144" s="607"/>
      <c r="ASQ144" s="607"/>
      <c r="ASR144" s="607"/>
      <c r="ASS144" s="463"/>
      <c r="AST144" s="454"/>
      <c r="ASU144" s="607"/>
      <c r="ASV144" s="607"/>
      <c r="ASW144" s="607"/>
      <c r="ASX144" s="607"/>
      <c r="ASY144" s="607"/>
      <c r="ASZ144" s="453"/>
      <c r="ATA144" s="289"/>
      <c r="ATB144" s="453"/>
      <c r="ATC144" s="453"/>
      <c r="ATD144" s="453"/>
      <c r="ATE144" s="453"/>
      <c r="ATF144" s="453"/>
      <c r="ATG144" s="461"/>
      <c r="ATH144" s="461"/>
      <c r="ATI144" s="461"/>
      <c r="ATJ144" s="609"/>
      <c r="ATK144" s="607"/>
      <c r="ATL144" s="607"/>
      <c r="ATM144" s="607"/>
      <c r="ATN144" s="463"/>
      <c r="ATO144" s="454"/>
      <c r="ATP144" s="607"/>
      <c r="ATQ144" s="607"/>
      <c r="ATR144" s="607"/>
      <c r="ATS144" s="607"/>
      <c r="ATT144" s="607"/>
      <c r="ATU144" s="453"/>
      <c r="ATV144" s="289"/>
      <c r="ATW144" s="453"/>
      <c r="ATX144" s="453"/>
      <c r="ATY144" s="453"/>
      <c r="ATZ144" s="453"/>
      <c r="AUA144" s="453"/>
      <c r="AUB144" s="461"/>
      <c r="AUC144" s="461"/>
      <c r="AUD144" s="461"/>
      <c r="AUE144" s="609"/>
      <c r="AUF144" s="607"/>
      <c r="AUG144" s="607"/>
      <c r="AUH144" s="607"/>
      <c r="AUI144" s="463"/>
      <c r="AUJ144" s="454"/>
      <c r="AUK144" s="607"/>
      <c r="AUL144" s="607"/>
      <c r="AUM144" s="607"/>
      <c r="AUN144" s="607"/>
      <c r="AUO144" s="607"/>
      <c r="AUP144" s="453"/>
      <c r="AUQ144" s="289"/>
      <c r="AUR144" s="453"/>
      <c r="AUS144" s="453"/>
      <c r="AUT144" s="453"/>
      <c r="AUU144" s="453"/>
      <c r="AUV144" s="453"/>
      <c r="AUW144" s="461"/>
      <c r="AUX144" s="461"/>
      <c r="AUY144" s="461"/>
      <c r="AUZ144" s="609"/>
      <c r="AVA144" s="607"/>
      <c r="AVB144" s="607"/>
      <c r="AVC144" s="607"/>
      <c r="AVD144" s="463"/>
      <c r="AVE144" s="454"/>
      <c r="AVF144" s="607"/>
      <c r="AVG144" s="607"/>
      <c r="AVH144" s="607"/>
      <c r="AVI144" s="607"/>
      <c r="AVJ144" s="607"/>
      <c r="AVK144" s="453"/>
      <c r="AVL144" s="289"/>
      <c r="AVM144" s="453"/>
      <c r="AVN144" s="453"/>
      <c r="AVO144" s="453"/>
      <c r="AVP144" s="453"/>
      <c r="AVQ144" s="453"/>
      <c r="AVR144" s="461"/>
      <c r="AVS144" s="461"/>
      <c r="AVT144" s="461"/>
      <c r="AVU144" s="609"/>
      <c r="AVV144" s="607"/>
      <c r="AVW144" s="607"/>
      <c r="AVX144" s="607"/>
      <c r="AVY144" s="463"/>
      <c r="AVZ144" s="454"/>
      <c r="AWA144" s="607"/>
      <c r="AWB144" s="607"/>
      <c r="AWC144" s="607"/>
      <c r="AWD144" s="607"/>
      <c r="AWE144" s="607"/>
      <c r="AWF144" s="453"/>
      <c r="AWG144" s="289"/>
      <c r="AWH144" s="453"/>
      <c r="AWI144" s="453"/>
      <c r="AWJ144" s="453"/>
      <c r="AWK144" s="453"/>
      <c r="AWL144" s="453"/>
      <c r="AWM144" s="461"/>
      <c r="AWN144" s="461"/>
      <c r="AWO144" s="461"/>
      <c r="AWP144" s="609"/>
      <c r="AWQ144" s="607"/>
      <c r="AWR144" s="607"/>
      <c r="AWS144" s="607"/>
      <c r="AWT144" s="463"/>
      <c r="AWU144" s="454"/>
      <c r="AWV144" s="607"/>
      <c r="AWW144" s="607"/>
      <c r="AWX144" s="607"/>
      <c r="AWY144" s="607"/>
      <c r="AWZ144" s="607"/>
      <c r="AXA144" s="453"/>
      <c r="AXB144" s="289"/>
      <c r="AXC144" s="453"/>
      <c r="AXD144" s="453"/>
      <c r="AXE144" s="453"/>
      <c r="AXF144" s="453"/>
      <c r="AXG144" s="453"/>
      <c r="AXH144" s="461"/>
      <c r="AXI144" s="461"/>
      <c r="AXJ144" s="461"/>
      <c r="AXK144" s="609"/>
      <c r="AXL144" s="607"/>
      <c r="AXM144" s="607"/>
      <c r="AXN144" s="607"/>
      <c r="AXO144" s="463"/>
      <c r="AXP144" s="454"/>
      <c r="AXQ144" s="607"/>
      <c r="AXR144" s="607"/>
      <c r="AXS144" s="607"/>
      <c r="AXT144" s="607"/>
      <c r="AXU144" s="607"/>
      <c r="AXV144" s="453"/>
      <c r="AXW144" s="289"/>
      <c r="AXX144" s="453"/>
      <c r="AXY144" s="453"/>
      <c r="AXZ144" s="453"/>
      <c r="AYA144" s="453"/>
      <c r="AYB144" s="453"/>
      <c r="AYC144" s="461"/>
      <c r="AYD144" s="461"/>
      <c r="AYE144" s="461"/>
      <c r="AYF144" s="609"/>
      <c r="AYG144" s="607"/>
      <c r="AYH144" s="607"/>
      <c r="AYI144" s="607"/>
      <c r="AYJ144" s="463"/>
      <c r="AYK144" s="454"/>
      <c r="AYL144" s="607"/>
      <c r="AYM144" s="607"/>
      <c r="AYN144" s="607"/>
      <c r="AYO144" s="607"/>
      <c r="AYP144" s="607"/>
      <c r="AYQ144" s="453"/>
      <c r="AYR144" s="289"/>
      <c r="AYS144" s="453"/>
      <c r="AYT144" s="453"/>
      <c r="AYU144" s="453"/>
      <c r="AYV144" s="453"/>
      <c r="AYW144" s="453"/>
      <c r="AYX144" s="461"/>
      <c r="AYY144" s="461"/>
      <c r="AYZ144" s="461"/>
      <c r="AZA144" s="609"/>
      <c r="AZB144" s="607"/>
      <c r="AZC144" s="607"/>
      <c r="AZD144" s="607"/>
      <c r="AZE144" s="463"/>
      <c r="AZF144" s="454"/>
      <c r="AZG144" s="607"/>
      <c r="AZH144" s="607"/>
      <c r="AZI144" s="607"/>
      <c r="AZJ144" s="607"/>
      <c r="AZK144" s="607"/>
      <c r="AZL144" s="453"/>
      <c r="AZM144" s="289"/>
      <c r="AZN144" s="453"/>
      <c r="AZO144" s="453"/>
      <c r="AZP144" s="453"/>
      <c r="AZQ144" s="453"/>
      <c r="AZR144" s="453"/>
      <c r="AZS144" s="461"/>
      <c r="AZT144" s="461"/>
      <c r="AZU144" s="461"/>
      <c r="AZV144" s="609"/>
      <c r="AZW144" s="607"/>
      <c r="AZX144" s="607"/>
      <c r="AZY144" s="607"/>
      <c r="AZZ144" s="463"/>
      <c r="BAA144" s="454"/>
      <c r="BAB144" s="607"/>
      <c r="BAC144" s="607"/>
      <c r="BAD144" s="607"/>
      <c r="BAE144" s="607"/>
      <c r="BAF144" s="607"/>
      <c r="BAG144" s="453"/>
      <c r="BAH144" s="289"/>
      <c r="BAI144" s="453"/>
      <c r="BAJ144" s="453"/>
      <c r="BAK144" s="453"/>
      <c r="BAL144" s="453"/>
      <c r="BAM144" s="453"/>
      <c r="BAN144" s="461"/>
      <c r="BAO144" s="461"/>
      <c r="BAP144" s="461"/>
      <c r="BAQ144" s="609"/>
      <c r="BAR144" s="607"/>
      <c r="BAS144" s="607"/>
      <c r="BAT144" s="607"/>
      <c r="BAU144" s="463"/>
      <c r="BAV144" s="454"/>
      <c r="BAW144" s="607"/>
      <c r="BAX144" s="607"/>
      <c r="BAY144" s="607"/>
      <c r="BAZ144" s="607"/>
      <c r="BBA144" s="607"/>
      <c r="BBB144" s="453"/>
      <c r="BBC144" s="289"/>
      <c r="BBD144" s="453"/>
      <c r="BBE144" s="453"/>
      <c r="BBF144" s="453"/>
      <c r="BBG144" s="453"/>
      <c r="BBH144" s="453"/>
      <c r="BBI144" s="461"/>
      <c r="BBJ144" s="461"/>
      <c r="BBK144" s="461"/>
      <c r="BBL144" s="609"/>
      <c r="BBM144" s="607"/>
      <c r="BBN144" s="607"/>
      <c r="BBO144" s="607"/>
      <c r="BBP144" s="463"/>
      <c r="BBQ144" s="454"/>
      <c r="BBR144" s="607"/>
      <c r="BBS144" s="607"/>
      <c r="BBT144" s="607"/>
      <c r="BBU144" s="607"/>
      <c r="BBV144" s="607"/>
      <c r="BBW144" s="453"/>
      <c r="BBX144" s="289"/>
      <c r="BBY144" s="453"/>
      <c r="BBZ144" s="453"/>
      <c r="BCA144" s="453"/>
      <c r="BCB144" s="453"/>
      <c r="BCC144" s="453"/>
      <c r="BCD144" s="461"/>
      <c r="BCE144" s="461"/>
      <c r="BCF144" s="461"/>
      <c r="BCG144" s="609"/>
      <c r="BCH144" s="607"/>
      <c r="BCI144" s="607"/>
      <c r="BCJ144" s="607"/>
      <c r="BCK144" s="463"/>
      <c r="BCL144" s="454"/>
      <c r="BCM144" s="607"/>
      <c r="BCN144" s="607"/>
      <c r="BCO144" s="607"/>
      <c r="BCP144" s="607"/>
      <c r="BCQ144" s="607"/>
      <c r="BCR144" s="453"/>
      <c r="BCS144" s="289"/>
      <c r="BCT144" s="453"/>
      <c r="BCU144" s="453"/>
      <c r="BCV144" s="453"/>
      <c r="BCW144" s="453"/>
      <c r="BCX144" s="453"/>
      <c r="BCY144" s="461"/>
      <c r="BCZ144" s="461"/>
      <c r="BDA144" s="461"/>
      <c r="BDB144" s="609"/>
      <c r="BDC144" s="607"/>
      <c r="BDD144" s="607"/>
      <c r="BDE144" s="607"/>
      <c r="BDF144" s="463"/>
      <c r="BDG144" s="454"/>
      <c r="BDH144" s="607"/>
      <c r="BDI144" s="607"/>
      <c r="BDJ144" s="607"/>
      <c r="BDK144" s="607"/>
      <c r="BDL144" s="607"/>
      <c r="BDM144" s="453"/>
      <c r="BDN144" s="289"/>
      <c r="BDO144" s="453"/>
      <c r="BDP144" s="453"/>
      <c r="BDQ144" s="453"/>
      <c r="BDR144" s="453"/>
      <c r="BDS144" s="453"/>
      <c r="BDT144" s="461"/>
      <c r="BDU144" s="461"/>
      <c r="BDV144" s="461"/>
      <c r="BDW144" s="609"/>
      <c r="BDX144" s="607"/>
      <c r="BDY144" s="607"/>
      <c r="BDZ144" s="607"/>
      <c r="BEA144" s="463"/>
      <c r="BEB144" s="454"/>
      <c r="BEC144" s="607"/>
      <c r="BED144" s="607"/>
      <c r="BEE144" s="607"/>
      <c r="BEF144" s="607"/>
      <c r="BEG144" s="607"/>
      <c r="BEH144" s="453"/>
      <c r="BEI144" s="289"/>
      <c r="BEJ144" s="453"/>
      <c r="BEK144" s="453"/>
      <c r="BEL144" s="453"/>
      <c r="BEM144" s="453"/>
      <c r="BEN144" s="453"/>
      <c r="BEO144" s="461"/>
      <c r="BEP144" s="461"/>
      <c r="BEQ144" s="461"/>
      <c r="BER144" s="609"/>
      <c r="BES144" s="607"/>
      <c r="BET144" s="607"/>
      <c r="BEU144" s="607"/>
      <c r="BEV144" s="463"/>
      <c r="BEW144" s="454"/>
      <c r="BEX144" s="607"/>
      <c r="BEY144" s="607"/>
      <c r="BEZ144" s="607"/>
      <c r="BFA144" s="607"/>
      <c r="BFB144" s="607"/>
      <c r="BFC144" s="453"/>
      <c r="BFD144" s="289"/>
      <c r="BFE144" s="453"/>
      <c r="BFF144" s="453"/>
      <c r="BFG144" s="453"/>
      <c r="BFH144" s="453"/>
      <c r="BFI144" s="453"/>
      <c r="BFJ144" s="461"/>
      <c r="BFK144" s="461"/>
      <c r="BFL144" s="461"/>
      <c r="BFM144" s="609"/>
      <c r="BFN144" s="607"/>
      <c r="BFO144" s="607"/>
      <c r="BFP144" s="607"/>
      <c r="BFQ144" s="463"/>
      <c r="BFR144" s="454"/>
      <c r="BFS144" s="607"/>
      <c r="BFT144" s="607"/>
      <c r="BFU144" s="607"/>
      <c r="BFV144" s="607"/>
      <c r="BFW144" s="607"/>
      <c r="BFX144" s="453"/>
      <c r="BFY144" s="289"/>
      <c r="BFZ144" s="453"/>
      <c r="BGA144" s="453"/>
      <c r="BGB144" s="453"/>
      <c r="BGC144" s="453"/>
      <c r="BGD144" s="453"/>
      <c r="BGE144" s="461"/>
      <c r="BGF144" s="461"/>
      <c r="BGG144" s="461"/>
      <c r="BGH144" s="609"/>
      <c r="BGI144" s="607"/>
      <c r="BGJ144" s="607"/>
      <c r="BGK144" s="607"/>
      <c r="BGL144" s="463"/>
      <c r="BGM144" s="454"/>
      <c r="BGN144" s="607"/>
      <c r="BGO144" s="607"/>
      <c r="BGP144" s="607"/>
      <c r="BGQ144" s="607"/>
      <c r="BGR144" s="607"/>
      <c r="BGS144" s="453"/>
      <c r="BGT144" s="289"/>
      <c r="BGU144" s="453"/>
      <c r="BGV144" s="453"/>
      <c r="BGW144" s="453"/>
      <c r="BGX144" s="453"/>
      <c r="BGY144" s="453"/>
      <c r="BGZ144" s="461"/>
      <c r="BHA144" s="461"/>
      <c r="BHB144" s="461"/>
      <c r="BHC144" s="609"/>
      <c r="BHD144" s="607"/>
      <c r="BHE144" s="607"/>
      <c r="BHF144" s="607"/>
      <c r="BHG144" s="463"/>
      <c r="BHH144" s="454"/>
      <c r="BHI144" s="607"/>
      <c r="BHJ144" s="607"/>
      <c r="BHK144" s="607"/>
      <c r="BHL144" s="607"/>
      <c r="BHM144" s="607"/>
      <c r="BHN144" s="453"/>
      <c r="BHO144" s="289"/>
      <c r="BHP144" s="453"/>
      <c r="BHQ144" s="453"/>
      <c r="BHR144" s="453"/>
      <c r="BHS144" s="453"/>
      <c r="BHT144" s="453"/>
      <c r="BHU144" s="461"/>
      <c r="BHV144" s="461"/>
      <c r="BHW144" s="461"/>
      <c r="BHX144" s="609"/>
      <c r="BHY144" s="607"/>
      <c r="BHZ144" s="607"/>
      <c r="BIA144" s="607"/>
      <c r="BIB144" s="463"/>
      <c r="BIC144" s="454"/>
      <c r="BID144" s="607"/>
      <c r="BIE144" s="607"/>
      <c r="BIF144" s="607"/>
      <c r="BIG144" s="607"/>
      <c r="BIH144" s="607"/>
      <c r="BII144" s="453"/>
      <c r="BIJ144" s="289"/>
      <c r="BIK144" s="453"/>
      <c r="BIL144" s="453"/>
      <c r="BIM144" s="453"/>
      <c r="BIN144" s="453"/>
      <c r="BIO144" s="453"/>
      <c r="BIP144" s="461"/>
      <c r="BIQ144" s="461"/>
      <c r="BIR144" s="461"/>
      <c r="BIS144" s="609"/>
      <c r="BIT144" s="607"/>
      <c r="BIU144" s="607"/>
      <c r="BIV144" s="607"/>
      <c r="BIW144" s="463"/>
      <c r="BIX144" s="454"/>
      <c r="BIY144" s="607"/>
      <c r="BIZ144" s="607"/>
      <c r="BJA144" s="607"/>
      <c r="BJB144" s="607"/>
      <c r="BJC144" s="607"/>
      <c r="BJD144" s="453"/>
      <c r="BJE144" s="289"/>
      <c r="BJF144" s="453"/>
      <c r="BJG144" s="453"/>
      <c r="BJH144" s="453"/>
      <c r="BJI144" s="453"/>
      <c r="BJJ144" s="453"/>
      <c r="BJK144" s="461"/>
      <c r="BJL144" s="461"/>
      <c r="BJM144" s="461"/>
      <c r="BJN144" s="609"/>
      <c r="BJO144" s="607"/>
      <c r="BJP144" s="607"/>
      <c r="BJQ144" s="607"/>
      <c r="BJR144" s="463"/>
      <c r="BJS144" s="454"/>
      <c r="BJT144" s="607"/>
      <c r="BJU144" s="607"/>
      <c r="BJV144" s="607"/>
      <c r="BJW144" s="607"/>
      <c r="BJX144" s="607"/>
      <c r="BJY144" s="453"/>
      <c r="BJZ144" s="289"/>
      <c r="BKA144" s="453"/>
      <c r="BKB144" s="453"/>
      <c r="BKC144" s="453"/>
      <c r="BKD144" s="453"/>
      <c r="BKE144" s="453"/>
      <c r="BKF144" s="461"/>
      <c r="BKG144" s="461"/>
      <c r="BKH144" s="461"/>
      <c r="BKI144" s="609"/>
      <c r="BKJ144" s="607"/>
      <c r="BKK144" s="607"/>
      <c r="BKL144" s="607"/>
      <c r="BKM144" s="463"/>
      <c r="BKN144" s="454"/>
      <c r="BKO144" s="607"/>
      <c r="BKP144" s="607"/>
      <c r="BKQ144" s="607"/>
      <c r="BKR144" s="607"/>
      <c r="BKS144" s="607"/>
      <c r="BKT144" s="453"/>
      <c r="BKU144" s="289"/>
      <c r="BKV144" s="453"/>
      <c r="BKW144" s="453"/>
      <c r="BKX144" s="453"/>
      <c r="BKY144" s="453"/>
      <c r="BKZ144" s="453"/>
      <c r="BLA144" s="461"/>
      <c r="BLB144" s="461"/>
      <c r="BLC144" s="461"/>
      <c r="BLD144" s="609"/>
      <c r="BLE144" s="607"/>
      <c r="BLF144" s="607"/>
      <c r="BLG144" s="607"/>
      <c r="BLH144" s="463"/>
      <c r="BLI144" s="454"/>
      <c r="BLJ144" s="607"/>
      <c r="BLK144" s="607"/>
      <c r="BLL144" s="607"/>
      <c r="BLM144" s="607"/>
      <c r="BLN144" s="607"/>
      <c r="BLO144" s="453"/>
      <c r="BLP144" s="289"/>
      <c r="BLQ144" s="453"/>
      <c r="BLR144" s="453"/>
      <c r="BLS144" s="453"/>
      <c r="BLT144" s="453"/>
      <c r="BLU144" s="453"/>
      <c r="BLV144" s="461"/>
      <c r="BLW144" s="461"/>
      <c r="BLX144" s="461"/>
      <c r="BLY144" s="609"/>
      <c r="BLZ144" s="607"/>
      <c r="BMA144" s="607"/>
      <c r="BMB144" s="607"/>
      <c r="BMC144" s="463"/>
      <c r="BMD144" s="454"/>
      <c r="BME144" s="607"/>
      <c r="BMF144" s="607"/>
      <c r="BMG144" s="607"/>
      <c r="BMH144" s="607"/>
      <c r="BMI144" s="607"/>
      <c r="BMJ144" s="453"/>
      <c r="BMK144" s="289"/>
      <c r="BML144" s="453"/>
      <c r="BMM144" s="453"/>
      <c r="BMN144" s="453"/>
      <c r="BMO144" s="453"/>
      <c r="BMP144" s="453"/>
      <c r="BMQ144" s="461"/>
      <c r="BMR144" s="461"/>
      <c r="BMS144" s="461"/>
      <c r="BMT144" s="609"/>
      <c r="BMU144" s="607"/>
      <c r="BMV144" s="607"/>
      <c r="BMW144" s="607"/>
      <c r="BMX144" s="463"/>
      <c r="BMY144" s="454"/>
      <c r="BMZ144" s="607"/>
      <c r="BNA144" s="607"/>
      <c r="BNB144" s="607"/>
      <c r="BNC144" s="607"/>
      <c r="BND144" s="607"/>
      <c r="BNE144" s="453"/>
      <c r="BNF144" s="289"/>
      <c r="BNG144" s="453"/>
      <c r="BNH144" s="453"/>
      <c r="BNI144" s="453"/>
      <c r="BNJ144" s="453"/>
      <c r="BNK144" s="453"/>
      <c r="BNL144" s="461"/>
      <c r="BNM144" s="461"/>
      <c r="BNN144" s="461"/>
      <c r="BNO144" s="609"/>
      <c r="BNP144" s="607"/>
      <c r="BNQ144" s="607"/>
      <c r="BNR144" s="607"/>
      <c r="BNS144" s="463"/>
      <c r="BNT144" s="454"/>
      <c r="BNU144" s="607"/>
      <c r="BNV144" s="607"/>
      <c r="BNW144" s="607"/>
      <c r="BNX144" s="607"/>
      <c r="BNY144" s="607"/>
      <c r="BNZ144" s="453"/>
      <c r="BOA144" s="289"/>
      <c r="BOB144" s="453"/>
      <c r="BOC144" s="453"/>
      <c r="BOD144" s="453"/>
      <c r="BOE144" s="453"/>
      <c r="BOF144" s="453"/>
      <c r="BOG144" s="461"/>
      <c r="BOH144" s="461"/>
      <c r="BOI144" s="461"/>
      <c r="BOJ144" s="609"/>
      <c r="BOK144" s="607"/>
      <c r="BOL144" s="607"/>
      <c r="BOM144" s="607"/>
      <c r="BON144" s="463"/>
      <c r="BOO144" s="454"/>
      <c r="BOP144" s="607"/>
      <c r="BOQ144" s="607"/>
      <c r="BOR144" s="607"/>
      <c r="BOS144" s="607"/>
      <c r="BOT144" s="607"/>
      <c r="BOU144" s="453"/>
      <c r="BOV144" s="289"/>
      <c r="BOW144" s="453"/>
      <c r="BOX144" s="453"/>
      <c r="BOY144" s="453"/>
      <c r="BOZ144" s="453"/>
      <c r="BPA144" s="453"/>
      <c r="BPB144" s="461"/>
      <c r="BPC144" s="461"/>
      <c r="BPD144" s="461"/>
      <c r="BPE144" s="609"/>
      <c r="BPF144" s="607"/>
      <c r="BPG144" s="607"/>
      <c r="BPH144" s="607"/>
      <c r="BPI144" s="463"/>
      <c r="BPJ144" s="454"/>
      <c r="BPK144" s="607"/>
      <c r="BPL144" s="607"/>
      <c r="BPM144" s="607"/>
      <c r="BPN144" s="607"/>
      <c r="BPO144" s="607"/>
      <c r="BPP144" s="453"/>
      <c r="BPQ144" s="289"/>
      <c r="BPR144" s="453"/>
      <c r="BPS144" s="453"/>
      <c r="BPT144" s="453"/>
      <c r="BPU144" s="453"/>
      <c r="BPV144" s="453"/>
      <c r="BPW144" s="461"/>
      <c r="BPX144" s="461"/>
      <c r="BPY144" s="461"/>
      <c r="BPZ144" s="609"/>
      <c r="BQA144" s="607"/>
      <c r="BQB144" s="607"/>
      <c r="BQC144" s="607"/>
      <c r="BQD144" s="463"/>
      <c r="BQE144" s="454"/>
      <c r="BQF144" s="607"/>
      <c r="BQG144" s="607"/>
      <c r="BQH144" s="607"/>
      <c r="BQI144" s="607"/>
      <c r="BQJ144" s="607"/>
      <c r="BQK144" s="453"/>
      <c r="BQL144" s="289"/>
      <c r="BQM144" s="453"/>
      <c r="BQN144" s="453"/>
      <c r="BQO144" s="453"/>
      <c r="BQP144" s="453"/>
      <c r="BQQ144" s="453"/>
      <c r="BQR144" s="461"/>
      <c r="BQS144" s="461"/>
      <c r="BQT144" s="461"/>
      <c r="BQU144" s="609"/>
      <c r="BQV144" s="607"/>
      <c r="BQW144" s="607"/>
      <c r="BQX144" s="607"/>
      <c r="BQY144" s="463"/>
      <c r="BQZ144" s="454"/>
      <c r="BRA144" s="607"/>
      <c r="BRB144" s="607"/>
      <c r="BRC144" s="607"/>
      <c r="BRD144" s="607"/>
      <c r="BRE144" s="607"/>
      <c r="BRF144" s="453"/>
      <c r="BRG144" s="289"/>
      <c r="BRH144" s="453"/>
      <c r="BRI144" s="453"/>
      <c r="BRJ144" s="453"/>
      <c r="BRK144" s="453"/>
      <c r="BRL144" s="453"/>
      <c r="BRM144" s="461"/>
      <c r="BRN144" s="461"/>
      <c r="BRO144" s="461"/>
      <c r="BRP144" s="609"/>
      <c r="BRQ144" s="607"/>
      <c r="BRR144" s="607"/>
      <c r="BRS144" s="607"/>
      <c r="BRT144" s="463"/>
      <c r="BRU144" s="454"/>
      <c r="BRV144" s="607"/>
      <c r="BRW144" s="607"/>
      <c r="BRX144" s="607"/>
      <c r="BRY144" s="607"/>
      <c r="BRZ144" s="607"/>
      <c r="BSA144" s="453"/>
      <c r="BSB144" s="289"/>
      <c r="BSC144" s="453"/>
      <c r="BSD144" s="453"/>
      <c r="BSE144" s="453"/>
      <c r="BSF144" s="453"/>
      <c r="BSG144" s="453"/>
      <c r="BSH144" s="461"/>
      <c r="BSI144" s="461"/>
      <c r="BSJ144" s="461"/>
      <c r="BSK144" s="609"/>
      <c r="BSL144" s="607"/>
      <c r="BSM144" s="607"/>
      <c r="BSN144" s="607"/>
      <c r="BSO144" s="463"/>
      <c r="BSP144" s="454"/>
      <c r="BSQ144" s="607"/>
      <c r="BSR144" s="607"/>
      <c r="BSS144" s="607"/>
      <c r="BST144" s="607"/>
      <c r="BSU144" s="607"/>
      <c r="BSV144" s="453"/>
      <c r="BSW144" s="289"/>
      <c r="BSX144" s="453"/>
      <c r="BSY144" s="453"/>
      <c r="BSZ144" s="453"/>
      <c r="BTA144" s="453"/>
      <c r="BTB144" s="453"/>
      <c r="BTC144" s="461"/>
      <c r="BTD144" s="461"/>
      <c r="BTE144" s="461"/>
      <c r="BTF144" s="609"/>
      <c r="BTG144" s="607"/>
      <c r="BTH144" s="607"/>
      <c r="BTI144" s="607"/>
      <c r="BTJ144" s="463"/>
      <c r="BTK144" s="454"/>
      <c r="BTL144" s="607"/>
      <c r="BTM144" s="607"/>
      <c r="BTN144" s="607"/>
      <c r="BTO144" s="607"/>
      <c r="BTP144" s="607"/>
      <c r="BTQ144" s="453"/>
      <c r="BTR144" s="289"/>
      <c r="BTS144" s="453"/>
      <c r="BTT144" s="453"/>
      <c r="BTU144" s="453"/>
      <c r="BTV144" s="453"/>
      <c r="BTW144" s="453"/>
      <c r="BTX144" s="461"/>
      <c r="BTY144" s="461"/>
      <c r="BTZ144" s="461"/>
      <c r="BUA144" s="609"/>
      <c r="BUB144" s="607"/>
      <c r="BUC144" s="607"/>
      <c r="BUD144" s="607"/>
      <c r="BUE144" s="463"/>
      <c r="BUF144" s="454"/>
      <c r="BUG144" s="607"/>
      <c r="BUH144" s="607"/>
      <c r="BUI144" s="607"/>
      <c r="BUJ144" s="607"/>
      <c r="BUK144" s="607"/>
      <c r="BUL144" s="453"/>
      <c r="BUM144" s="289"/>
      <c r="BUN144" s="453"/>
      <c r="BUO144" s="453"/>
      <c r="BUP144" s="453"/>
      <c r="BUQ144" s="453"/>
      <c r="BUR144" s="453"/>
      <c r="BUS144" s="461"/>
      <c r="BUT144" s="461"/>
      <c r="BUU144" s="461"/>
      <c r="BUV144" s="609"/>
      <c r="BUW144" s="607"/>
      <c r="BUX144" s="607"/>
      <c r="BUY144" s="607"/>
      <c r="BUZ144" s="463"/>
      <c r="BVA144" s="454"/>
      <c r="BVB144" s="607"/>
      <c r="BVC144" s="607"/>
      <c r="BVD144" s="607"/>
      <c r="BVE144" s="607"/>
      <c r="BVF144" s="607"/>
      <c r="BVG144" s="453"/>
      <c r="BVH144" s="289"/>
      <c r="BVI144" s="453"/>
      <c r="BVJ144" s="453"/>
      <c r="BVK144" s="453"/>
      <c r="BVL144" s="453"/>
      <c r="BVM144" s="453"/>
      <c r="BVN144" s="461"/>
      <c r="BVO144" s="461"/>
      <c r="BVP144" s="461"/>
      <c r="BVQ144" s="609"/>
      <c r="BVR144" s="607"/>
      <c r="BVS144" s="607"/>
      <c r="BVT144" s="607"/>
      <c r="BVU144" s="463"/>
      <c r="BVV144" s="454"/>
      <c r="BVW144" s="607"/>
      <c r="BVX144" s="607"/>
      <c r="BVY144" s="607"/>
      <c r="BVZ144" s="607"/>
      <c r="BWA144" s="607"/>
      <c r="BWB144" s="453"/>
      <c r="BWC144" s="289"/>
      <c r="BWD144" s="453"/>
      <c r="BWE144" s="453"/>
      <c r="BWF144" s="453"/>
      <c r="BWG144" s="453"/>
      <c r="BWH144" s="453"/>
      <c r="BWI144" s="461"/>
      <c r="BWJ144" s="461"/>
      <c r="BWK144" s="461"/>
      <c r="BWL144" s="609"/>
      <c r="BWM144" s="607"/>
      <c r="BWN144" s="607"/>
      <c r="BWO144" s="607"/>
      <c r="BWP144" s="463"/>
      <c r="BWQ144" s="454"/>
      <c r="BWR144" s="607"/>
      <c r="BWS144" s="607"/>
      <c r="BWT144" s="607"/>
      <c r="BWU144" s="607"/>
      <c r="BWV144" s="607"/>
      <c r="BWW144" s="453"/>
      <c r="BWX144" s="289"/>
      <c r="BWY144" s="453"/>
      <c r="BWZ144" s="453"/>
      <c r="BXA144" s="453"/>
      <c r="BXB144" s="453"/>
      <c r="BXC144" s="453"/>
      <c r="BXD144" s="461"/>
      <c r="BXE144" s="461"/>
      <c r="BXF144" s="461"/>
      <c r="BXG144" s="609"/>
      <c r="BXH144" s="607"/>
      <c r="BXI144" s="607"/>
      <c r="BXJ144" s="607"/>
      <c r="BXK144" s="463"/>
      <c r="BXL144" s="454"/>
      <c r="BXM144" s="607"/>
      <c r="BXN144" s="607"/>
      <c r="BXO144" s="607"/>
      <c r="BXP144" s="607"/>
      <c r="BXQ144" s="607"/>
      <c r="BXR144" s="453"/>
      <c r="BXS144" s="289"/>
      <c r="BXT144" s="453"/>
      <c r="BXU144" s="453"/>
      <c r="BXV144" s="453"/>
      <c r="BXW144" s="453"/>
      <c r="BXX144" s="453"/>
      <c r="BXY144" s="461"/>
      <c r="BXZ144" s="461"/>
      <c r="BYA144" s="461"/>
      <c r="BYB144" s="609"/>
      <c r="BYC144" s="607"/>
      <c r="BYD144" s="607"/>
      <c r="BYE144" s="607"/>
      <c r="BYF144" s="463"/>
      <c r="BYG144" s="454"/>
      <c r="BYH144" s="607"/>
      <c r="BYI144" s="607"/>
      <c r="BYJ144" s="607"/>
      <c r="BYK144" s="607"/>
      <c r="BYL144" s="607"/>
      <c r="BYM144" s="453"/>
      <c r="BYN144" s="289"/>
      <c r="BYO144" s="453"/>
      <c r="BYP144" s="453"/>
      <c r="BYQ144" s="453"/>
      <c r="BYR144" s="453"/>
      <c r="BYS144" s="453"/>
      <c r="BYT144" s="461"/>
      <c r="BYU144" s="461"/>
      <c r="BYV144" s="461"/>
      <c r="BYW144" s="609"/>
      <c r="BYX144" s="607"/>
      <c r="BYY144" s="607"/>
      <c r="BYZ144" s="607"/>
      <c r="BZA144" s="463"/>
      <c r="BZB144" s="454"/>
      <c r="BZC144" s="607"/>
      <c r="BZD144" s="607"/>
      <c r="BZE144" s="607"/>
      <c r="BZF144" s="607"/>
      <c r="BZG144" s="607"/>
      <c r="BZH144" s="453"/>
      <c r="BZI144" s="289"/>
      <c r="BZJ144" s="453"/>
      <c r="BZK144" s="453"/>
      <c r="BZL144" s="453"/>
      <c r="BZM144" s="453"/>
      <c r="BZN144" s="453"/>
      <c r="BZO144" s="461"/>
      <c r="BZP144" s="461"/>
      <c r="BZQ144" s="461"/>
      <c r="BZR144" s="609"/>
      <c r="BZS144" s="607"/>
      <c r="BZT144" s="607"/>
      <c r="BZU144" s="607"/>
      <c r="BZV144" s="463"/>
      <c r="BZW144" s="454"/>
      <c r="BZX144" s="607"/>
      <c r="BZY144" s="607"/>
      <c r="BZZ144" s="607"/>
      <c r="CAA144" s="607"/>
      <c r="CAB144" s="607"/>
      <c r="CAC144" s="453"/>
      <c r="CAD144" s="289"/>
      <c r="CAE144" s="453"/>
      <c r="CAF144" s="453"/>
      <c r="CAG144" s="453"/>
      <c r="CAH144" s="453"/>
      <c r="CAI144" s="453"/>
      <c r="CAJ144" s="461"/>
      <c r="CAK144" s="461"/>
      <c r="CAL144" s="461"/>
      <c r="CAM144" s="609"/>
      <c r="CAN144" s="607"/>
      <c r="CAO144" s="607"/>
      <c r="CAP144" s="607"/>
      <c r="CAQ144" s="463"/>
      <c r="CAR144" s="454"/>
      <c r="CAS144" s="607"/>
      <c r="CAT144" s="607"/>
      <c r="CAU144" s="607"/>
      <c r="CAV144" s="607"/>
      <c r="CAW144" s="607"/>
      <c r="CAX144" s="453"/>
      <c r="CAY144" s="289"/>
      <c r="CAZ144" s="453"/>
      <c r="CBA144" s="453"/>
      <c r="CBB144" s="453"/>
      <c r="CBC144" s="453"/>
      <c r="CBD144" s="453"/>
      <c r="CBE144" s="461"/>
      <c r="CBF144" s="461"/>
      <c r="CBG144" s="461"/>
      <c r="CBH144" s="609"/>
      <c r="CBI144" s="607"/>
      <c r="CBJ144" s="607"/>
      <c r="CBK144" s="607"/>
      <c r="CBL144" s="463"/>
      <c r="CBM144" s="454"/>
      <c r="CBN144" s="607"/>
      <c r="CBO144" s="607"/>
      <c r="CBP144" s="607"/>
      <c r="CBQ144" s="607"/>
      <c r="CBR144" s="607"/>
      <c r="CBS144" s="453"/>
      <c r="CBT144" s="289"/>
      <c r="CBU144" s="453"/>
      <c r="CBV144" s="453"/>
      <c r="CBW144" s="453"/>
      <c r="CBX144" s="453"/>
      <c r="CBY144" s="453"/>
      <c r="CBZ144" s="461"/>
      <c r="CCA144" s="461"/>
      <c r="CCB144" s="461"/>
      <c r="CCC144" s="609"/>
      <c r="CCD144" s="607"/>
      <c r="CCE144" s="607"/>
      <c r="CCF144" s="607"/>
      <c r="CCG144" s="463"/>
      <c r="CCH144" s="454"/>
      <c r="CCI144" s="607"/>
      <c r="CCJ144" s="607"/>
      <c r="CCK144" s="607"/>
      <c r="CCL144" s="607"/>
      <c r="CCM144" s="607"/>
      <c r="CCN144" s="453"/>
      <c r="CCO144" s="289"/>
      <c r="CCP144" s="453"/>
      <c r="CCQ144" s="453"/>
      <c r="CCR144" s="453"/>
      <c r="CCS144" s="453"/>
      <c r="CCT144" s="453"/>
      <c r="CCU144" s="461"/>
      <c r="CCV144" s="461"/>
      <c r="CCW144" s="461"/>
      <c r="CCX144" s="609"/>
      <c r="CCY144" s="607"/>
      <c r="CCZ144" s="607"/>
      <c r="CDA144" s="607"/>
      <c r="CDB144" s="463"/>
      <c r="CDC144" s="454"/>
      <c r="CDD144" s="607"/>
      <c r="CDE144" s="607"/>
      <c r="CDF144" s="607"/>
      <c r="CDG144" s="607"/>
      <c r="CDH144" s="607"/>
      <c r="CDI144" s="453"/>
      <c r="CDJ144" s="289"/>
      <c r="CDK144" s="453"/>
      <c r="CDL144" s="453"/>
      <c r="CDM144" s="453"/>
      <c r="CDN144" s="453"/>
      <c r="CDO144" s="453"/>
      <c r="CDP144" s="461"/>
      <c r="CDQ144" s="461"/>
      <c r="CDR144" s="461"/>
      <c r="CDS144" s="609"/>
      <c r="CDT144" s="607"/>
      <c r="CDU144" s="607"/>
      <c r="CDV144" s="607"/>
      <c r="CDW144" s="463"/>
      <c r="CDX144" s="454"/>
      <c r="CDY144" s="607"/>
      <c r="CDZ144" s="607"/>
      <c r="CEA144" s="607"/>
      <c r="CEB144" s="607"/>
      <c r="CEC144" s="607"/>
      <c r="CED144" s="453"/>
      <c r="CEE144" s="289"/>
      <c r="CEF144" s="453"/>
      <c r="CEG144" s="453"/>
      <c r="CEH144" s="453"/>
      <c r="CEI144" s="453"/>
      <c r="CEJ144" s="453"/>
      <c r="CEK144" s="461"/>
      <c r="CEL144" s="461"/>
      <c r="CEM144" s="461"/>
      <c r="CEN144" s="609"/>
      <c r="CEO144" s="607"/>
      <c r="CEP144" s="607"/>
      <c r="CEQ144" s="607"/>
      <c r="CER144" s="463"/>
      <c r="CES144" s="454"/>
      <c r="CET144" s="607"/>
      <c r="CEU144" s="607"/>
      <c r="CEV144" s="607"/>
      <c r="CEW144" s="607"/>
      <c r="CEX144" s="607"/>
      <c r="CEY144" s="453"/>
      <c r="CEZ144" s="289"/>
      <c r="CFA144" s="453"/>
      <c r="CFB144" s="453"/>
      <c r="CFC144" s="453"/>
      <c r="CFD144" s="453"/>
      <c r="CFE144" s="453"/>
      <c r="CFF144" s="461"/>
      <c r="CFG144" s="461"/>
      <c r="CFH144" s="461"/>
      <c r="CFI144" s="609"/>
      <c r="CFJ144" s="607"/>
      <c r="CFK144" s="607"/>
      <c r="CFL144" s="607"/>
      <c r="CFM144" s="463"/>
      <c r="CFN144" s="454"/>
      <c r="CFO144" s="607"/>
      <c r="CFP144" s="607"/>
      <c r="CFQ144" s="607"/>
      <c r="CFR144" s="607"/>
      <c r="CFS144" s="607"/>
      <c r="CFT144" s="453"/>
      <c r="CFU144" s="289"/>
      <c r="CFV144" s="453"/>
      <c r="CFW144" s="453"/>
      <c r="CFX144" s="453"/>
      <c r="CFY144" s="453"/>
      <c r="CFZ144" s="453"/>
      <c r="CGA144" s="461"/>
      <c r="CGB144" s="461"/>
      <c r="CGC144" s="461"/>
      <c r="CGD144" s="609"/>
      <c r="CGE144" s="607"/>
      <c r="CGF144" s="607"/>
      <c r="CGG144" s="607"/>
      <c r="CGH144" s="463"/>
      <c r="CGI144" s="454"/>
      <c r="CGJ144" s="607"/>
      <c r="CGK144" s="607"/>
      <c r="CGL144" s="607"/>
      <c r="CGM144" s="607"/>
      <c r="CGN144" s="607"/>
      <c r="CGO144" s="453"/>
      <c r="CGP144" s="289"/>
      <c r="CGQ144" s="453"/>
      <c r="CGR144" s="453"/>
      <c r="CGS144" s="453"/>
      <c r="CGT144" s="453"/>
      <c r="CGU144" s="453"/>
      <c r="CGV144" s="461"/>
      <c r="CGW144" s="461"/>
      <c r="CGX144" s="461"/>
      <c r="CGY144" s="609"/>
      <c r="CGZ144" s="607"/>
      <c r="CHA144" s="607"/>
      <c r="CHB144" s="607"/>
      <c r="CHC144" s="463"/>
      <c r="CHD144" s="454"/>
      <c r="CHE144" s="607"/>
      <c r="CHF144" s="607"/>
      <c r="CHG144" s="607"/>
      <c r="CHH144" s="607"/>
      <c r="CHI144" s="607"/>
      <c r="CHJ144" s="453"/>
      <c r="CHK144" s="289"/>
      <c r="CHL144" s="453"/>
      <c r="CHM144" s="453"/>
      <c r="CHN144" s="453"/>
      <c r="CHO144" s="453"/>
      <c r="CHP144" s="453"/>
      <c r="CHQ144" s="461"/>
      <c r="CHR144" s="461"/>
      <c r="CHS144" s="461"/>
      <c r="CHT144" s="609"/>
      <c r="CHU144" s="607"/>
      <c r="CHV144" s="607"/>
      <c r="CHW144" s="607"/>
      <c r="CHX144" s="463"/>
      <c r="CHY144" s="454"/>
      <c r="CHZ144" s="607"/>
      <c r="CIA144" s="607"/>
      <c r="CIB144" s="607"/>
      <c r="CIC144" s="607"/>
      <c r="CID144" s="607"/>
      <c r="CIE144" s="453"/>
      <c r="CIF144" s="289"/>
      <c r="CIG144" s="453"/>
      <c r="CIH144" s="453"/>
      <c r="CII144" s="453"/>
      <c r="CIJ144" s="453"/>
      <c r="CIK144" s="453"/>
      <c r="CIL144" s="461"/>
      <c r="CIM144" s="461"/>
      <c r="CIN144" s="461"/>
      <c r="CIO144" s="609"/>
      <c r="CIP144" s="607"/>
      <c r="CIQ144" s="607"/>
      <c r="CIR144" s="607"/>
      <c r="CIS144" s="463"/>
      <c r="CIT144" s="454"/>
      <c r="CIU144" s="607"/>
      <c r="CIV144" s="607"/>
      <c r="CIW144" s="607"/>
      <c r="CIX144" s="607"/>
      <c r="CIY144" s="607"/>
      <c r="CIZ144" s="453"/>
      <c r="CJA144" s="289"/>
      <c r="CJB144" s="453"/>
      <c r="CJC144" s="453"/>
      <c r="CJD144" s="453"/>
      <c r="CJE144" s="453"/>
      <c r="CJF144" s="453"/>
      <c r="CJG144" s="461"/>
      <c r="CJH144" s="461"/>
      <c r="CJI144" s="461"/>
      <c r="CJJ144" s="609"/>
      <c r="CJK144" s="607"/>
      <c r="CJL144" s="607"/>
      <c r="CJM144" s="607"/>
      <c r="CJN144" s="463"/>
      <c r="CJO144" s="454"/>
      <c r="CJP144" s="607"/>
      <c r="CJQ144" s="607"/>
      <c r="CJR144" s="607"/>
      <c r="CJS144" s="607"/>
      <c r="CJT144" s="607"/>
      <c r="CJU144" s="453"/>
      <c r="CJV144" s="289"/>
      <c r="CJW144" s="453"/>
      <c r="CJX144" s="453"/>
      <c r="CJY144" s="453"/>
      <c r="CJZ144" s="453"/>
      <c r="CKA144" s="453"/>
      <c r="CKB144" s="461"/>
      <c r="CKC144" s="461"/>
      <c r="CKD144" s="461"/>
      <c r="CKE144" s="609"/>
      <c r="CKF144" s="607"/>
      <c r="CKG144" s="607"/>
      <c r="CKH144" s="607"/>
      <c r="CKI144" s="463"/>
      <c r="CKJ144" s="454"/>
      <c r="CKK144" s="607"/>
      <c r="CKL144" s="607"/>
      <c r="CKM144" s="607"/>
      <c r="CKN144" s="607"/>
      <c r="CKO144" s="607"/>
      <c r="CKP144" s="453"/>
      <c r="CKQ144" s="289"/>
      <c r="CKR144" s="453"/>
      <c r="CKS144" s="453"/>
      <c r="CKT144" s="453"/>
      <c r="CKU144" s="453"/>
      <c r="CKV144" s="453"/>
      <c r="CKW144" s="461"/>
      <c r="CKX144" s="461"/>
      <c r="CKY144" s="461"/>
      <c r="CKZ144" s="609"/>
      <c r="CLA144" s="607"/>
      <c r="CLB144" s="607"/>
      <c r="CLC144" s="607"/>
      <c r="CLD144" s="463"/>
      <c r="CLE144" s="454"/>
      <c r="CLF144" s="607"/>
      <c r="CLG144" s="607"/>
      <c r="CLH144" s="607"/>
      <c r="CLI144" s="607"/>
      <c r="CLJ144" s="607"/>
      <c r="CLK144" s="453"/>
      <c r="CLL144" s="289"/>
      <c r="CLM144" s="453"/>
      <c r="CLN144" s="453"/>
      <c r="CLO144" s="453"/>
      <c r="CLP144" s="453"/>
      <c r="CLQ144" s="453"/>
      <c r="CLR144" s="461"/>
      <c r="CLS144" s="461"/>
      <c r="CLT144" s="461"/>
      <c r="CLU144" s="609"/>
      <c r="CLV144" s="607"/>
      <c r="CLW144" s="607"/>
      <c r="CLX144" s="607"/>
      <c r="CLY144" s="463"/>
      <c r="CLZ144" s="454"/>
      <c r="CMA144" s="607"/>
      <c r="CMB144" s="607"/>
      <c r="CMC144" s="607"/>
      <c r="CMD144" s="607"/>
      <c r="CME144" s="607"/>
      <c r="CMF144" s="453"/>
      <c r="CMG144" s="289"/>
      <c r="CMH144" s="453"/>
      <c r="CMI144" s="453"/>
      <c r="CMJ144" s="453"/>
      <c r="CMK144" s="453"/>
      <c r="CML144" s="453"/>
      <c r="CMM144" s="461"/>
      <c r="CMN144" s="461"/>
      <c r="CMO144" s="461"/>
      <c r="CMP144" s="609"/>
      <c r="CMQ144" s="607"/>
      <c r="CMR144" s="607"/>
      <c r="CMS144" s="607"/>
      <c r="CMT144" s="463"/>
      <c r="CMU144" s="454"/>
      <c r="CMV144" s="607"/>
      <c r="CMW144" s="607"/>
      <c r="CMX144" s="607"/>
      <c r="CMY144" s="607"/>
      <c r="CMZ144" s="607"/>
      <c r="CNA144" s="453"/>
      <c r="CNB144" s="289"/>
      <c r="CNC144" s="453"/>
      <c r="CND144" s="453"/>
      <c r="CNE144" s="453"/>
      <c r="CNF144" s="453"/>
      <c r="CNG144" s="453"/>
      <c r="CNH144" s="461"/>
      <c r="CNI144" s="461"/>
      <c r="CNJ144" s="461"/>
      <c r="CNK144" s="609"/>
      <c r="CNL144" s="607"/>
      <c r="CNM144" s="607"/>
      <c r="CNN144" s="607"/>
      <c r="CNO144" s="463"/>
      <c r="CNP144" s="454"/>
      <c r="CNQ144" s="607"/>
      <c r="CNR144" s="607"/>
      <c r="CNS144" s="607"/>
      <c r="CNT144" s="607"/>
      <c r="CNU144" s="607"/>
      <c r="CNV144" s="453"/>
      <c r="CNW144" s="289"/>
      <c r="CNX144" s="453"/>
      <c r="CNY144" s="453"/>
      <c r="CNZ144" s="453"/>
      <c r="COA144" s="453"/>
      <c r="COB144" s="453"/>
      <c r="COC144" s="461"/>
      <c r="COD144" s="461"/>
      <c r="COE144" s="461"/>
      <c r="COF144" s="609"/>
      <c r="COG144" s="607"/>
      <c r="COH144" s="607"/>
      <c r="COI144" s="607"/>
      <c r="COJ144" s="463"/>
      <c r="COK144" s="454"/>
      <c r="COL144" s="607"/>
      <c r="COM144" s="607"/>
      <c r="CON144" s="607"/>
      <c r="COO144" s="607"/>
      <c r="COP144" s="607"/>
      <c r="COQ144" s="453"/>
      <c r="COR144" s="289"/>
      <c r="COS144" s="453"/>
      <c r="COT144" s="453"/>
      <c r="COU144" s="453"/>
      <c r="COV144" s="453"/>
      <c r="COW144" s="453"/>
      <c r="COX144" s="461"/>
      <c r="COY144" s="461"/>
      <c r="COZ144" s="461"/>
      <c r="CPA144" s="609"/>
      <c r="CPB144" s="607"/>
      <c r="CPC144" s="607"/>
      <c r="CPD144" s="607"/>
      <c r="CPE144" s="463"/>
      <c r="CPF144" s="454"/>
      <c r="CPG144" s="607"/>
      <c r="CPH144" s="607"/>
      <c r="CPI144" s="607"/>
      <c r="CPJ144" s="607"/>
      <c r="CPK144" s="607"/>
      <c r="CPL144" s="453"/>
      <c r="CPM144" s="289"/>
      <c r="CPN144" s="453"/>
      <c r="CPO144" s="453"/>
      <c r="CPP144" s="453"/>
      <c r="CPQ144" s="453"/>
      <c r="CPR144" s="453"/>
      <c r="CPS144" s="461"/>
      <c r="CPT144" s="461"/>
      <c r="CPU144" s="461"/>
      <c r="CPV144" s="609"/>
      <c r="CPW144" s="607"/>
      <c r="CPX144" s="607"/>
      <c r="CPY144" s="607"/>
      <c r="CPZ144" s="463"/>
      <c r="CQA144" s="454"/>
      <c r="CQB144" s="607"/>
      <c r="CQC144" s="607"/>
      <c r="CQD144" s="607"/>
      <c r="CQE144" s="607"/>
      <c r="CQF144" s="607"/>
      <c r="CQG144" s="453"/>
      <c r="CQH144" s="289"/>
      <c r="CQI144" s="453"/>
      <c r="CQJ144" s="453"/>
      <c r="CQK144" s="453"/>
      <c r="CQL144" s="453"/>
      <c r="CQM144" s="453"/>
      <c r="CQN144" s="461"/>
      <c r="CQO144" s="461"/>
      <c r="CQP144" s="461"/>
      <c r="CQQ144" s="609"/>
      <c r="CQR144" s="607"/>
      <c r="CQS144" s="607"/>
      <c r="CQT144" s="607"/>
      <c r="CQU144" s="463"/>
      <c r="CQV144" s="454"/>
      <c r="CQW144" s="607"/>
      <c r="CQX144" s="607"/>
      <c r="CQY144" s="607"/>
      <c r="CQZ144" s="607"/>
      <c r="CRA144" s="607"/>
      <c r="CRB144" s="453"/>
      <c r="CRC144" s="289"/>
      <c r="CRD144" s="453"/>
      <c r="CRE144" s="453"/>
      <c r="CRF144" s="453"/>
      <c r="CRG144" s="453"/>
      <c r="CRH144" s="453"/>
      <c r="CRI144" s="461"/>
      <c r="CRJ144" s="461"/>
      <c r="CRK144" s="461"/>
      <c r="CRL144" s="609"/>
      <c r="CRM144" s="607"/>
      <c r="CRN144" s="607"/>
      <c r="CRO144" s="607"/>
      <c r="CRP144" s="463"/>
      <c r="CRQ144" s="454"/>
      <c r="CRR144" s="607"/>
      <c r="CRS144" s="607"/>
      <c r="CRT144" s="607"/>
      <c r="CRU144" s="607"/>
      <c r="CRV144" s="607"/>
      <c r="CRW144" s="453"/>
      <c r="CRX144" s="289"/>
      <c r="CRY144" s="453"/>
      <c r="CRZ144" s="453"/>
      <c r="CSA144" s="453"/>
      <c r="CSB144" s="453"/>
      <c r="CSC144" s="453"/>
      <c r="CSD144" s="461"/>
      <c r="CSE144" s="461"/>
      <c r="CSF144" s="461"/>
      <c r="CSG144" s="609"/>
      <c r="CSH144" s="607"/>
      <c r="CSI144" s="607"/>
      <c r="CSJ144" s="607"/>
      <c r="CSK144" s="463"/>
      <c r="CSL144" s="454"/>
      <c r="CSM144" s="607"/>
      <c r="CSN144" s="607"/>
      <c r="CSO144" s="607"/>
      <c r="CSP144" s="607"/>
      <c r="CSQ144" s="607"/>
      <c r="CSR144" s="453"/>
      <c r="CSS144" s="289"/>
      <c r="CST144" s="453"/>
      <c r="CSU144" s="453"/>
      <c r="CSV144" s="453"/>
      <c r="CSW144" s="453"/>
      <c r="CSX144" s="453"/>
      <c r="CSY144" s="461"/>
      <c r="CSZ144" s="461"/>
      <c r="CTA144" s="461"/>
      <c r="CTB144" s="609"/>
      <c r="CTC144" s="607"/>
      <c r="CTD144" s="607"/>
      <c r="CTE144" s="607"/>
      <c r="CTF144" s="463"/>
      <c r="CTG144" s="454"/>
      <c r="CTH144" s="607"/>
      <c r="CTI144" s="607"/>
      <c r="CTJ144" s="607"/>
      <c r="CTK144" s="607"/>
      <c r="CTL144" s="607"/>
      <c r="CTM144" s="453"/>
      <c r="CTN144" s="289"/>
      <c r="CTO144" s="453"/>
      <c r="CTP144" s="453"/>
      <c r="CTQ144" s="453"/>
      <c r="CTR144" s="453"/>
      <c r="CTS144" s="453"/>
      <c r="CTT144" s="461"/>
      <c r="CTU144" s="461"/>
      <c r="CTV144" s="461"/>
      <c r="CTW144" s="609"/>
      <c r="CTX144" s="607"/>
      <c r="CTY144" s="607"/>
      <c r="CTZ144" s="607"/>
      <c r="CUA144" s="463"/>
      <c r="CUB144" s="454"/>
      <c r="CUC144" s="607"/>
      <c r="CUD144" s="607"/>
      <c r="CUE144" s="607"/>
      <c r="CUF144" s="607"/>
      <c r="CUG144" s="607"/>
      <c r="CUH144" s="453"/>
      <c r="CUI144" s="289"/>
      <c r="CUJ144" s="453"/>
      <c r="CUK144" s="453"/>
      <c r="CUL144" s="453"/>
      <c r="CUM144" s="453"/>
      <c r="CUN144" s="453"/>
      <c r="CUO144" s="461"/>
      <c r="CUP144" s="461"/>
      <c r="CUQ144" s="461"/>
      <c r="CUR144" s="609"/>
      <c r="CUS144" s="607"/>
      <c r="CUT144" s="607"/>
      <c r="CUU144" s="607"/>
      <c r="CUV144" s="463"/>
      <c r="CUW144" s="454"/>
      <c r="CUX144" s="607"/>
      <c r="CUY144" s="607"/>
      <c r="CUZ144" s="607"/>
      <c r="CVA144" s="607"/>
      <c r="CVB144" s="607"/>
      <c r="CVC144" s="453"/>
      <c r="CVD144" s="289"/>
      <c r="CVE144" s="453"/>
      <c r="CVF144" s="453"/>
      <c r="CVG144" s="453"/>
      <c r="CVH144" s="453"/>
      <c r="CVI144" s="453"/>
      <c r="CVJ144" s="461"/>
      <c r="CVK144" s="461"/>
      <c r="CVL144" s="461"/>
      <c r="CVM144" s="609"/>
      <c r="CVN144" s="607"/>
      <c r="CVO144" s="607"/>
      <c r="CVP144" s="607"/>
      <c r="CVQ144" s="463"/>
      <c r="CVR144" s="454"/>
      <c r="CVS144" s="607"/>
      <c r="CVT144" s="607"/>
      <c r="CVU144" s="607"/>
      <c r="CVV144" s="607"/>
      <c r="CVW144" s="607"/>
      <c r="CVX144" s="453"/>
      <c r="CVY144" s="289"/>
      <c r="CVZ144" s="453"/>
      <c r="CWA144" s="453"/>
      <c r="CWB144" s="453"/>
      <c r="CWC144" s="453"/>
      <c r="CWD144" s="453"/>
      <c r="CWE144" s="461"/>
      <c r="CWF144" s="461"/>
      <c r="CWG144" s="461"/>
      <c r="CWH144" s="609"/>
      <c r="CWI144" s="607"/>
      <c r="CWJ144" s="607"/>
      <c r="CWK144" s="607"/>
      <c r="CWL144" s="463"/>
      <c r="CWM144" s="454"/>
      <c r="CWN144" s="607"/>
      <c r="CWO144" s="607"/>
      <c r="CWP144" s="607"/>
      <c r="CWQ144" s="607"/>
      <c r="CWR144" s="607"/>
      <c r="CWS144" s="453"/>
      <c r="CWT144" s="289"/>
      <c r="CWU144" s="453"/>
      <c r="CWV144" s="453"/>
      <c r="CWW144" s="453"/>
      <c r="CWX144" s="453"/>
      <c r="CWY144" s="453"/>
      <c r="CWZ144" s="461"/>
      <c r="CXA144" s="461"/>
      <c r="CXB144" s="461"/>
      <c r="CXC144" s="609"/>
      <c r="CXD144" s="607"/>
      <c r="CXE144" s="607"/>
      <c r="CXF144" s="607"/>
      <c r="CXG144" s="463"/>
      <c r="CXH144" s="454"/>
      <c r="CXI144" s="607"/>
      <c r="CXJ144" s="607"/>
      <c r="CXK144" s="607"/>
      <c r="CXL144" s="607"/>
      <c r="CXM144" s="607"/>
      <c r="CXN144" s="453"/>
      <c r="CXO144" s="289"/>
      <c r="CXP144" s="453"/>
      <c r="CXQ144" s="453"/>
      <c r="CXR144" s="453"/>
      <c r="CXS144" s="453"/>
      <c r="CXT144" s="453"/>
      <c r="CXU144" s="461"/>
      <c r="CXV144" s="461"/>
      <c r="CXW144" s="461"/>
      <c r="CXX144" s="609"/>
      <c r="CXY144" s="607"/>
      <c r="CXZ144" s="607"/>
      <c r="CYA144" s="607"/>
      <c r="CYB144" s="463"/>
      <c r="CYC144" s="454"/>
      <c r="CYD144" s="607"/>
      <c r="CYE144" s="607"/>
      <c r="CYF144" s="607"/>
      <c r="CYG144" s="607"/>
      <c r="CYH144" s="607"/>
      <c r="CYI144" s="453"/>
      <c r="CYJ144" s="289"/>
      <c r="CYK144" s="453"/>
      <c r="CYL144" s="453"/>
      <c r="CYM144" s="453"/>
      <c r="CYN144" s="453"/>
      <c r="CYO144" s="453"/>
      <c r="CYP144" s="461"/>
      <c r="CYQ144" s="461"/>
      <c r="CYR144" s="461"/>
      <c r="CYS144" s="609"/>
      <c r="CYT144" s="607"/>
      <c r="CYU144" s="607"/>
      <c r="CYV144" s="607"/>
      <c r="CYW144" s="463"/>
      <c r="CYX144" s="454"/>
      <c r="CYY144" s="607"/>
      <c r="CYZ144" s="607"/>
      <c r="CZA144" s="607"/>
      <c r="CZB144" s="607"/>
      <c r="CZC144" s="607"/>
      <c r="CZD144" s="453"/>
      <c r="CZE144" s="289"/>
      <c r="CZF144" s="453"/>
      <c r="CZG144" s="453"/>
      <c r="CZH144" s="453"/>
      <c r="CZI144" s="453"/>
      <c r="CZJ144" s="453"/>
      <c r="CZK144" s="461"/>
      <c r="CZL144" s="461"/>
      <c r="CZM144" s="461"/>
      <c r="CZN144" s="609"/>
      <c r="CZO144" s="607"/>
      <c r="CZP144" s="607"/>
      <c r="CZQ144" s="607"/>
      <c r="CZR144" s="463"/>
      <c r="CZS144" s="454"/>
      <c r="CZT144" s="607"/>
      <c r="CZU144" s="607"/>
      <c r="CZV144" s="607"/>
      <c r="CZW144" s="607"/>
      <c r="CZX144" s="607"/>
      <c r="CZY144" s="453"/>
      <c r="CZZ144" s="289"/>
      <c r="DAA144" s="453"/>
      <c r="DAB144" s="453"/>
      <c r="DAC144" s="453"/>
      <c r="DAD144" s="453"/>
      <c r="DAE144" s="453"/>
      <c r="DAF144" s="461"/>
      <c r="DAG144" s="461"/>
      <c r="DAH144" s="461"/>
      <c r="DAI144" s="609"/>
      <c r="DAJ144" s="607"/>
      <c r="DAK144" s="607"/>
      <c r="DAL144" s="607"/>
      <c r="DAM144" s="463"/>
      <c r="DAN144" s="454"/>
      <c r="DAO144" s="607"/>
      <c r="DAP144" s="607"/>
      <c r="DAQ144" s="607"/>
      <c r="DAR144" s="607"/>
      <c r="DAS144" s="607"/>
      <c r="DAT144" s="453"/>
      <c r="DAU144" s="289"/>
      <c r="DAV144" s="453"/>
      <c r="DAW144" s="453"/>
      <c r="DAX144" s="453"/>
      <c r="DAY144" s="453"/>
      <c r="DAZ144" s="453"/>
      <c r="DBA144" s="461"/>
      <c r="DBB144" s="461"/>
      <c r="DBC144" s="461"/>
      <c r="DBD144" s="609"/>
      <c r="DBE144" s="607"/>
      <c r="DBF144" s="607"/>
      <c r="DBG144" s="607"/>
      <c r="DBH144" s="463"/>
      <c r="DBI144" s="454"/>
      <c r="DBJ144" s="607"/>
      <c r="DBK144" s="607"/>
      <c r="DBL144" s="607"/>
      <c r="DBM144" s="607"/>
      <c r="DBN144" s="607"/>
      <c r="DBO144" s="453"/>
      <c r="DBP144" s="289"/>
      <c r="DBQ144" s="453"/>
      <c r="DBR144" s="453"/>
      <c r="DBS144" s="453"/>
      <c r="DBT144" s="453"/>
      <c r="DBU144" s="453"/>
      <c r="DBV144" s="461"/>
      <c r="DBW144" s="461"/>
      <c r="DBX144" s="461"/>
      <c r="DBY144" s="609"/>
      <c r="DBZ144" s="607"/>
      <c r="DCA144" s="607"/>
      <c r="DCB144" s="607"/>
      <c r="DCC144" s="463"/>
      <c r="DCD144" s="454"/>
      <c r="DCE144" s="607"/>
      <c r="DCF144" s="607"/>
      <c r="DCG144" s="607"/>
      <c r="DCH144" s="607"/>
      <c r="DCI144" s="607"/>
      <c r="DCJ144" s="453"/>
      <c r="DCK144" s="289"/>
      <c r="DCL144" s="453"/>
      <c r="DCM144" s="453"/>
      <c r="DCN144" s="453"/>
      <c r="DCO144" s="453"/>
      <c r="DCP144" s="453"/>
      <c r="DCQ144" s="461"/>
      <c r="DCR144" s="461"/>
      <c r="DCS144" s="461"/>
      <c r="DCT144" s="609"/>
      <c r="DCU144" s="607"/>
      <c r="DCV144" s="607"/>
      <c r="DCW144" s="607"/>
      <c r="DCX144" s="463"/>
      <c r="DCY144" s="454"/>
      <c r="DCZ144" s="607"/>
      <c r="DDA144" s="607"/>
      <c r="DDB144" s="607"/>
      <c r="DDC144" s="607"/>
      <c r="DDD144" s="607"/>
      <c r="DDE144" s="453"/>
      <c r="DDF144" s="289"/>
      <c r="DDG144" s="453"/>
      <c r="DDH144" s="453"/>
      <c r="DDI144" s="453"/>
      <c r="DDJ144" s="453"/>
      <c r="DDK144" s="453"/>
      <c r="DDL144" s="461"/>
      <c r="DDM144" s="461"/>
      <c r="DDN144" s="461"/>
      <c r="DDO144" s="609"/>
      <c r="DDP144" s="607"/>
      <c r="DDQ144" s="607"/>
      <c r="DDR144" s="607"/>
      <c r="DDS144" s="463"/>
      <c r="DDT144" s="454"/>
      <c r="DDU144" s="607"/>
      <c r="DDV144" s="607"/>
      <c r="DDW144" s="607"/>
      <c r="DDX144" s="607"/>
      <c r="DDY144" s="607"/>
      <c r="DDZ144" s="453"/>
      <c r="DEA144" s="289"/>
      <c r="DEB144" s="453"/>
      <c r="DEC144" s="453"/>
      <c r="DED144" s="453"/>
      <c r="DEE144" s="453"/>
      <c r="DEF144" s="453"/>
      <c r="DEG144" s="461"/>
      <c r="DEH144" s="461"/>
      <c r="DEI144" s="461"/>
      <c r="DEJ144" s="609"/>
      <c r="DEK144" s="607"/>
      <c r="DEL144" s="607"/>
      <c r="DEM144" s="607"/>
      <c r="DEN144" s="463"/>
      <c r="DEO144" s="454"/>
      <c r="DEP144" s="607"/>
      <c r="DEQ144" s="607"/>
      <c r="DER144" s="607"/>
      <c r="DES144" s="607"/>
      <c r="DET144" s="607"/>
      <c r="DEU144" s="453"/>
      <c r="DEV144" s="289"/>
      <c r="DEW144" s="453"/>
      <c r="DEX144" s="453"/>
      <c r="DEY144" s="453"/>
      <c r="DEZ144" s="453"/>
      <c r="DFA144" s="453"/>
      <c r="DFB144" s="461"/>
      <c r="DFC144" s="461"/>
      <c r="DFD144" s="461"/>
      <c r="DFE144" s="609"/>
      <c r="DFF144" s="607"/>
      <c r="DFG144" s="607"/>
      <c r="DFH144" s="607"/>
      <c r="DFI144" s="463"/>
      <c r="DFJ144" s="454"/>
      <c r="DFK144" s="607"/>
      <c r="DFL144" s="607"/>
      <c r="DFM144" s="607"/>
      <c r="DFN144" s="607"/>
      <c r="DFO144" s="607"/>
      <c r="DFP144" s="453"/>
      <c r="DFQ144" s="289"/>
      <c r="DFR144" s="453"/>
      <c r="DFS144" s="453"/>
      <c r="DFT144" s="453"/>
      <c r="DFU144" s="453"/>
      <c r="DFV144" s="453"/>
      <c r="DFW144" s="461"/>
      <c r="DFX144" s="461"/>
      <c r="DFY144" s="461"/>
      <c r="DFZ144" s="609"/>
      <c r="DGA144" s="607"/>
      <c r="DGB144" s="607"/>
      <c r="DGC144" s="607"/>
      <c r="DGD144" s="463"/>
      <c r="DGE144" s="454"/>
      <c r="DGF144" s="607"/>
      <c r="DGG144" s="607"/>
      <c r="DGH144" s="607"/>
      <c r="DGI144" s="607"/>
      <c r="DGJ144" s="607"/>
      <c r="DGK144" s="453"/>
      <c r="DGL144" s="289"/>
      <c r="DGM144" s="453"/>
      <c r="DGN144" s="453"/>
      <c r="DGO144" s="453"/>
      <c r="DGP144" s="453"/>
      <c r="DGQ144" s="453"/>
      <c r="DGR144" s="461"/>
      <c r="DGS144" s="461"/>
      <c r="DGT144" s="461"/>
      <c r="DGU144" s="609"/>
      <c r="DGV144" s="607"/>
      <c r="DGW144" s="607"/>
      <c r="DGX144" s="607"/>
      <c r="DGY144" s="463"/>
      <c r="DGZ144" s="454"/>
      <c r="DHA144" s="607"/>
      <c r="DHB144" s="607"/>
      <c r="DHC144" s="607"/>
      <c r="DHD144" s="607"/>
      <c r="DHE144" s="607"/>
      <c r="DHF144" s="453"/>
      <c r="DHG144" s="289"/>
      <c r="DHH144" s="453"/>
      <c r="DHI144" s="453"/>
      <c r="DHJ144" s="453"/>
      <c r="DHK144" s="453"/>
      <c r="DHL144" s="453"/>
      <c r="DHM144" s="461"/>
      <c r="DHN144" s="461"/>
      <c r="DHO144" s="461"/>
      <c r="DHP144" s="609"/>
      <c r="DHQ144" s="607"/>
      <c r="DHR144" s="607"/>
      <c r="DHS144" s="607"/>
      <c r="DHT144" s="463"/>
      <c r="DHU144" s="454"/>
      <c r="DHV144" s="607"/>
      <c r="DHW144" s="607"/>
      <c r="DHX144" s="607"/>
      <c r="DHY144" s="607"/>
      <c r="DHZ144" s="607"/>
      <c r="DIA144" s="453"/>
      <c r="DIB144" s="289"/>
      <c r="DIC144" s="453"/>
      <c r="DID144" s="453"/>
      <c r="DIE144" s="453"/>
      <c r="DIF144" s="453"/>
      <c r="DIG144" s="453"/>
      <c r="DIH144" s="461"/>
      <c r="DII144" s="461"/>
      <c r="DIJ144" s="461"/>
      <c r="DIK144" s="609"/>
      <c r="DIL144" s="607"/>
      <c r="DIM144" s="607"/>
      <c r="DIN144" s="607"/>
      <c r="DIO144" s="463"/>
      <c r="DIP144" s="454"/>
      <c r="DIQ144" s="607"/>
      <c r="DIR144" s="607"/>
      <c r="DIS144" s="607"/>
      <c r="DIT144" s="607"/>
      <c r="DIU144" s="607"/>
      <c r="DIV144" s="453"/>
      <c r="DIW144" s="289"/>
      <c r="DIX144" s="453"/>
      <c r="DIY144" s="453"/>
      <c r="DIZ144" s="453"/>
      <c r="DJA144" s="453"/>
      <c r="DJB144" s="453"/>
      <c r="DJC144" s="461"/>
      <c r="DJD144" s="461"/>
      <c r="DJE144" s="461"/>
      <c r="DJF144" s="609"/>
      <c r="DJG144" s="607"/>
      <c r="DJH144" s="607"/>
      <c r="DJI144" s="607"/>
      <c r="DJJ144" s="463"/>
      <c r="DJK144" s="454"/>
      <c r="DJL144" s="607"/>
      <c r="DJM144" s="607"/>
      <c r="DJN144" s="607"/>
      <c r="DJO144" s="607"/>
      <c r="DJP144" s="607"/>
      <c r="DJQ144" s="453"/>
      <c r="DJR144" s="289"/>
      <c r="DJS144" s="453"/>
      <c r="DJT144" s="453"/>
      <c r="DJU144" s="453"/>
      <c r="DJV144" s="453"/>
      <c r="DJW144" s="453"/>
      <c r="DJX144" s="461"/>
      <c r="DJY144" s="461"/>
      <c r="DJZ144" s="461"/>
      <c r="DKA144" s="609"/>
      <c r="DKB144" s="607"/>
      <c r="DKC144" s="607"/>
      <c r="DKD144" s="607"/>
      <c r="DKE144" s="463"/>
      <c r="DKF144" s="454"/>
      <c r="DKG144" s="607"/>
      <c r="DKH144" s="607"/>
      <c r="DKI144" s="607"/>
      <c r="DKJ144" s="607"/>
      <c r="DKK144" s="607"/>
      <c r="DKL144" s="453"/>
      <c r="DKM144" s="289"/>
      <c r="DKN144" s="453"/>
      <c r="DKO144" s="453"/>
      <c r="DKP144" s="453"/>
      <c r="DKQ144" s="453"/>
      <c r="DKR144" s="453"/>
      <c r="DKS144" s="461"/>
      <c r="DKT144" s="461"/>
      <c r="DKU144" s="461"/>
      <c r="DKV144" s="609"/>
      <c r="DKW144" s="607"/>
      <c r="DKX144" s="607"/>
      <c r="DKY144" s="607"/>
      <c r="DKZ144" s="463"/>
      <c r="DLA144" s="454"/>
      <c r="DLB144" s="607"/>
      <c r="DLC144" s="607"/>
      <c r="DLD144" s="607"/>
      <c r="DLE144" s="607"/>
      <c r="DLF144" s="607"/>
      <c r="DLG144" s="453"/>
      <c r="DLH144" s="289"/>
      <c r="DLI144" s="453"/>
      <c r="DLJ144" s="453"/>
      <c r="DLK144" s="453"/>
      <c r="DLL144" s="453"/>
      <c r="DLM144" s="453"/>
      <c r="DLN144" s="461"/>
      <c r="DLO144" s="461"/>
      <c r="DLP144" s="461"/>
      <c r="DLQ144" s="609"/>
      <c r="DLR144" s="607"/>
      <c r="DLS144" s="607"/>
      <c r="DLT144" s="607"/>
      <c r="DLU144" s="463"/>
      <c r="DLV144" s="454"/>
      <c r="DLW144" s="607"/>
      <c r="DLX144" s="607"/>
      <c r="DLY144" s="607"/>
      <c r="DLZ144" s="607"/>
      <c r="DMA144" s="607"/>
      <c r="DMB144" s="453"/>
      <c r="DMC144" s="289"/>
      <c r="DMD144" s="453"/>
      <c r="DME144" s="453"/>
      <c r="DMF144" s="453"/>
      <c r="DMG144" s="453"/>
      <c r="DMH144" s="453"/>
      <c r="DMI144" s="461"/>
      <c r="DMJ144" s="461"/>
      <c r="DMK144" s="461"/>
      <c r="DML144" s="609"/>
      <c r="DMM144" s="607"/>
      <c r="DMN144" s="607"/>
      <c r="DMO144" s="607"/>
      <c r="DMP144" s="463"/>
      <c r="DMQ144" s="454"/>
      <c r="DMR144" s="607"/>
      <c r="DMS144" s="607"/>
      <c r="DMT144" s="607"/>
      <c r="DMU144" s="607"/>
      <c r="DMV144" s="607"/>
      <c r="DMW144" s="453"/>
      <c r="DMX144" s="289"/>
      <c r="DMY144" s="453"/>
      <c r="DMZ144" s="453"/>
      <c r="DNA144" s="453"/>
      <c r="DNB144" s="453"/>
      <c r="DNC144" s="453"/>
      <c r="DND144" s="461"/>
      <c r="DNE144" s="461"/>
      <c r="DNF144" s="461"/>
      <c r="DNG144" s="609"/>
      <c r="DNH144" s="607"/>
      <c r="DNI144" s="607"/>
      <c r="DNJ144" s="607"/>
      <c r="DNK144" s="463"/>
      <c r="DNL144" s="454"/>
      <c r="DNM144" s="607"/>
      <c r="DNN144" s="607"/>
      <c r="DNO144" s="607"/>
      <c r="DNP144" s="607"/>
      <c r="DNQ144" s="607"/>
      <c r="DNR144" s="453"/>
      <c r="DNS144" s="289"/>
      <c r="DNT144" s="453"/>
      <c r="DNU144" s="453"/>
      <c r="DNV144" s="453"/>
      <c r="DNW144" s="453"/>
      <c r="DNX144" s="453"/>
      <c r="DNY144" s="461"/>
      <c r="DNZ144" s="461"/>
      <c r="DOA144" s="461"/>
      <c r="DOB144" s="609"/>
      <c r="DOC144" s="607"/>
      <c r="DOD144" s="607"/>
      <c r="DOE144" s="607"/>
      <c r="DOF144" s="463"/>
      <c r="DOG144" s="454"/>
      <c r="DOH144" s="607"/>
      <c r="DOI144" s="607"/>
      <c r="DOJ144" s="607"/>
      <c r="DOK144" s="607"/>
      <c r="DOL144" s="607"/>
      <c r="DOM144" s="453"/>
      <c r="DON144" s="289"/>
      <c r="DOO144" s="453"/>
      <c r="DOP144" s="453"/>
      <c r="DOQ144" s="453"/>
      <c r="DOR144" s="453"/>
      <c r="DOS144" s="453"/>
      <c r="DOT144" s="461"/>
      <c r="DOU144" s="461"/>
      <c r="DOV144" s="461"/>
      <c r="DOW144" s="609"/>
      <c r="DOX144" s="607"/>
      <c r="DOY144" s="607"/>
      <c r="DOZ144" s="607"/>
      <c r="DPA144" s="463"/>
      <c r="DPB144" s="454"/>
      <c r="DPC144" s="607"/>
      <c r="DPD144" s="607"/>
      <c r="DPE144" s="607"/>
      <c r="DPF144" s="607"/>
      <c r="DPG144" s="607"/>
      <c r="DPH144" s="453"/>
      <c r="DPI144" s="289"/>
      <c r="DPJ144" s="453"/>
      <c r="DPK144" s="453"/>
      <c r="DPL144" s="453"/>
      <c r="DPM144" s="453"/>
      <c r="DPN144" s="453"/>
      <c r="DPO144" s="461"/>
      <c r="DPP144" s="461"/>
      <c r="DPQ144" s="461"/>
      <c r="DPR144" s="609"/>
      <c r="DPS144" s="607"/>
      <c r="DPT144" s="607"/>
      <c r="DPU144" s="607"/>
      <c r="DPV144" s="463"/>
      <c r="DPW144" s="454"/>
      <c r="DPX144" s="607"/>
      <c r="DPY144" s="607"/>
      <c r="DPZ144" s="607"/>
      <c r="DQA144" s="607"/>
      <c r="DQB144" s="607"/>
      <c r="DQC144" s="453"/>
      <c r="DQD144" s="289"/>
      <c r="DQE144" s="453"/>
      <c r="DQF144" s="453"/>
      <c r="DQG144" s="453"/>
      <c r="DQH144" s="453"/>
      <c r="DQI144" s="453"/>
      <c r="DQJ144" s="461"/>
      <c r="DQK144" s="461"/>
      <c r="DQL144" s="461"/>
      <c r="DQM144" s="609"/>
      <c r="DQN144" s="607"/>
      <c r="DQO144" s="607"/>
      <c r="DQP144" s="607"/>
      <c r="DQQ144" s="463"/>
      <c r="DQR144" s="454"/>
      <c r="DQS144" s="607"/>
      <c r="DQT144" s="607"/>
      <c r="DQU144" s="607"/>
      <c r="DQV144" s="607"/>
      <c r="DQW144" s="607"/>
      <c r="DQX144" s="453"/>
      <c r="DQY144" s="289"/>
      <c r="DQZ144" s="453"/>
      <c r="DRA144" s="453"/>
      <c r="DRB144" s="453"/>
      <c r="DRC144" s="453"/>
      <c r="DRD144" s="453"/>
      <c r="DRE144" s="461"/>
      <c r="DRF144" s="461"/>
      <c r="DRG144" s="461"/>
      <c r="DRH144" s="609"/>
      <c r="DRI144" s="607"/>
      <c r="DRJ144" s="607"/>
      <c r="DRK144" s="607"/>
      <c r="DRL144" s="463"/>
      <c r="DRM144" s="454"/>
      <c r="DRN144" s="607"/>
      <c r="DRO144" s="607"/>
      <c r="DRP144" s="607"/>
      <c r="DRQ144" s="607"/>
      <c r="DRR144" s="607"/>
      <c r="DRS144" s="453"/>
      <c r="DRT144" s="289"/>
      <c r="DRU144" s="453"/>
      <c r="DRV144" s="453"/>
      <c r="DRW144" s="453"/>
      <c r="DRX144" s="453"/>
      <c r="DRY144" s="453"/>
      <c r="DRZ144" s="461"/>
      <c r="DSA144" s="461"/>
      <c r="DSB144" s="461"/>
      <c r="DSC144" s="609"/>
      <c r="DSD144" s="607"/>
      <c r="DSE144" s="607"/>
      <c r="DSF144" s="607"/>
      <c r="DSG144" s="463"/>
      <c r="DSH144" s="454"/>
      <c r="DSI144" s="607"/>
      <c r="DSJ144" s="607"/>
      <c r="DSK144" s="607"/>
      <c r="DSL144" s="607"/>
      <c r="DSM144" s="607"/>
      <c r="DSN144" s="453"/>
      <c r="DSO144" s="289"/>
      <c r="DSP144" s="453"/>
      <c r="DSQ144" s="453"/>
      <c r="DSR144" s="453"/>
      <c r="DSS144" s="453"/>
      <c r="DST144" s="453"/>
      <c r="DSU144" s="461"/>
      <c r="DSV144" s="461"/>
      <c r="DSW144" s="461"/>
      <c r="DSX144" s="609"/>
      <c r="DSY144" s="607"/>
      <c r="DSZ144" s="607"/>
      <c r="DTA144" s="607"/>
      <c r="DTB144" s="463"/>
      <c r="DTC144" s="454"/>
      <c r="DTD144" s="607"/>
      <c r="DTE144" s="607"/>
      <c r="DTF144" s="607"/>
      <c r="DTG144" s="607"/>
      <c r="DTH144" s="607"/>
      <c r="DTI144" s="453"/>
      <c r="DTJ144" s="289"/>
      <c r="DTK144" s="453"/>
      <c r="DTL144" s="453"/>
      <c r="DTM144" s="453"/>
      <c r="DTN144" s="453"/>
      <c r="DTO144" s="453"/>
      <c r="DTP144" s="461"/>
      <c r="DTQ144" s="461"/>
      <c r="DTR144" s="461"/>
      <c r="DTS144" s="609"/>
      <c r="DTT144" s="607"/>
      <c r="DTU144" s="607"/>
      <c r="DTV144" s="607"/>
      <c r="DTW144" s="463"/>
      <c r="DTX144" s="454"/>
      <c r="DTY144" s="607"/>
      <c r="DTZ144" s="607"/>
      <c r="DUA144" s="607"/>
      <c r="DUB144" s="607"/>
      <c r="DUC144" s="607"/>
      <c r="DUD144" s="453"/>
      <c r="DUE144" s="289"/>
      <c r="DUF144" s="453"/>
      <c r="DUG144" s="453"/>
      <c r="DUH144" s="453"/>
      <c r="DUI144" s="453"/>
      <c r="DUJ144" s="453"/>
      <c r="DUK144" s="461"/>
      <c r="DUL144" s="461"/>
      <c r="DUM144" s="461"/>
      <c r="DUN144" s="609"/>
      <c r="DUO144" s="607"/>
      <c r="DUP144" s="607"/>
      <c r="DUQ144" s="607"/>
      <c r="DUR144" s="463"/>
      <c r="DUS144" s="454"/>
      <c r="DUT144" s="607"/>
      <c r="DUU144" s="607"/>
      <c r="DUV144" s="607"/>
      <c r="DUW144" s="607"/>
      <c r="DUX144" s="607"/>
      <c r="DUY144" s="453"/>
      <c r="DUZ144" s="289"/>
      <c r="DVA144" s="453"/>
      <c r="DVB144" s="453"/>
      <c r="DVC144" s="453"/>
      <c r="DVD144" s="453"/>
      <c r="DVE144" s="453"/>
      <c r="DVF144" s="461"/>
      <c r="DVG144" s="461"/>
      <c r="DVH144" s="461"/>
      <c r="DVI144" s="609"/>
      <c r="DVJ144" s="607"/>
      <c r="DVK144" s="607"/>
      <c r="DVL144" s="607"/>
      <c r="DVM144" s="463"/>
      <c r="DVN144" s="454"/>
      <c r="DVO144" s="607"/>
      <c r="DVP144" s="607"/>
      <c r="DVQ144" s="607"/>
      <c r="DVR144" s="607"/>
      <c r="DVS144" s="607"/>
      <c r="DVT144" s="453"/>
      <c r="DVU144" s="289"/>
      <c r="DVV144" s="453"/>
      <c r="DVW144" s="453"/>
      <c r="DVX144" s="453"/>
      <c r="DVY144" s="453"/>
      <c r="DVZ144" s="453"/>
      <c r="DWA144" s="461"/>
      <c r="DWB144" s="461"/>
      <c r="DWC144" s="461"/>
      <c r="DWD144" s="609"/>
      <c r="DWE144" s="607"/>
      <c r="DWF144" s="607"/>
      <c r="DWG144" s="607"/>
      <c r="DWH144" s="463"/>
      <c r="DWI144" s="454"/>
      <c r="DWJ144" s="607"/>
      <c r="DWK144" s="607"/>
      <c r="DWL144" s="607"/>
      <c r="DWM144" s="607"/>
      <c r="DWN144" s="607"/>
      <c r="DWO144" s="453"/>
      <c r="DWP144" s="289"/>
      <c r="DWQ144" s="453"/>
      <c r="DWR144" s="453"/>
      <c r="DWS144" s="453"/>
      <c r="DWT144" s="453"/>
      <c r="DWU144" s="453"/>
      <c r="DWV144" s="461"/>
      <c r="DWW144" s="461"/>
      <c r="DWX144" s="461"/>
      <c r="DWY144" s="609"/>
      <c r="DWZ144" s="607"/>
      <c r="DXA144" s="607"/>
      <c r="DXB144" s="607"/>
      <c r="DXC144" s="463"/>
      <c r="DXD144" s="454"/>
      <c r="DXE144" s="607"/>
      <c r="DXF144" s="607"/>
      <c r="DXG144" s="607"/>
      <c r="DXH144" s="607"/>
      <c r="DXI144" s="607"/>
      <c r="DXJ144" s="453"/>
      <c r="DXK144" s="289"/>
      <c r="DXL144" s="453"/>
      <c r="DXM144" s="453"/>
      <c r="DXN144" s="453"/>
      <c r="DXO144" s="453"/>
      <c r="DXP144" s="453"/>
      <c r="DXQ144" s="461"/>
      <c r="DXR144" s="461"/>
      <c r="DXS144" s="461"/>
      <c r="DXT144" s="609"/>
      <c r="DXU144" s="607"/>
      <c r="DXV144" s="607"/>
      <c r="DXW144" s="607"/>
      <c r="DXX144" s="463"/>
      <c r="DXY144" s="454"/>
      <c r="DXZ144" s="607"/>
      <c r="DYA144" s="607"/>
      <c r="DYB144" s="607"/>
      <c r="DYC144" s="607"/>
      <c r="DYD144" s="607"/>
      <c r="DYE144" s="453"/>
      <c r="DYF144" s="289"/>
      <c r="DYG144" s="453"/>
      <c r="DYH144" s="453"/>
      <c r="DYI144" s="453"/>
      <c r="DYJ144" s="453"/>
      <c r="DYK144" s="453"/>
      <c r="DYL144" s="461"/>
      <c r="DYM144" s="461"/>
      <c r="DYN144" s="461"/>
      <c r="DYO144" s="609"/>
      <c r="DYP144" s="607"/>
      <c r="DYQ144" s="607"/>
      <c r="DYR144" s="607"/>
      <c r="DYS144" s="463"/>
      <c r="DYT144" s="454"/>
      <c r="DYU144" s="607"/>
      <c r="DYV144" s="607"/>
      <c r="DYW144" s="607"/>
      <c r="DYX144" s="607"/>
      <c r="DYY144" s="607"/>
      <c r="DYZ144" s="453"/>
      <c r="DZA144" s="289"/>
      <c r="DZB144" s="453"/>
      <c r="DZC144" s="453"/>
      <c r="DZD144" s="453"/>
      <c r="DZE144" s="453"/>
      <c r="DZF144" s="453"/>
      <c r="DZG144" s="461"/>
      <c r="DZH144" s="461"/>
      <c r="DZI144" s="461"/>
      <c r="DZJ144" s="609"/>
      <c r="DZK144" s="607"/>
      <c r="DZL144" s="607"/>
      <c r="DZM144" s="607"/>
      <c r="DZN144" s="463"/>
      <c r="DZO144" s="454"/>
      <c r="DZP144" s="607"/>
      <c r="DZQ144" s="607"/>
      <c r="DZR144" s="607"/>
      <c r="DZS144" s="607"/>
      <c r="DZT144" s="607"/>
      <c r="DZU144" s="453"/>
      <c r="DZV144" s="289"/>
      <c r="DZW144" s="453"/>
      <c r="DZX144" s="453"/>
      <c r="DZY144" s="453"/>
      <c r="DZZ144" s="453"/>
      <c r="EAA144" s="453"/>
      <c r="EAB144" s="461"/>
      <c r="EAC144" s="461"/>
      <c r="EAD144" s="461"/>
      <c r="EAE144" s="609"/>
      <c r="EAF144" s="607"/>
      <c r="EAG144" s="607"/>
      <c r="EAH144" s="607"/>
      <c r="EAI144" s="463"/>
      <c r="EAJ144" s="454"/>
      <c r="EAK144" s="607"/>
      <c r="EAL144" s="607"/>
      <c r="EAM144" s="607"/>
      <c r="EAN144" s="607"/>
      <c r="EAO144" s="607"/>
      <c r="EAP144" s="453"/>
      <c r="EAQ144" s="289"/>
      <c r="EAR144" s="453"/>
      <c r="EAS144" s="453"/>
      <c r="EAT144" s="453"/>
      <c r="EAU144" s="453"/>
      <c r="EAV144" s="453"/>
      <c r="EAW144" s="461"/>
      <c r="EAX144" s="461"/>
      <c r="EAY144" s="461"/>
      <c r="EAZ144" s="609"/>
      <c r="EBA144" s="607"/>
      <c r="EBB144" s="607"/>
      <c r="EBC144" s="607"/>
      <c r="EBD144" s="463"/>
      <c r="EBE144" s="454"/>
      <c r="EBF144" s="607"/>
      <c r="EBG144" s="607"/>
      <c r="EBH144" s="607"/>
      <c r="EBI144" s="607"/>
      <c r="EBJ144" s="607"/>
      <c r="EBK144" s="453"/>
      <c r="EBL144" s="289"/>
      <c r="EBM144" s="453"/>
      <c r="EBN144" s="453"/>
      <c r="EBO144" s="453"/>
      <c r="EBP144" s="453"/>
      <c r="EBQ144" s="453"/>
      <c r="EBR144" s="461"/>
      <c r="EBS144" s="461"/>
      <c r="EBT144" s="461"/>
      <c r="EBU144" s="609"/>
      <c r="EBV144" s="607"/>
      <c r="EBW144" s="607"/>
      <c r="EBX144" s="607"/>
      <c r="EBY144" s="463"/>
      <c r="EBZ144" s="454"/>
      <c r="ECA144" s="607"/>
      <c r="ECB144" s="607"/>
      <c r="ECC144" s="607"/>
      <c r="ECD144" s="607"/>
      <c r="ECE144" s="607"/>
      <c r="ECF144" s="453"/>
      <c r="ECG144" s="289"/>
      <c r="ECH144" s="453"/>
      <c r="ECI144" s="453"/>
      <c r="ECJ144" s="453"/>
      <c r="ECK144" s="453"/>
      <c r="ECL144" s="453"/>
      <c r="ECM144" s="461"/>
      <c r="ECN144" s="461"/>
      <c r="ECO144" s="461"/>
      <c r="ECP144" s="609"/>
      <c r="ECQ144" s="607"/>
      <c r="ECR144" s="607"/>
      <c r="ECS144" s="607"/>
      <c r="ECT144" s="463"/>
      <c r="ECU144" s="454"/>
      <c r="ECV144" s="607"/>
      <c r="ECW144" s="607"/>
      <c r="ECX144" s="607"/>
      <c r="ECY144" s="607"/>
      <c r="ECZ144" s="607"/>
      <c r="EDA144" s="453"/>
      <c r="EDB144" s="289"/>
      <c r="EDC144" s="453"/>
      <c r="EDD144" s="453"/>
      <c r="EDE144" s="453"/>
      <c r="EDF144" s="453"/>
      <c r="EDG144" s="453"/>
      <c r="EDH144" s="461"/>
      <c r="EDI144" s="461"/>
      <c r="EDJ144" s="461"/>
      <c r="EDK144" s="609"/>
      <c r="EDL144" s="607"/>
      <c r="EDM144" s="607"/>
      <c r="EDN144" s="607"/>
      <c r="EDO144" s="463"/>
      <c r="EDP144" s="454"/>
      <c r="EDQ144" s="607"/>
      <c r="EDR144" s="607"/>
      <c r="EDS144" s="607"/>
      <c r="EDT144" s="607"/>
      <c r="EDU144" s="607"/>
      <c r="EDV144" s="453"/>
      <c r="EDW144" s="289"/>
      <c r="EDX144" s="453"/>
      <c r="EDY144" s="453"/>
      <c r="EDZ144" s="453"/>
      <c r="EEA144" s="453"/>
      <c r="EEB144" s="453"/>
      <c r="EEC144" s="461"/>
      <c r="EED144" s="461"/>
      <c r="EEE144" s="461"/>
      <c r="EEF144" s="609"/>
      <c r="EEG144" s="607"/>
      <c r="EEH144" s="607"/>
      <c r="EEI144" s="607"/>
      <c r="EEJ144" s="463"/>
      <c r="EEK144" s="454"/>
      <c r="EEL144" s="607"/>
      <c r="EEM144" s="607"/>
      <c r="EEN144" s="607"/>
      <c r="EEO144" s="607"/>
      <c r="EEP144" s="607"/>
      <c r="EEQ144" s="453"/>
      <c r="EER144" s="289"/>
      <c r="EES144" s="453"/>
      <c r="EET144" s="453"/>
      <c r="EEU144" s="453"/>
      <c r="EEV144" s="453"/>
      <c r="EEW144" s="453"/>
      <c r="EEX144" s="461"/>
      <c r="EEY144" s="461"/>
      <c r="EEZ144" s="461"/>
      <c r="EFA144" s="609"/>
      <c r="EFB144" s="607"/>
      <c r="EFC144" s="607"/>
      <c r="EFD144" s="607"/>
      <c r="EFE144" s="463"/>
      <c r="EFF144" s="454"/>
      <c r="EFG144" s="607"/>
      <c r="EFH144" s="607"/>
      <c r="EFI144" s="607"/>
      <c r="EFJ144" s="607"/>
      <c r="EFK144" s="607"/>
      <c r="EFL144" s="453"/>
      <c r="EFM144" s="289"/>
      <c r="EFN144" s="453"/>
      <c r="EFO144" s="453"/>
      <c r="EFP144" s="453"/>
      <c r="EFQ144" s="453"/>
      <c r="EFR144" s="453"/>
      <c r="EFS144" s="461"/>
      <c r="EFT144" s="461"/>
      <c r="EFU144" s="461"/>
      <c r="EFV144" s="609"/>
      <c r="EFW144" s="607"/>
      <c r="EFX144" s="607"/>
      <c r="EFY144" s="607"/>
      <c r="EFZ144" s="463"/>
      <c r="EGA144" s="454"/>
      <c r="EGB144" s="607"/>
      <c r="EGC144" s="607"/>
      <c r="EGD144" s="607"/>
      <c r="EGE144" s="607"/>
      <c r="EGF144" s="607"/>
      <c r="EGG144" s="453"/>
      <c r="EGH144" s="289"/>
      <c r="EGI144" s="453"/>
      <c r="EGJ144" s="453"/>
      <c r="EGK144" s="453"/>
      <c r="EGL144" s="453"/>
      <c r="EGM144" s="453"/>
      <c r="EGN144" s="461"/>
      <c r="EGO144" s="461"/>
      <c r="EGP144" s="461"/>
      <c r="EGQ144" s="609"/>
      <c r="EGR144" s="607"/>
      <c r="EGS144" s="607"/>
      <c r="EGT144" s="607"/>
      <c r="EGU144" s="463"/>
      <c r="EGV144" s="454"/>
      <c r="EGW144" s="607"/>
      <c r="EGX144" s="607"/>
      <c r="EGY144" s="607"/>
      <c r="EGZ144" s="607"/>
      <c r="EHA144" s="607"/>
      <c r="EHB144" s="453"/>
      <c r="EHC144" s="289"/>
      <c r="EHD144" s="453"/>
      <c r="EHE144" s="453"/>
      <c r="EHF144" s="453"/>
      <c r="EHG144" s="453"/>
      <c r="EHH144" s="453"/>
      <c r="EHI144" s="461"/>
      <c r="EHJ144" s="461"/>
      <c r="EHK144" s="461"/>
      <c r="EHL144" s="609"/>
      <c r="EHM144" s="607"/>
      <c r="EHN144" s="607"/>
      <c r="EHO144" s="607"/>
      <c r="EHP144" s="463"/>
      <c r="EHQ144" s="454"/>
      <c r="EHR144" s="607"/>
      <c r="EHS144" s="607"/>
      <c r="EHT144" s="607"/>
      <c r="EHU144" s="607"/>
      <c r="EHV144" s="607"/>
      <c r="EHW144" s="453"/>
      <c r="EHX144" s="289"/>
      <c r="EHY144" s="453"/>
      <c r="EHZ144" s="453"/>
      <c r="EIA144" s="453"/>
      <c r="EIB144" s="453"/>
      <c r="EIC144" s="453"/>
      <c r="EID144" s="461"/>
      <c r="EIE144" s="461"/>
      <c r="EIF144" s="461"/>
      <c r="EIG144" s="609"/>
      <c r="EIH144" s="607"/>
      <c r="EII144" s="607"/>
      <c r="EIJ144" s="607"/>
      <c r="EIK144" s="463"/>
      <c r="EIL144" s="454"/>
      <c r="EIM144" s="607"/>
      <c r="EIN144" s="607"/>
      <c r="EIO144" s="607"/>
      <c r="EIP144" s="607"/>
      <c r="EIQ144" s="607"/>
      <c r="EIR144" s="453"/>
      <c r="EIS144" s="289"/>
      <c r="EIT144" s="453"/>
      <c r="EIU144" s="453"/>
      <c r="EIV144" s="453"/>
      <c r="EIW144" s="453"/>
      <c r="EIX144" s="453"/>
      <c r="EIY144" s="461"/>
      <c r="EIZ144" s="461"/>
      <c r="EJA144" s="461"/>
      <c r="EJB144" s="609"/>
      <c r="EJC144" s="607"/>
      <c r="EJD144" s="607"/>
      <c r="EJE144" s="607"/>
      <c r="EJF144" s="463"/>
      <c r="EJG144" s="454"/>
      <c r="EJH144" s="607"/>
      <c r="EJI144" s="607"/>
      <c r="EJJ144" s="607"/>
      <c r="EJK144" s="607"/>
      <c r="EJL144" s="607"/>
      <c r="EJM144" s="453"/>
      <c r="EJN144" s="289"/>
      <c r="EJO144" s="453"/>
      <c r="EJP144" s="453"/>
      <c r="EJQ144" s="453"/>
      <c r="EJR144" s="453"/>
      <c r="EJS144" s="453"/>
      <c r="EJT144" s="461"/>
      <c r="EJU144" s="461"/>
      <c r="EJV144" s="461"/>
      <c r="EJW144" s="609"/>
      <c r="EJX144" s="607"/>
      <c r="EJY144" s="607"/>
      <c r="EJZ144" s="607"/>
      <c r="EKA144" s="463"/>
      <c r="EKB144" s="454"/>
      <c r="EKC144" s="607"/>
      <c r="EKD144" s="607"/>
      <c r="EKE144" s="607"/>
      <c r="EKF144" s="607"/>
      <c r="EKG144" s="607"/>
      <c r="EKH144" s="453"/>
      <c r="EKI144" s="289"/>
      <c r="EKJ144" s="453"/>
      <c r="EKK144" s="453"/>
      <c r="EKL144" s="453"/>
      <c r="EKM144" s="453"/>
      <c r="EKN144" s="453"/>
      <c r="EKO144" s="461"/>
      <c r="EKP144" s="461"/>
      <c r="EKQ144" s="461"/>
      <c r="EKR144" s="609"/>
      <c r="EKS144" s="607"/>
      <c r="EKT144" s="607"/>
      <c r="EKU144" s="607"/>
      <c r="EKV144" s="463"/>
      <c r="EKW144" s="454"/>
      <c r="EKX144" s="607"/>
      <c r="EKY144" s="607"/>
      <c r="EKZ144" s="607"/>
      <c r="ELA144" s="607"/>
      <c r="ELB144" s="607"/>
      <c r="ELC144" s="453"/>
      <c r="ELD144" s="289"/>
      <c r="ELE144" s="453"/>
      <c r="ELF144" s="453"/>
      <c r="ELG144" s="453"/>
      <c r="ELH144" s="453"/>
      <c r="ELI144" s="453"/>
      <c r="ELJ144" s="461"/>
      <c r="ELK144" s="461"/>
      <c r="ELL144" s="461"/>
      <c r="ELM144" s="609"/>
      <c r="ELN144" s="607"/>
      <c r="ELO144" s="607"/>
      <c r="ELP144" s="607"/>
      <c r="ELQ144" s="463"/>
      <c r="ELR144" s="454"/>
      <c r="ELS144" s="607"/>
      <c r="ELT144" s="607"/>
      <c r="ELU144" s="607"/>
      <c r="ELV144" s="607"/>
      <c r="ELW144" s="607"/>
      <c r="ELX144" s="453"/>
      <c r="ELY144" s="289"/>
      <c r="ELZ144" s="453"/>
      <c r="EMA144" s="453"/>
      <c r="EMB144" s="453"/>
      <c r="EMC144" s="453"/>
      <c r="EMD144" s="453"/>
      <c r="EME144" s="461"/>
      <c r="EMF144" s="461"/>
      <c r="EMG144" s="461"/>
      <c r="EMH144" s="609"/>
      <c r="EMI144" s="607"/>
      <c r="EMJ144" s="607"/>
      <c r="EMK144" s="607"/>
      <c r="EML144" s="463"/>
      <c r="EMM144" s="454"/>
      <c r="EMN144" s="607"/>
      <c r="EMO144" s="607"/>
      <c r="EMP144" s="607"/>
      <c r="EMQ144" s="607"/>
      <c r="EMR144" s="607"/>
      <c r="EMS144" s="453"/>
      <c r="EMT144" s="289"/>
      <c r="EMU144" s="453"/>
      <c r="EMV144" s="453"/>
      <c r="EMW144" s="453"/>
      <c r="EMX144" s="453"/>
      <c r="EMY144" s="453"/>
      <c r="EMZ144" s="461"/>
      <c r="ENA144" s="461"/>
      <c r="ENB144" s="461"/>
      <c r="ENC144" s="609"/>
      <c r="END144" s="607"/>
      <c r="ENE144" s="607"/>
      <c r="ENF144" s="607"/>
      <c r="ENG144" s="463"/>
      <c r="ENH144" s="454"/>
      <c r="ENI144" s="607"/>
      <c r="ENJ144" s="607"/>
      <c r="ENK144" s="607"/>
      <c r="ENL144" s="607"/>
      <c r="ENM144" s="607"/>
      <c r="ENN144" s="453"/>
      <c r="ENO144" s="289"/>
      <c r="ENP144" s="453"/>
      <c r="ENQ144" s="453"/>
      <c r="ENR144" s="453"/>
      <c r="ENS144" s="453"/>
      <c r="ENT144" s="453"/>
      <c r="ENU144" s="461"/>
      <c r="ENV144" s="461"/>
      <c r="ENW144" s="461"/>
      <c r="ENX144" s="609"/>
      <c r="ENY144" s="607"/>
      <c r="ENZ144" s="607"/>
      <c r="EOA144" s="607"/>
      <c r="EOB144" s="463"/>
      <c r="EOC144" s="454"/>
      <c r="EOD144" s="607"/>
      <c r="EOE144" s="607"/>
      <c r="EOF144" s="607"/>
      <c r="EOG144" s="607"/>
      <c r="EOH144" s="607"/>
      <c r="EOI144" s="453"/>
      <c r="EOJ144" s="289"/>
      <c r="EOK144" s="453"/>
      <c r="EOL144" s="453"/>
      <c r="EOM144" s="453"/>
      <c r="EON144" s="453"/>
      <c r="EOO144" s="453"/>
      <c r="EOP144" s="461"/>
      <c r="EOQ144" s="461"/>
      <c r="EOR144" s="461"/>
      <c r="EOS144" s="609"/>
      <c r="EOT144" s="607"/>
      <c r="EOU144" s="607"/>
      <c r="EOV144" s="607"/>
      <c r="EOW144" s="463"/>
      <c r="EOX144" s="454"/>
      <c r="EOY144" s="607"/>
      <c r="EOZ144" s="607"/>
      <c r="EPA144" s="607"/>
      <c r="EPB144" s="607"/>
      <c r="EPC144" s="607"/>
      <c r="EPD144" s="453"/>
      <c r="EPE144" s="289"/>
      <c r="EPF144" s="453"/>
      <c r="EPG144" s="453"/>
      <c r="EPH144" s="453"/>
      <c r="EPI144" s="453"/>
      <c r="EPJ144" s="453"/>
      <c r="EPK144" s="461"/>
      <c r="EPL144" s="461"/>
      <c r="EPM144" s="461"/>
      <c r="EPN144" s="609"/>
      <c r="EPO144" s="607"/>
      <c r="EPP144" s="607"/>
      <c r="EPQ144" s="607"/>
      <c r="EPR144" s="463"/>
      <c r="EPS144" s="454"/>
      <c r="EPT144" s="607"/>
      <c r="EPU144" s="607"/>
      <c r="EPV144" s="607"/>
      <c r="EPW144" s="607"/>
      <c r="EPX144" s="607"/>
      <c r="EPY144" s="453"/>
      <c r="EPZ144" s="289"/>
      <c r="EQA144" s="453"/>
      <c r="EQB144" s="453"/>
      <c r="EQC144" s="453"/>
      <c r="EQD144" s="453"/>
      <c r="EQE144" s="453"/>
      <c r="EQF144" s="461"/>
      <c r="EQG144" s="461"/>
      <c r="EQH144" s="461"/>
      <c r="EQI144" s="609"/>
      <c r="EQJ144" s="607"/>
      <c r="EQK144" s="607"/>
      <c r="EQL144" s="607"/>
      <c r="EQM144" s="463"/>
      <c r="EQN144" s="454"/>
      <c r="EQO144" s="607"/>
      <c r="EQP144" s="607"/>
      <c r="EQQ144" s="607"/>
      <c r="EQR144" s="607"/>
      <c r="EQS144" s="607"/>
      <c r="EQT144" s="453"/>
      <c r="EQU144" s="289"/>
      <c r="EQV144" s="453"/>
      <c r="EQW144" s="453"/>
      <c r="EQX144" s="453"/>
      <c r="EQY144" s="453"/>
      <c r="EQZ144" s="453"/>
      <c r="ERA144" s="461"/>
      <c r="ERB144" s="461"/>
      <c r="ERC144" s="461"/>
      <c r="ERD144" s="609"/>
      <c r="ERE144" s="607"/>
      <c r="ERF144" s="607"/>
      <c r="ERG144" s="607"/>
      <c r="ERH144" s="463"/>
      <c r="ERI144" s="454"/>
      <c r="ERJ144" s="607"/>
      <c r="ERK144" s="607"/>
      <c r="ERL144" s="607"/>
      <c r="ERM144" s="607"/>
      <c r="ERN144" s="607"/>
      <c r="ERO144" s="453"/>
      <c r="ERP144" s="289"/>
      <c r="ERQ144" s="453"/>
      <c r="ERR144" s="453"/>
      <c r="ERS144" s="453"/>
      <c r="ERT144" s="453"/>
      <c r="ERU144" s="453"/>
      <c r="ERV144" s="461"/>
      <c r="ERW144" s="461"/>
      <c r="ERX144" s="461"/>
      <c r="ERY144" s="609"/>
      <c r="ERZ144" s="607"/>
      <c r="ESA144" s="607"/>
      <c r="ESB144" s="607"/>
      <c r="ESC144" s="463"/>
      <c r="ESD144" s="454"/>
      <c r="ESE144" s="607"/>
      <c r="ESF144" s="607"/>
      <c r="ESG144" s="607"/>
      <c r="ESH144" s="607"/>
      <c r="ESI144" s="607"/>
      <c r="ESJ144" s="453"/>
      <c r="ESK144" s="289"/>
      <c r="ESL144" s="453"/>
      <c r="ESM144" s="453"/>
      <c r="ESN144" s="453"/>
      <c r="ESO144" s="453"/>
      <c r="ESP144" s="453"/>
      <c r="ESQ144" s="461"/>
      <c r="ESR144" s="461"/>
      <c r="ESS144" s="461"/>
      <c r="EST144" s="609"/>
      <c r="ESU144" s="607"/>
      <c r="ESV144" s="607"/>
      <c r="ESW144" s="607"/>
      <c r="ESX144" s="463"/>
      <c r="ESY144" s="454"/>
      <c r="ESZ144" s="607"/>
      <c r="ETA144" s="607"/>
      <c r="ETB144" s="607"/>
      <c r="ETC144" s="607"/>
      <c r="ETD144" s="607"/>
      <c r="ETE144" s="453"/>
      <c r="ETF144" s="289"/>
      <c r="ETG144" s="453"/>
      <c r="ETH144" s="453"/>
      <c r="ETI144" s="453"/>
      <c r="ETJ144" s="453"/>
      <c r="ETK144" s="453"/>
      <c r="ETL144" s="461"/>
      <c r="ETM144" s="461"/>
      <c r="ETN144" s="461"/>
      <c r="ETO144" s="609"/>
      <c r="ETP144" s="607"/>
      <c r="ETQ144" s="607"/>
      <c r="ETR144" s="607"/>
      <c r="ETS144" s="463"/>
      <c r="ETT144" s="454"/>
      <c r="ETU144" s="607"/>
      <c r="ETV144" s="607"/>
      <c r="ETW144" s="607"/>
      <c r="ETX144" s="607"/>
      <c r="ETY144" s="607"/>
      <c r="ETZ144" s="453"/>
      <c r="EUA144" s="289"/>
      <c r="EUB144" s="453"/>
      <c r="EUC144" s="453"/>
      <c r="EUD144" s="453"/>
      <c r="EUE144" s="453"/>
      <c r="EUF144" s="453"/>
      <c r="EUG144" s="461"/>
      <c r="EUH144" s="461"/>
      <c r="EUI144" s="461"/>
      <c r="EUJ144" s="609"/>
      <c r="EUK144" s="607"/>
      <c r="EUL144" s="607"/>
      <c r="EUM144" s="607"/>
      <c r="EUN144" s="463"/>
      <c r="EUO144" s="454"/>
      <c r="EUP144" s="607"/>
      <c r="EUQ144" s="607"/>
      <c r="EUR144" s="607"/>
      <c r="EUS144" s="607"/>
      <c r="EUT144" s="607"/>
      <c r="EUU144" s="453"/>
      <c r="EUV144" s="289"/>
      <c r="EUW144" s="453"/>
      <c r="EUX144" s="453"/>
      <c r="EUY144" s="453"/>
      <c r="EUZ144" s="453"/>
      <c r="EVA144" s="453"/>
      <c r="EVB144" s="461"/>
      <c r="EVC144" s="461"/>
      <c r="EVD144" s="461"/>
      <c r="EVE144" s="609"/>
      <c r="EVF144" s="607"/>
      <c r="EVG144" s="607"/>
      <c r="EVH144" s="607"/>
      <c r="EVI144" s="463"/>
      <c r="EVJ144" s="454"/>
      <c r="EVK144" s="607"/>
      <c r="EVL144" s="607"/>
      <c r="EVM144" s="607"/>
      <c r="EVN144" s="607"/>
      <c r="EVO144" s="607"/>
      <c r="EVP144" s="453"/>
      <c r="EVQ144" s="289"/>
      <c r="EVR144" s="453"/>
      <c r="EVS144" s="453"/>
      <c r="EVT144" s="453"/>
      <c r="EVU144" s="453"/>
      <c r="EVV144" s="453"/>
      <c r="EVW144" s="461"/>
      <c r="EVX144" s="461"/>
      <c r="EVY144" s="461"/>
      <c r="EVZ144" s="609"/>
      <c r="EWA144" s="607"/>
      <c r="EWB144" s="607"/>
      <c r="EWC144" s="607"/>
      <c r="EWD144" s="463"/>
      <c r="EWE144" s="454"/>
      <c r="EWF144" s="607"/>
      <c r="EWG144" s="607"/>
      <c r="EWH144" s="607"/>
      <c r="EWI144" s="607"/>
      <c r="EWJ144" s="607"/>
      <c r="EWK144" s="453"/>
      <c r="EWL144" s="289"/>
      <c r="EWM144" s="453"/>
      <c r="EWN144" s="453"/>
      <c r="EWO144" s="453"/>
      <c r="EWP144" s="453"/>
      <c r="EWQ144" s="453"/>
      <c r="EWR144" s="461"/>
      <c r="EWS144" s="461"/>
      <c r="EWT144" s="461"/>
      <c r="EWU144" s="609"/>
      <c r="EWV144" s="607"/>
      <c r="EWW144" s="607"/>
      <c r="EWX144" s="607"/>
      <c r="EWY144" s="463"/>
      <c r="EWZ144" s="454"/>
      <c r="EXA144" s="607"/>
      <c r="EXB144" s="607"/>
      <c r="EXC144" s="607"/>
      <c r="EXD144" s="607"/>
      <c r="EXE144" s="607"/>
      <c r="EXF144" s="453"/>
      <c r="EXG144" s="289"/>
      <c r="EXH144" s="453"/>
      <c r="EXI144" s="453"/>
      <c r="EXJ144" s="453"/>
      <c r="EXK144" s="453"/>
      <c r="EXL144" s="453"/>
      <c r="EXM144" s="461"/>
      <c r="EXN144" s="461"/>
      <c r="EXO144" s="461"/>
      <c r="EXP144" s="609"/>
      <c r="EXQ144" s="607"/>
      <c r="EXR144" s="607"/>
      <c r="EXS144" s="607"/>
      <c r="EXT144" s="463"/>
      <c r="EXU144" s="454"/>
      <c r="EXV144" s="607"/>
      <c r="EXW144" s="607"/>
      <c r="EXX144" s="607"/>
      <c r="EXY144" s="607"/>
      <c r="EXZ144" s="607"/>
      <c r="EYA144" s="453"/>
      <c r="EYB144" s="289"/>
      <c r="EYC144" s="453"/>
      <c r="EYD144" s="453"/>
      <c r="EYE144" s="453"/>
      <c r="EYF144" s="453"/>
      <c r="EYG144" s="453"/>
      <c r="EYH144" s="461"/>
      <c r="EYI144" s="461"/>
      <c r="EYJ144" s="461"/>
      <c r="EYK144" s="609"/>
      <c r="EYL144" s="607"/>
      <c r="EYM144" s="607"/>
      <c r="EYN144" s="607"/>
      <c r="EYO144" s="463"/>
      <c r="EYP144" s="454"/>
      <c r="EYQ144" s="607"/>
      <c r="EYR144" s="607"/>
      <c r="EYS144" s="607"/>
      <c r="EYT144" s="607"/>
      <c r="EYU144" s="607"/>
      <c r="EYV144" s="453"/>
      <c r="EYW144" s="289"/>
      <c r="EYX144" s="453"/>
      <c r="EYY144" s="453"/>
      <c r="EYZ144" s="453"/>
      <c r="EZA144" s="453"/>
      <c r="EZB144" s="453"/>
      <c r="EZC144" s="461"/>
      <c r="EZD144" s="461"/>
      <c r="EZE144" s="461"/>
      <c r="EZF144" s="609"/>
      <c r="EZG144" s="607"/>
      <c r="EZH144" s="607"/>
      <c r="EZI144" s="607"/>
      <c r="EZJ144" s="463"/>
      <c r="EZK144" s="454"/>
      <c r="EZL144" s="607"/>
      <c r="EZM144" s="607"/>
      <c r="EZN144" s="607"/>
      <c r="EZO144" s="607"/>
      <c r="EZP144" s="607"/>
      <c r="EZQ144" s="453"/>
      <c r="EZR144" s="289"/>
      <c r="EZS144" s="453"/>
      <c r="EZT144" s="453"/>
      <c r="EZU144" s="453"/>
      <c r="EZV144" s="453"/>
      <c r="EZW144" s="453"/>
      <c r="EZX144" s="461"/>
      <c r="EZY144" s="461"/>
      <c r="EZZ144" s="461"/>
      <c r="FAA144" s="609"/>
      <c r="FAB144" s="607"/>
      <c r="FAC144" s="607"/>
      <c r="FAD144" s="607"/>
      <c r="FAE144" s="463"/>
      <c r="FAF144" s="454"/>
      <c r="FAG144" s="607"/>
      <c r="FAH144" s="607"/>
      <c r="FAI144" s="607"/>
      <c r="FAJ144" s="607"/>
      <c r="FAK144" s="607"/>
      <c r="FAL144" s="453"/>
      <c r="FAM144" s="289"/>
      <c r="FAN144" s="453"/>
      <c r="FAO144" s="453"/>
      <c r="FAP144" s="453"/>
      <c r="FAQ144" s="453"/>
      <c r="FAR144" s="453"/>
      <c r="FAS144" s="461"/>
      <c r="FAT144" s="461"/>
      <c r="FAU144" s="461"/>
      <c r="FAV144" s="609"/>
      <c r="FAW144" s="607"/>
      <c r="FAX144" s="607"/>
      <c r="FAY144" s="607"/>
      <c r="FAZ144" s="463"/>
      <c r="FBA144" s="454"/>
      <c r="FBB144" s="607"/>
      <c r="FBC144" s="607"/>
      <c r="FBD144" s="607"/>
      <c r="FBE144" s="607"/>
      <c r="FBF144" s="607"/>
      <c r="FBG144" s="453"/>
      <c r="FBH144" s="289"/>
      <c r="FBI144" s="453"/>
      <c r="FBJ144" s="453"/>
      <c r="FBK144" s="453"/>
      <c r="FBL144" s="453"/>
      <c r="FBM144" s="453"/>
      <c r="FBN144" s="461"/>
      <c r="FBO144" s="461"/>
      <c r="FBP144" s="461"/>
      <c r="FBQ144" s="609"/>
      <c r="FBR144" s="607"/>
      <c r="FBS144" s="607"/>
      <c r="FBT144" s="607"/>
      <c r="FBU144" s="463"/>
      <c r="FBV144" s="454"/>
      <c r="FBW144" s="607"/>
      <c r="FBX144" s="607"/>
      <c r="FBY144" s="607"/>
      <c r="FBZ144" s="607"/>
      <c r="FCA144" s="607"/>
      <c r="FCB144" s="453"/>
      <c r="FCC144" s="289"/>
      <c r="FCD144" s="453"/>
      <c r="FCE144" s="453"/>
      <c r="FCF144" s="453"/>
      <c r="FCG144" s="453"/>
      <c r="FCH144" s="453"/>
      <c r="FCI144" s="461"/>
      <c r="FCJ144" s="461"/>
      <c r="FCK144" s="461"/>
      <c r="FCL144" s="609"/>
      <c r="FCM144" s="607"/>
      <c r="FCN144" s="607"/>
      <c r="FCO144" s="607"/>
      <c r="FCP144" s="463"/>
      <c r="FCQ144" s="454"/>
      <c r="FCR144" s="607"/>
      <c r="FCS144" s="607"/>
      <c r="FCT144" s="607"/>
      <c r="FCU144" s="607"/>
      <c r="FCV144" s="607"/>
      <c r="FCW144" s="453"/>
      <c r="FCX144" s="289"/>
      <c r="FCY144" s="453"/>
      <c r="FCZ144" s="453"/>
      <c r="FDA144" s="453"/>
      <c r="FDB144" s="453"/>
      <c r="FDC144" s="453"/>
      <c r="FDD144" s="461"/>
      <c r="FDE144" s="461"/>
      <c r="FDF144" s="461"/>
      <c r="FDG144" s="609"/>
      <c r="FDH144" s="607"/>
      <c r="FDI144" s="607"/>
      <c r="FDJ144" s="607"/>
      <c r="FDK144" s="463"/>
      <c r="FDL144" s="454"/>
      <c r="FDM144" s="607"/>
      <c r="FDN144" s="607"/>
      <c r="FDO144" s="607"/>
      <c r="FDP144" s="607"/>
      <c r="FDQ144" s="607"/>
      <c r="FDR144" s="453"/>
      <c r="FDS144" s="289"/>
      <c r="FDT144" s="453"/>
      <c r="FDU144" s="453"/>
      <c r="FDV144" s="453"/>
      <c r="FDW144" s="453"/>
      <c r="FDX144" s="453"/>
      <c r="FDY144" s="461"/>
      <c r="FDZ144" s="461"/>
      <c r="FEA144" s="461"/>
      <c r="FEB144" s="609"/>
      <c r="FEC144" s="607"/>
      <c r="FED144" s="607"/>
      <c r="FEE144" s="607"/>
      <c r="FEF144" s="463"/>
      <c r="FEG144" s="454"/>
      <c r="FEH144" s="607"/>
      <c r="FEI144" s="607"/>
      <c r="FEJ144" s="607"/>
      <c r="FEK144" s="607"/>
      <c r="FEL144" s="607"/>
      <c r="FEM144" s="453"/>
      <c r="FEN144" s="289"/>
      <c r="FEO144" s="453"/>
      <c r="FEP144" s="453"/>
      <c r="FEQ144" s="453"/>
      <c r="FER144" s="453"/>
      <c r="FES144" s="453"/>
      <c r="FET144" s="461"/>
      <c r="FEU144" s="461"/>
      <c r="FEV144" s="461"/>
      <c r="FEW144" s="609"/>
      <c r="FEX144" s="607"/>
      <c r="FEY144" s="607"/>
      <c r="FEZ144" s="607"/>
      <c r="FFA144" s="463"/>
      <c r="FFB144" s="454"/>
      <c r="FFC144" s="607"/>
      <c r="FFD144" s="607"/>
      <c r="FFE144" s="607"/>
      <c r="FFF144" s="607"/>
      <c r="FFG144" s="607"/>
      <c r="FFH144" s="453"/>
      <c r="FFI144" s="289"/>
      <c r="FFJ144" s="453"/>
      <c r="FFK144" s="453"/>
      <c r="FFL144" s="453"/>
      <c r="FFM144" s="453"/>
      <c r="FFN144" s="453"/>
      <c r="FFO144" s="461"/>
      <c r="FFP144" s="461"/>
      <c r="FFQ144" s="461"/>
      <c r="FFR144" s="609"/>
      <c r="FFS144" s="607"/>
      <c r="FFT144" s="607"/>
      <c r="FFU144" s="607"/>
      <c r="FFV144" s="463"/>
      <c r="FFW144" s="454"/>
      <c r="FFX144" s="607"/>
      <c r="FFY144" s="607"/>
      <c r="FFZ144" s="607"/>
      <c r="FGA144" s="607"/>
      <c r="FGB144" s="607"/>
      <c r="FGC144" s="453"/>
      <c r="FGD144" s="289"/>
      <c r="FGE144" s="453"/>
      <c r="FGF144" s="453"/>
      <c r="FGG144" s="453"/>
      <c r="FGH144" s="453"/>
      <c r="FGI144" s="453"/>
      <c r="FGJ144" s="461"/>
      <c r="FGK144" s="461"/>
      <c r="FGL144" s="461"/>
      <c r="FGM144" s="609"/>
      <c r="FGN144" s="607"/>
      <c r="FGO144" s="607"/>
      <c r="FGP144" s="607"/>
      <c r="FGQ144" s="463"/>
      <c r="FGR144" s="454"/>
      <c r="FGS144" s="607"/>
      <c r="FGT144" s="607"/>
      <c r="FGU144" s="607"/>
      <c r="FGV144" s="607"/>
      <c r="FGW144" s="607"/>
      <c r="FGX144" s="453"/>
      <c r="FGY144" s="289"/>
      <c r="FGZ144" s="453"/>
      <c r="FHA144" s="453"/>
      <c r="FHB144" s="453"/>
      <c r="FHC144" s="453"/>
      <c r="FHD144" s="453"/>
      <c r="FHE144" s="461"/>
      <c r="FHF144" s="461"/>
      <c r="FHG144" s="461"/>
      <c r="FHH144" s="609"/>
      <c r="FHI144" s="607"/>
      <c r="FHJ144" s="607"/>
      <c r="FHK144" s="607"/>
      <c r="FHL144" s="463"/>
      <c r="FHM144" s="454"/>
      <c r="FHN144" s="607"/>
      <c r="FHO144" s="607"/>
      <c r="FHP144" s="607"/>
      <c r="FHQ144" s="607"/>
      <c r="FHR144" s="607"/>
      <c r="FHS144" s="453"/>
      <c r="FHT144" s="289"/>
      <c r="FHU144" s="453"/>
      <c r="FHV144" s="453"/>
      <c r="FHW144" s="453"/>
      <c r="FHX144" s="453"/>
      <c r="FHY144" s="453"/>
      <c r="FHZ144" s="461"/>
      <c r="FIA144" s="461"/>
      <c r="FIB144" s="461"/>
      <c r="FIC144" s="609"/>
      <c r="FID144" s="607"/>
      <c r="FIE144" s="607"/>
      <c r="FIF144" s="607"/>
      <c r="FIG144" s="463"/>
      <c r="FIH144" s="454"/>
      <c r="FII144" s="607"/>
      <c r="FIJ144" s="607"/>
      <c r="FIK144" s="607"/>
      <c r="FIL144" s="607"/>
      <c r="FIM144" s="607"/>
      <c r="FIN144" s="453"/>
      <c r="FIO144" s="289"/>
      <c r="FIP144" s="453"/>
      <c r="FIQ144" s="453"/>
      <c r="FIR144" s="453"/>
      <c r="FIS144" s="453"/>
      <c r="FIT144" s="453"/>
      <c r="FIU144" s="461"/>
      <c r="FIV144" s="461"/>
      <c r="FIW144" s="461"/>
      <c r="FIX144" s="609"/>
      <c r="FIY144" s="607"/>
      <c r="FIZ144" s="607"/>
      <c r="FJA144" s="607"/>
      <c r="FJB144" s="463"/>
      <c r="FJC144" s="454"/>
      <c r="FJD144" s="607"/>
      <c r="FJE144" s="607"/>
      <c r="FJF144" s="607"/>
      <c r="FJG144" s="607"/>
      <c r="FJH144" s="607"/>
      <c r="FJI144" s="453"/>
      <c r="FJJ144" s="289"/>
      <c r="FJK144" s="453"/>
      <c r="FJL144" s="453"/>
      <c r="FJM144" s="453"/>
      <c r="FJN144" s="453"/>
      <c r="FJO144" s="453"/>
      <c r="FJP144" s="461"/>
      <c r="FJQ144" s="461"/>
      <c r="FJR144" s="461"/>
      <c r="FJS144" s="609"/>
      <c r="FJT144" s="607"/>
      <c r="FJU144" s="607"/>
      <c r="FJV144" s="607"/>
      <c r="FJW144" s="463"/>
      <c r="FJX144" s="454"/>
      <c r="FJY144" s="607"/>
      <c r="FJZ144" s="607"/>
      <c r="FKA144" s="607"/>
      <c r="FKB144" s="607"/>
      <c r="FKC144" s="607"/>
      <c r="FKD144" s="453"/>
      <c r="FKE144" s="289"/>
      <c r="FKF144" s="453"/>
      <c r="FKG144" s="453"/>
      <c r="FKH144" s="453"/>
      <c r="FKI144" s="453"/>
      <c r="FKJ144" s="453"/>
      <c r="FKK144" s="461"/>
      <c r="FKL144" s="461"/>
      <c r="FKM144" s="461"/>
      <c r="FKN144" s="609"/>
      <c r="FKO144" s="607"/>
      <c r="FKP144" s="607"/>
      <c r="FKQ144" s="607"/>
      <c r="FKR144" s="463"/>
      <c r="FKS144" s="454"/>
      <c r="FKT144" s="607"/>
      <c r="FKU144" s="607"/>
      <c r="FKV144" s="607"/>
      <c r="FKW144" s="607"/>
      <c r="FKX144" s="607"/>
      <c r="FKY144" s="453"/>
      <c r="FKZ144" s="289"/>
      <c r="FLA144" s="453"/>
      <c r="FLB144" s="453"/>
      <c r="FLC144" s="453"/>
      <c r="FLD144" s="453"/>
      <c r="FLE144" s="453"/>
      <c r="FLF144" s="461"/>
      <c r="FLG144" s="461"/>
      <c r="FLH144" s="461"/>
      <c r="FLI144" s="609"/>
      <c r="FLJ144" s="607"/>
      <c r="FLK144" s="607"/>
      <c r="FLL144" s="607"/>
      <c r="FLM144" s="463"/>
      <c r="FLN144" s="454"/>
      <c r="FLO144" s="607"/>
      <c r="FLP144" s="607"/>
      <c r="FLQ144" s="607"/>
      <c r="FLR144" s="607"/>
      <c r="FLS144" s="607"/>
      <c r="FLT144" s="453"/>
      <c r="FLU144" s="289"/>
      <c r="FLV144" s="453"/>
      <c r="FLW144" s="453"/>
      <c r="FLX144" s="453"/>
      <c r="FLY144" s="453"/>
      <c r="FLZ144" s="453"/>
      <c r="FMA144" s="461"/>
      <c r="FMB144" s="461"/>
      <c r="FMC144" s="461"/>
      <c r="FMD144" s="609"/>
      <c r="FME144" s="607"/>
      <c r="FMF144" s="607"/>
      <c r="FMG144" s="607"/>
      <c r="FMH144" s="463"/>
      <c r="FMI144" s="454"/>
      <c r="FMJ144" s="607"/>
      <c r="FMK144" s="607"/>
      <c r="FML144" s="607"/>
      <c r="FMM144" s="607"/>
      <c r="FMN144" s="607"/>
      <c r="FMO144" s="453"/>
      <c r="FMP144" s="289"/>
      <c r="FMQ144" s="453"/>
      <c r="FMR144" s="453"/>
      <c r="FMS144" s="453"/>
      <c r="FMT144" s="453"/>
      <c r="FMU144" s="453"/>
      <c r="FMV144" s="461"/>
      <c r="FMW144" s="461"/>
      <c r="FMX144" s="461"/>
      <c r="FMY144" s="609"/>
      <c r="FMZ144" s="607"/>
      <c r="FNA144" s="607"/>
      <c r="FNB144" s="607"/>
      <c r="FNC144" s="463"/>
      <c r="FND144" s="454"/>
      <c r="FNE144" s="607"/>
      <c r="FNF144" s="607"/>
      <c r="FNG144" s="607"/>
      <c r="FNH144" s="607"/>
      <c r="FNI144" s="607"/>
      <c r="FNJ144" s="453"/>
      <c r="FNK144" s="289"/>
      <c r="FNL144" s="453"/>
      <c r="FNM144" s="453"/>
      <c r="FNN144" s="453"/>
      <c r="FNO144" s="453"/>
      <c r="FNP144" s="453"/>
      <c r="FNQ144" s="461"/>
      <c r="FNR144" s="461"/>
      <c r="FNS144" s="461"/>
      <c r="FNT144" s="609"/>
      <c r="FNU144" s="607"/>
      <c r="FNV144" s="607"/>
      <c r="FNW144" s="607"/>
      <c r="FNX144" s="463"/>
      <c r="FNY144" s="454"/>
      <c r="FNZ144" s="607"/>
      <c r="FOA144" s="607"/>
      <c r="FOB144" s="607"/>
      <c r="FOC144" s="607"/>
      <c r="FOD144" s="607"/>
      <c r="FOE144" s="453"/>
      <c r="FOF144" s="289"/>
      <c r="FOG144" s="453"/>
      <c r="FOH144" s="453"/>
      <c r="FOI144" s="453"/>
      <c r="FOJ144" s="453"/>
      <c r="FOK144" s="453"/>
      <c r="FOL144" s="461"/>
      <c r="FOM144" s="461"/>
      <c r="FON144" s="461"/>
      <c r="FOO144" s="609"/>
      <c r="FOP144" s="607"/>
      <c r="FOQ144" s="607"/>
      <c r="FOR144" s="607"/>
      <c r="FOS144" s="463"/>
      <c r="FOT144" s="454"/>
      <c r="FOU144" s="607"/>
      <c r="FOV144" s="607"/>
      <c r="FOW144" s="607"/>
      <c r="FOX144" s="607"/>
      <c r="FOY144" s="607"/>
      <c r="FOZ144" s="453"/>
      <c r="FPA144" s="289"/>
      <c r="FPB144" s="453"/>
      <c r="FPC144" s="453"/>
      <c r="FPD144" s="453"/>
      <c r="FPE144" s="453"/>
      <c r="FPF144" s="453"/>
      <c r="FPG144" s="461"/>
      <c r="FPH144" s="461"/>
      <c r="FPI144" s="461"/>
      <c r="FPJ144" s="609"/>
      <c r="FPK144" s="607"/>
      <c r="FPL144" s="607"/>
      <c r="FPM144" s="607"/>
      <c r="FPN144" s="463"/>
      <c r="FPO144" s="454"/>
      <c r="FPP144" s="607"/>
      <c r="FPQ144" s="607"/>
      <c r="FPR144" s="607"/>
      <c r="FPS144" s="607"/>
      <c r="FPT144" s="607"/>
      <c r="FPU144" s="453"/>
      <c r="FPV144" s="289"/>
      <c r="FPW144" s="453"/>
      <c r="FPX144" s="453"/>
      <c r="FPY144" s="453"/>
      <c r="FPZ144" s="453"/>
      <c r="FQA144" s="453"/>
      <c r="FQB144" s="461"/>
      <c r="FQC144" s="461"/>
      <c r="FQD144" s="461"/>
      <c r="FQE144" s="609"/>
      <c r="FQF144" s="607"/>
      <c r="FQG144" s="607"/>
      <c r="FQH144" s="607"/>
      <c r="FQI144" s="463"/>
      <c r="FQJ144" s="454"/>
      <c r="FQK144" s="607"/>
      <c r="FQL144" s="607"/>
      <c r="FQM144" s="607"/>
      <c r="FQN144" s="607"/>
      <c r="FQO144" s="607"/>
      <c r="FQP144" s="453"/>
      <c r="FQQ144" s="289"/>
      <c r="FQR144" s="453"/>
      <c r="FQS144" s="453"/>
      <c r="FQT144" s="453"/>
      <c r="FQU144" s="453"/>
      <c r="FQV144" s="453"/>
      <c r="FQW144" s="461"/>
      <c r="FQX144" s="461"/>
      <c r="FQY144" s="461"/>
      <c r="FQZ144" s="609"/>
      <c r="FRA144" s="607"/>
      <c r="FRB144" s="607"/>
      <c r="FRC144" s="607"/>
      <c r="FRD144" s="463"/>
      <c r="FRE144" s="454"/>
      <c r="FRF144" s="607"/>
      <c r="FRG144" s="607"/>
      <c r="FRH144" s="607"/>
      <c r="FRI144" s="607"/>
      <c r="FRJ144" s="607"/>
      <c r="FRK144" s="453"/>
      <c r="FRL144" s="289"/>
      <c r="FRM144" s="453"/>
      <c r="FRN144" s="453"/>
      <c r="FRO144" s="453"/>
      <c r="FRP144" s="453"/>
      <c r="FRQ144" s="453"/>
      <c r="FRR144" s="461"/>
      <c r="FRS144" s="461"/>
      <c r="FRT144" s="461"/>
      <c r="FRU144" s="609"/>
      <c r="FRV144" s="607"/>
      <c r="FRW144" s="607"/>
      <c r="FRX144" s="607"/>
      <c r="FRY144" s="463"/>
      <c r="FRZ144" s="454"/>
      <c r="FSA144" s="607"/>
      <c r="FSB144" s="607"/>
      <c r="FSC144" s="607"/>
      <c r="FSD144" s="607"/>
      <c r="FSE144" s="607"/>
      <c r="FSF144" s="453"/>
      <c r="FSG144" s="289"/>
      <c r="FSH144" s="453"/>
      <c r="FSI144" s="453"/>
      <c r="FSJ144" s="453"/>
      <c r="FSK144" s="453"/>
      <c r="FSL144" s="453"/>
      <c r="FSM144" s="461"/>
      <c r="FSN144" s="461"/>
      <c r="FSO144" s="461"/>
      <c r="FSP144" s="609"/>
      <c r="FSQ144" s="607"/>
      <c r="FSR144" s="607"/>
      <c r="FSS144" s="607"/>
      <c r="FST144" s="463"/>
      <c r="FSU144" s="454"/>
      <c r="FSV144" s="607"/>
      <c r="FSW144" s="607"/>
      <c r="FSX144" s="607"/>
      <c r="FSY144" s="607"/>
      <c r="FSZ144" s="607"/>
      <c r="FTA144" s="453"/>
      <c r="FTB144" s="289"/>
      <c r="FTC144" s="453"/>
      <c r="FTD144" s="453"/>
      <c r="FTE144" s="453"/>
      <c r="FTF144" s="453"/>
      <c r="FTG144" s="453"/>
      <c r="FTH144" s="461"/>
      <c r="FTI144" s="461"/>
      <c r="FTJ144" s="461"/>
      <c r="FTK144" s="609"/>
      <c r="FTL144" s="607"/>
      <c r="FTM144" s="607"/>
      <c r="FTN144" s="607"/>
      <c r="FTO144" s="463"/>
      <c r="FTP144" s="454"/>
      <c r="FTQ144" s="607"/>
      <c r="FTR144" s="607"/>
      <c r="FTS144" s="607"/>
      <c r="FTT144" s="607"/>
      <c r="FTU144" s="607"/>
      <c r="FTV144" s="453"/>
      <c r="FTW144" s="289"/>
      <c r="FTX144" s="453"/>
      <c r="FTY144" s="453"/>
      <c r="FTZ144" s="453"/>
      <c r="FUA144" s="453"/>
      <c r="FUB144" s="453"/>
      <c r="FUC144" s="461"/>
      <c r="FUD144" s="461"/>
      <c r="FUE144" s="461"/>
      <c r="FUF144" s="609"/>
      <c r="FUG144" s="607"/>
      <c r="FUH144" s="607"/>
      <c r="FUI144" s="607"/>
      <c r="FUJ144" s="463"/>
      <c r="FUK144" s="454"/>
      <c r="FUL144" s="607"/>
      <c r="FUM144" s="607"/>
      <c r="FUN144" s="607"/>
      <c r="FUO144" s="607"/>
      <c r="FUP144" s="607"/>
      <c r="FUQ144" s="453"/>
      <c r="FUR144" s="289"/>
      <c r="FUS144" s="453"/>
      <c r="FUT144" s="453"/>
      <c r="FUU144" s="453"/>
      <c r="FUV144" s="453"/>
      <c r="FUW144" s="453"/>
      <c r="FUX144" s="461"/>
      <c r="FUY144" s="461"/>
      <c r="FUZ144" s="461"/>
      <c r="FVA144" s="609"/>
      <c r="FVB144" s="607"/>
      <c r="FVC144" s="607"/>
      <c r="FVD144" s="607"/>
      <c r="FVE144" s="463"/>
      <c r="FVF144" s="454"/>
      <c r="FVG144" s="607"/>
      <c r="FVH144" s="607"/>
      <c r="FVI144" s="607"/>
      <c r="FVJ144" s="607"/>
      <c r="FVK144" s="607"/>
      <c r="FVL144" s="453"/>
      <c r="FVM144" s="289"/>
      <c r="FVN144" s="453"/>
      <c r="FVO144" s="453"/>
      <c r="FVP144" s="453"/>
      <c r="FVQ144" s="453"/>
      <c r="FVR144" s="453"/>
      <c r="FVS144" s="461"/>
      <c r="FVT144" s="461"/>
      <c r="FVU144" s="461"/>
      <c r="FVV144" s="609"/>
      <c r="FVW144" s="607"/>
      <c r="FVX144" s="607"/>
      <c r="FVY144" s="607"/>
      <c r="FVZ144" s="463"/>
      <c r="FWA144" s="454"/>
      <c r="FWB144" s="607"/>
      <c r="FWC144" s="607"/>
      <c r="FWD144" s="607"/>
      <c r="FWE144" s="607"/>
      <c r="FWF144" s="607"/>
      <c r="FWG144" s="453"/>
      <c r="FWH144" s="289"/>
      <c r="FWI144" s="453"/>
      <c r="FWJ144" s="453"/>
      <c r="FWK144" s="453"/>
      <c r="FWL144" s="453"/>
      <c r="FWM144" s="453"/>
      <c r="FWN144" s="461"/>
      <c r="FWO144" s="461"/>
      <c r="FWP144" s="461"/>
      <c r="FWQ144" s="609"/>
      <c r="FWR144" s="607"/>
      <c r="FWS144" s="607"/>
      <c r="FWT144" s="607"/>
      <c r="FWU144" s="463"/>
      <c r="FWV144" s="454"/>
      <c r="FWW144" s="607"/>
      <c r="FWX144" s="607"/>
      <c r="FWY144" s="607"/>
      <c r="FWZ144" s="607"/>
      <c r="FXA144" s="607"/>
      <c r="FXB144" s="453"/>
      <c r="FXC144" s="289"/>
      <c r="FXD144" s="453"/>
      <c r="FXE144" s="453"/>
      <c r="FXF144" s="453"/>
      <c r="FXG144" s="453"/>
      <c r="FXH144" s="453"/>
      <c r="FXI144" s="461"/>
      <c r="FXJ144" s="461"/>
      <c r="FXK144" s="461"/>
      <c r="FXL144" s="609"/>
      <c r="FXM144" s="607"/>
      <c r="FXN144" s="607"/>
      <c r="FXO144" s="607"/>
      <c r="FXP144" s="463"/>
      <c r="FXQ144" s="454"/>
      <c r="FXR144" s="607"/>
      <c r="FXS144" s="607"/>
      <c r="FXT144" s="607"/>
      <c r="FXU144" s="607"/>
      <c r="FXV144" s="607"/>
      <c r="FXW144" s="453"/>
      <c r="FXX144" s="289"/>
      <c r="FXY144" s="453"/>
      <c r="FXZ144" s="453"/>
      <c r="FYA144" s="453"/>
      <c r="FYB144" s="453"/>
      <c r="FYC144" s="453"/>
      <c r="FYD144" s="461"/>
      <c r="FYE144" s="461"/>
      <c r="FYF144" s="461"/>
      <c r="FYG144" s="609"/>
      <c r="FYH144" s="607"/>
      <c r="FYI144" s="607"/>
      <c r="FYJ144" s="607"/>
      <c r="FYK144" s="463"/>
      <c r="FYL144" s="454"/>
      <c r="FYM144" s="607"/>
      <c r="FYN144" s="607"/>
      <c r="FYO144" s="607"/>
      <c r="FYP144" s="607"/>
      <c r="FYQ144" s="607"/>
      <c r="FYR144" s="453"/>
      <c r="FYS144" s="289"/>
      <c r="FYT144" s="453"/>
      <c r="FYU144" s="453"/>
      <c r="FYV144" s="453"/>
      <c r="FYW144" s="453"/>
      <c r="FYX144" s="453"/>
      <c r="FYY144" s="461"/>
      <c r="FYZ144" s="461"/>
      <c r="FZA144" s="461"/>
      <c r="FZB144" s="609"/>
      <c r="FZC144" s="607"/>
      <c r="FZD144" s="607"/>
      <c r="FZE144" s="607"/>
      <c r="FZF144" s="463"/>
      <c r="FZG144" s="454"/>
      <c r="FZH144" s="607"/>
      <c r="FZI144" s="607"/>
      <c r="FZJ144" s="607"/>
      <c r="FZK144" s="607"/>
      <c r="FZL144" s="607"/>
      <c r="FZM144" s="453"/>
      <c r="FZN144" s="289"/>
      <c r="FZO144" s="453"/>
      <c r="FZP144" s="453"/>
      <c r="FZQ144" s="453"/>
      <c r="FZR144" s="453"/>
      <c r="FZS144" s="453"/>
      <c r="FZT144" s="461"/>
      <c r="FZU144" s="461"/>
      <c r="FZV144" s="461"/>
      <c r="FZW144" s="609"/>
      <c r="FZX144" s="607"/>
      <c r="FZY144" s="607"/>
      <c r="FZZ144" s="607"/>
      <c r="GAA144" s="463"/>
      <c r="GAB144" s="454"/>
      <c r="GAC144" s="607"/>
      <c r="GAD144" s="607"/>
      <c r="GAE144" s="607"/>
      <c r="GAF144" s="607"/>
      <c r="GAG144" s="607"/>
      <c r="GAH144" s="453"/>
      <c r="GAI144" s="289"/>
      <c r="GAJ144" s="453"/>
      <c r="GAK144" s="453"/>
      <c r="GAL144" s="453"/>
      <c r="GAM144" s="453"/>
      <c r="GAN144" s="453"/>
      <c r="GAO144" s="461"/>
      <c r="GAP144" s="461"/>
      <c r="GAQ144" s="461"/>
      <c r="GAR144" s="609"/>
      <c r="GAS144" s="607"/>
      <c r="GAT144" s="607"/>
      <c r="GAU144" s="607"/>
      <c r="GAV144" s="463"/>
      <c r="GAW144" s="454"/>
      <c r="GAX144" s="607"/>
      <c r="GAY144" s="607"/>
      <c r="GAZ144" s="607"/>
      <c r="GBA144" s="607"/>
      <c r="GBB144" s="607"/>
      <c r="GBC144" s="453"/>
      <c r="GBD144" s="289"/>
      <c r="GBE144" s="453"/>
      <c r="GBF144" s="453"/>
      <c r="GBG144" s="453"/>
      <c r="GBH144" s="453"/>
      <c r="GBI144" s="453"/>
      <c r="GBJ144" s="461"/>
      <c r="GBK144" s="461"/>
      <c r="GBL144" s="461"/>
      <c r="GBM144" s="609"/>
      <c r="GBN144" s="607"/>
      <c r="GBO144" s="607"/>
      <c r="GBP144" s="607"/>
      <c r="GBQ144" s="463"/>
      <c r="GBR144" s="454"/>
      <c r="GBS144" s="607"/>
      <c r="GBT144" s="607"/>
      <c r="GBU144" s="607"/>
      <c r="GBV144" s="607"/>
      <c r="GBW144" s="607"/>
      <c r="GBX144" s="453"/>
      <c r="GBY144" s="289"/>
      <c r="GBZ144" s="453"/>
      <c r="GCA144" s="453"/>
      <c r="GCB144" s="453"/>
      <c r="GCC144" s="453"/>
      <c r="GCD144" s="453"/>
      <c r="GCE144" s="461"/>
      <c r="GCF144" s="461"/>
      <c r="GCG144" s="461"/>
      <c r="GCH144" s="609"/>
      <c r="GCI144" s="607"/>
      <c r="GCJ144" s="607"/>
      <c r="GCK144" s="607"/>
      <c r="GCL144" s="463"/>
      <c r="GCM144" s="454"/>
      <c r="GCN144" s="607"/>
      <c r="GCO144" s="607"/>
      <c r="GCP144" s="607"/>
      <c r="GCQ144" s="607"/>
      <c r="GCR144" s="607"/>
      <c r="GCS144" s="453"/>
      <c r="GCT144" s="289"/>
      <c r="GCU144" s="453"/>
      <c r="GCV144" s="453"/>
      <c r="GCW144" s="453"/>
      <c r="GCX144" s="453"/>
      <c r="GCY144" s="453"/>
      <c r="GCZ144" s="461"/>
      <c r="GDA144" s="461"/>
      <c r="GDB144" s="461"/>
      <c r="GDC144" s="609"/>
      <c r="GDD144" s="607"/>
      <c r="GDE144" s="607"/>
      <c r="GDF144" s="607"/>
      <c r="GDG144" s="463"/>
      <c r="GDH144" s="454"/>
      <c r="GDI144" s="607"/>
      <c r="GDJ144" s="607"/>
      <c r="GDK144" s="607"/>
      <c r="GDL144" s="607"/>
      <c r="GDM144" s="607"/>
      <c r="GDN144" s="453"/>
      <c r="GDO144" s="289"/>
      <c r="GDP144" s="453"/>
      <c r="GDQ144" s="453"/>
      <c r="GDR144" s="453"/>
      <c r="GDS144" s="453"/>
      <c r="GDT144" s="453"/>
      <c r="GDU144" s="461"/>
      <c r="GDV144" s="461"/>
      <c r="GDW144" s="461"/>
      <c r="GDX144" s="609"/>
      <c r="GDY144" s="607"/>
      <c r="GDZ144" s="607"/>
      <c r="GEA144" s="607"/>
      <c r="GEB144" s="463"/>
      <c r="GEC144" s="454"/>
      <c r="GED144" s="607"/>
      <c r="GEE144" s="607"/>
      <c r="GEF144" s="607"/>
      <c r="GEG144" s="607"/>
      <c r="GEH144" s="607"/>
      <c r="GEI144" s="453"/>
      <c r="GEJ144" s="289"/>
      <c r="GEK144" s="453"/>
      <c r="GEL144" s="453"/>
      <c r="GEM144" s="453"/>
      <c r="GEN144" s="453"/>
      <c r="GEO144" s="453"/>
      <c r="GEP144" s="461"/>
      <c r="GEQ144" s="461"/>
      <c r="GER144" s="461"/>
      <c r="GES144" s="609"/>
      <c r="GET144" s="607"/>
      <c r="GEU144" s="607"/>
      <c r="GEV144" s="607"/>
      <c r="GEW144" s="463"/>
      <c r="GEX144" s="454"/>
      <c r="GEY144" s="607"/>
      <c r="GEZ144" s="607"/>
      <c r="GFA144" s="607"/>
      <c r="GFB144" s="607"/>
      <c r="GFC144" s="607"/>
      <c r="GFD144" s="453"/>
      <c r="GFE144" s="289"/>
      <c r="GFF144" s="453"/>
      <c r="GFG144" s="453"/>
      <c r="GFH144" s="453"/>
      <c r="GFI144" s="453"/>
      <c r="GFJ144" s="453"/>
      <c r="GFK144" s="461"/>
      <c r="GFL144" s="461"/>
      <c r="GFM144" s="461"/>
      <c r="GFN144" s="609"/>
      <c r="GFO144" s="607"/>
      <c r="GFP144" s="607"/>
      <c r="GFQ144" s="607"/>
      <c r="GFR144" s="463"/>
      <c r="GFS144" s="454"/>
      <c r="GFT144" s="607"/>
      <c r="GFU144" s="607"/>
      <c r="GFV144" s="607"/>
      <c r="GFW144" s="607"/>
      <c r="GFX144" s="607"/>
      <c r="GFY144" s="453"/>
      <c r="GFZ144" s="289"/>
      <c r="GGA144" s="453"/>
      <c r="GGB144" s="453"/>
      <c r="GGC144" s="453"/>
      <c r="GGD144" s="453"/>
      <c r="GGE144" s="453"/>
      <c r="GGF144" s="461"/>
      <c r="GGG144" s="461"/>
      <c r="GGH144" s="461"/>
      <c r="GGI144" s="609"/>
      <c r="GGJ144" s="607"/>
      <c r="GGK144" s="607"/>
      <c r="GGL144" s="607"/>
      <c r="GGM144" s="463"/>
      <c r="GGN144" s="454"/>
      <c r="GGO144" s="607"/>
      <c r="GGP144" s="607"/>
      <c r="GGQ144" s="607"/>
      <c r="GGR144" s="607"/>
      <c r="GGS144" s="607"/>
      <c r="GGT144" s="453"/>
      <c r="GGU144" s="289"/>
      <c r="GGV144" s="453"/>
      <c r="GGW144" s="453"/>
      <c r="GGX144" s="453"/>
      <c r="GGY144" s="453"/>
      <c r="GGZ144" s="453"/>
      <c r="GHA144" s="461"/>
      <c r="GHB144" s="461"/>
      <c r="GHC144" s="461"/>
      <c r="GHD144" s="609"/>
      <c r="GHE144" s="607"/>
      <c r="GHF144" s="607"/>
      <c r="GHG144" s="607"/>
      <c r="GHH144" s="463"/>
      <c r="GHI144" s="454"/>
      <c r="GHJ144" s="607"/>
      <c r="GHK144" s="607"/>
      <c r="GHL144" s="607"/>
      <c r="GHM144" s="607"/>
      <c r="GHN144" s="607"/>
      <c r="GHO144" s="453"/>
      <c r="GHP144" s="289"/>
      <c r="GHQ144" s="453"/>
      <c r="GHR144" s="453"/>
      <c r="GHS144" s="453"/>
      <c r="GHT144" s="453"/>
      <c r="GHU144" s="453"/>
      <c r="GHV144" s="461"/>
      <c r="GHW144" s="461"/>
      <c r="GHX144" s="461"/>
      <c r="GHY144" s="609"/>
      <c r="GHZ144" s="607"/>
      <c r="GIA144" s="607"/>
      <c r="GIB144" s="607"/>
      <c r="GIC144" s="463"/>
      <c r="GID144" s="454"/>
      <c r="GIE144" s="607"/>
      <c r="GIF144" s="607"/>
      <c r="GIG144" s="607"/>
      <c r="GIH144" s="607"/>
      <c r="GII144" s="607"/>
      <c r="GIJ144" s="453"/>
      <c r="GIK144" s="289"/>
      <c r="GIL144" s="453"/>
      <c r="GIM144" s="453"/>
      <c r="GIN144" s="453"/>
      <c r="GIO144" s="453"/>
      <c r="GIP144" s="453"/>
      <c r="GIQ144" s="461"/>
      <c r="GIR144" s="461"/>
      <c r="GIS144" s="461"/>
      <c r="GIT144" s="609"/>
      <c r="GIU144" s="607"/>
      <c r="GIV144" s="607"/>
      <c r="GIW144" s="607"/>
      <c r="GIX144" s="463"/>
      <c r="GIY144" s="454"/>
      <c r="GIZ144" s="607"/>
      <c r="GJA144" s="607"/>
      <c r="GJB144" s="607"/>
      <c r="GJC144" s="607"/>
      <c r="GJD144" s="607"/>
      <c r="GJE144" s="453"/>
      <c r="GJF144" s="289"/>
      <c r="GJG144" s="453"/>
      <c r="GJH144" s="453"/>
      <c r="GJI144" s="453"/>
      <c r="GJJ144" s="453"/>
      <c r="GJK144" s="453"/>
      <c r="GJL144" s="461"/>
      <c r="GJM144" s="461"/>
      <c r="GJN144" s="461"/>
      <c r="GJO144" s="609"/>
      <c r="GJP144" s="607"/>
      <c r="GJQ144" s="607"/>
      <c r="GJR144" s="607"/>
      <c r="GJS144" s="463"/>
      <c r="GJT144" s="454"/>
      <c r="GJU144" s="607"/>
      <c r="GJV144" s="607"/>
      <c r="GJW144" s="607"/>
      <c r="GJX144" s="607"/>
      <c r="GJY144" s="607"/>
      <c r="GJZ144" s="453"/>
      <c r="GKA144" s="289"/>
      <c r="GKB144" s="453"/>
      <c r="GKC144" s="453"/>
      <c r="GKD144" s="453"/>
      <c r="GKE144" s="453"/>
      <c r="GKF144" s="453"/>
      <c r="GKG144" s="461"/>
      <c r="GKH144" s="461"/>
      <c r="GKI144" s="461"/>
      <c r="GKJ144" s="609"/>
      <c r="GKK144" s="607"/>
      <c r="GKL144" s="607"/>
      <c r="GKM144" s="607"/>
      <c r="GKN144" s="463"/>
      <c r="GKO144" s="454"/>
      <c r="GKP144" s="607"/>
      <c r="GKQ144" s="607"/>
      <c r="GKR144" s="607"/>
      <c r="GKS144" s="607"/>
      <c r="GKT144" s="607"/>
      <c r="GKU144" s="453"/>
      <c r="GKV144" s="289"/>
      <c r="GKW144" s="453"/>
      <c r="GKX144" s="453"/>
      <c r="GKY144" s="453"/>
      <c r="GKZ144" s="453"/>
      <c r="GLA144" s="453"/>
      <c r="GLB144" s="461"/>
      <c r="GLC144" s="461"/>
      <c r="GLD144" s="461"/>
      <c r="GLE144" s="609"/>
      <c r="GLF144" s="607"/>
      <c r="GLG144" s="607"/>
      <c r="GLH144" s="607"/>
      <c r="GLI144" s="463"/>
      <c r="GLJ144" s="454"/>
      <c r="GLK144" s="607"/>
      <c r="GLL144" s="607"/>
      <c r="GLM144" s="607"/>
      <c r="GLN144" s="607"/>
      <c r="GLO144" s="607"/>
      <c r="GLP144" s="453"/>
      <c r="GLQ144" s="289"/>
      <c r="GLR144" s="453"/>
      <c r="GLS144" s="453"/>
      <c r="GLT144" s="453"/>
      <c r="GLU144" s="453"/>
      <c r="GLV144" s="453"/>
      <c r="GLW144" s="461"/>
      <c r="GLX144" s="461"/>
      <c r="GLY144" s="461"/>
      <c r="GLZ144" s="609"/>
      <c r="GMA144" s="607"/>
      <c r="GMB144" s="607"/>
      <c r="GMC144" s="607"/>
      <c r="GMD144" s="463"/>
      <c r="GME144" s="454"/>
      <c r="GMF144" s="607"/>
      <c r="GMG144" s="607"/>
      <c r="GMH144" s="607"/>
      <c r="GMI144" s="607"/>
      <c r="GMJ144" s="607"/>
      <c r="GMK144" s="453"/>
      <c r="GML144" s="289"/>
      <c r="GMM144" s="453"/>
      <c r="GMN144" s="453"/>
      <c r="GMO144" s="453"/>
      <c r="GMP144" s="453"/>
      <c r="GMQ144" s="453"/>
      <c r="GMR144" s="461"/>
      <c r="GMS144" s="461"/>
      <c r="GMT144" s="461"/>
      <c r="GMU144" s="609"/>
      <c r="GMV144" s="607"/>
      <c r="GMW144" s="607"/>
      <c r="GMX144" s="607"/>
      <c r="GMY144" s="463"/>
      <c r="GMZ144" s="454"/>
      <c r="GNA144" s="607"/>
      <c r="GNB144" s="607"/>
      <c r="GNC144" s="607"/>
      <c r="GND144" s="607"/>
      <c r="GNE144" s="607"/>
      <c r="GNF144" s="453"/>
      <c r="GNG144" s="289"/>
      <c r="GNH144" s="453"/>
      <c r="GNI144" s="453"/>
      <c r="GNJ144" s="453"/>
      <c r="GNK144" s="453"/>
      <c r="GNL144" s="453"/>
      <c r="GNM144" s="461"/>
      <c r="GNN144" s="461"/>
      <c r="GNO144" s="461"/>
      <c r="GNP144" s="609"/>
      <c r="GNQ144" s="607"/>
      <c r="GNR144" s="607"/>
      <c r="GNS144" s="607"/>
      <c r="GNT144" s="463"/>
      <c r="GNU144" s="454"/>
      <c r="GNV144" s="607"/>
      <c r="GNW144" s="607"/>
      <c r="GNX144" s="607"/>
      <c r="GNY144" s="607"/>
      <c r="GNZ144" s="607"/>
      <c r="GOA144" s="453"/>
      <c r="GOB144" s="289"/>
      <c r="GOC144" s="453"/>
      <c r="GOD144" s="453"/>
      <c r="GOE144" s="453"/>
      <c r="GOF144" s="453"/>
      <c r="GOG144" s="453"/>
      <c r="GOH144" s="461"/>
      <c r="GOI144" s="461"/>
      <c r="GOJ144" s="461"/>
      <c r="GOK144" s="609"/>
      <c r="GOL144" s="607"/>
      <c r="GOM144" s="607"/>
      <c r="GON144" s="607"/>
      <c r="GOO144" s="463"/>
      <c r="GOP144" s="454"/>
      <c r="GOQ144" s="607"/>
      <c r="GOR144" s="607"/>
      <c r="GOS144" s="607"/>
      <c r="GOT144" s="607"/>
      <c r="GOU144" s="607"/>
      <c r="GOV144" s="453"/>
      <c r="GOW144" s="289"/>
      <c r="GOX144" s="453"/>
      <c r="GOY144" s="453"/>
      <c r="GOZ144" s="453"/>
      <c r="GPA144" s="453"/>
      <c r="GPB144" s="453"/>
      <c r="GPC144" s="461"/>
      <c r="GPD144" s="461"/>
      <c r="GPE144" s="461"/>
      <c r="GPF144" s="609"/>
      <c r="GPG144" s="607"/>
      <c r="GPH144" s="607"/>
      <c r="GPI144" s="607"/>
      <c r="GPJ144" s="463"/>
      <c r="GPK144" s="454"/>
      <c r="GPL144" s="607"/>
      <c r="GPM144" s="607"/>
      <c r="GPN144" s="607"/>
      <c r="GPO144" s="607"/>
      <c r="GPP144" s="607"/>
      <c r="GPQ144" s="453"/>
      <c r="GPR144" s="289"/>
      <c r="GPS144" s="453"/>
      <c r="GPT144" s="453"/>
      <c r="GPU144" s="453"/>
      <c r="GPV144" s="453"/>
      <c r="GPW144" s="453"/>
      <c r="GPX144" s="461"/>
      <c r="GPY144" s="461"/>
      <c r="GPZ144" s="461"/>
      <c r="GQA144" s="609"/>
      <c r="GQB144" s="607"/>
      <c r="GQC144" s="607"/>
      <c r="GQD144" s="607"/>
      <c r="GQE144" s="463"/>
      <c r="GQF144" s="454"/>
      <c r="GQG144" s="607"/>
      <c r="GQH144" s="607"/>
      <c r="GQI144" s="607"/>
      <c r="GQJ144" s="607"/>
      <c r="GQK144" s="607"/>
      <c r="GQL144" s="453"/>
      <c r="GQM144" s="289"/>
      <c r="GQN144" s="453"/>
      <c r="GQO144" s="453"/>
      <c r="GQP144" s="453"/>
      <c r="GQQ144" s="453"/>
      <c r="GQR144" s="453"/>
      <c r="GQS144" s="461"/>
      <c r="GQT144" s="461"/>
      <c r="GQU144" s="461"/>
      <c r="GQV144" s="609"/>
      <c r="GQW144" s="607"/>
      <c r="GQX144" s="607"/>
      <c r="GQY144" s="607"/>
      <c r="GQZ144" s="463"/>
      <c r="GRA144" s="454"/>
      <c r="GRB144" s="607"/>
      <c r="GRC144" s="607"/>
      <c r="GRD144" s="607"/>
      <c r="GRE144" s="607"/>
      <c r="GRF144" s="607"/>
      <c r="GRG144" s="453"/>
      <c r="GRH144" s="289"/>
      <c r="GRI144" s="453"/>
      <c r="GRJ144" s="453"/>
      <c r="GRK144" s="453"/>
      <c r="GRL144" s="453"/>
      <c r="GRM144" s="453"/>
      <c r="GRN144" s="461"/>
      <c r="GRO144" s="461"/>
      <c r="GRP144" s="461"/>
      <c r="GRQ144" s="609"/>
      <c r="GRR144" s="607"/>
      <c r="GRS144" s="607"/>
      <c r="GRT144" s="607"/>
      <c r="GRU144" s="463"/>
      <c r="GRV144" s="454"/>
      <c r="GRW144" s="607"/>
      <c r="GRX144" s="607"/>
      <c r="GRY144" s="607"/>
      <c r="GRZ144" s="607"/>
      <c r="GSA144" s="607"/>
      <c r="GSB144" s="453"/>
      <c r="GSC144" s="289"/>
      <c r="GSD144" s="453"/>
      <c r="GSE144" s="453"/>
      <c r="GSF144" s="453"/>
      <c r="GSG144" s="453"/>
      <c r="GSH144" s="453"/>
      <c r="GSI144" s="461"/>
      <c r="GSJ144" s="461"/>
      <c r="GSK144" s="461"/>
      <c r="GSL144" s="609"/>
      <c r="GSM144" s="607"/>
      <c r="GSN144" s="607"/>
      <c r="GSO144" s="607"/>
      <c r="GSP144" s="463"/>
      <c r="GSQ144" s="454"/>
      <c r="GSR144" s="607"/>
      <c r="GSS144" s="607"/>
      <c r="GST144" s="607"/>
      <c r="GSU144" s="607"/>
      <c r="GSV144" s="607"/>
      <c r="GSW144" s="453"/>
      <c r="GSX144" s="289"/>
      <c r="GSY144" s="453"/>
      <c r="GSZ144" s="453"/>
      <c r="GTA144" s="453"/>
      <c r="GTB144" s="453"/>
      <c r="GTC144" s="453"/>
      <c r="GTD144" s="461"/>
      <c r="GTE144" s="461"/>
      <c r="GTF144" s="461"/>
      <c r="GTG144" s="609"/>
      <c r="GTH144" s="607"/>
      <c r="GTI144" s="607"/>
      <c r="GTJ144" s="607"/>
      <c r="GTK144" s="463"/>
      <c r="GTL144" s="454"/>
      <c r="GTM144" s="607"/>
      <c r="GTN144" s="607"/>
      <c r="GTO144" s="607"/>
      <c r="GTP144" s="607"/>
      <c r="GTQ144" s="607"/>
      <c r="GTR144" s="453"/>
      <c r="GTS144" s="289"/>
      <c r="GTT144" s="453"/>
      <c r="GTU144" s="453"/>
      <c r="GTV144" s="453"/>
      <c r="GTW144" s="453"/>
      <c r="GTX144" s="453"/>
      <c r="GTY144" s="461"/>
      <c r="GTZ144" s="461"/>
      <c r="GUA144" s="461"/>
      <c r="GUB144" s="609"/>
      <c r="GUC144" s="607"/>
      <c r="GUD144" s="607"/>
      <c r="GUE144" s="607"/>
      <c r="GUF144" s="463"/>
      <c r="GUG144" s="454"/>
      <c r="GUH144" s="607"/>
      <c r="GUI144" s="607"/>
      <c r="GUJ144" s="607"/>
      <c r="GUK144" s="607"/>
      <c r="GUL144" s="607"/>
      <c r="GUM144" s="453"/>
      <c r="GUN144" s="289"/>
      <c r="GUO144" s="453"/>
      <c r="GUP144" s="453"/>
      <c r="GUQ144" s="453"/>
      <c r="GUR144" s="453"/>
      <c r="GUS144" s="453"/>
      <c r="GUT144" s="461"/>
      <c r="GUU144" s="461"/>
      <c r="GUV144" s="461"/>
      <c r="GUW144" s="609"/>
      <c r="GUX144" s="607"/>
      <c r="GUY144" s="607"/>
      <c r="GUZ144" s="607"/>
      <c r="GVA144" s="463"/>
      <c r="GVB144" s="454"/>
      <c r="GVC144" s="607"/>
      <c r="GVD144" s="607"/>
      <c r="GVE144" s="607"/>
      <c r="GVF144" s="607"/>
      <c r="GVG144" s="607"/>
      <c r="GVH144" s="453"/>
      <c r="GVI144" s="289"/>
      <c r="GVJ144" s="453"/>
      <c r="GVK144" s="453"/>
      <c r="GVL144" s="453"/>
      <c r="GVM144" s="453"/>
      <c r="GVN144" s="453"/>
      <c r="GVO144" s="461"/>
      <c r="GVP144" s="461"/>
      <c r="GVQ144" s="461"/>
      <c r="GVR144" s="609"/>
      <c r="GVS144" s="607"/>
      <c r="GVT144" s="607"/>
      <c r="GVU144" s="607"/>
      <c r="GVV144" s="463"/>
      <c r="GVW144" s="454"/>
      <c r="GVX144" s="607"/>
      <c r="GVY144" s="607"/>
      <c r="GVZ144" s="607"/>
      <c r="GWA144" s="607"/>
      <c r="GWB144" s="607"/>
      <c r="GWC144" s="453"/>
      <c r="GWD144" s="289"/>
      <c r="GWE144" s="453"/>
      <c r="GWF144" s="453"/>
      <c r="GWG144" s="453"/>
      <c r="GWH144" s="453"/>
      <c r="GWI144" s="453"/>
      <c r="GWJ144" s="461"/>
      <c r="GWK144" s="461"/>
      <c r="GWL144" s="461"/>
      <c r="GWM144" s="609"/>
      <c r="GWN144" s="607"/>
      <c r="GWO144" s="607"/>
      <c r="GWP144" s="607"/>
      <c r="GWQ144" s="463"/>
      <c r="GWR144" s="454"/>
      <c r="GWS144" s="607"/>
      <c r="GWT144" s="607"/>
      <c r="GWU144" s="607"/>
      <c r="GWV144" s="607"/>
      <c r="GWW144" s="607"/>
      <c r="GWX144" s="453"/>
      <c r="GWY144" s="289"/>
      <c r="GWZ144" s="453"/>
      <c r="GXA144" s="453"/>
      <c r="GXB144" s="453"/>
      <c r="GXC144" s="453"/>
      <c r="GXD144" s="453"/>
      <c r="GXE144" s="461"/>
      <c r="GXF144" s="461"/>
      <c r="GXG144" s="461"/>
      <c r="GXH144" s="609"/>
      <c r="GXI144" s="607"/>
      <c r="GXJ144" s="607"/>
      <c r="GXK144" s="607"/>
      <c r="GXL144" s="463"/>
      <c r="GXM144" s="454"/>
      <c r="GXN144" s="607"/>
      <c r="GXO144" s="607"/>
      <c r="GXP144" s="607"/>
      <c r="GXQ144" s="607"/>
      <c r="GXR144" s="607"/>
      <c r="GXS144" s="453"/>
      <c r="GXT144" s="289"/>
      <c r="GXU144" s="453"/>
      <c r="GXV144" s="453"/>
      <c r="GXW144" s="453"/>
      <c r="GXX144" s="453"/>
      <c r="GXY144" s="453"/>
      <c r="GXZ144" s="461"/>
      <c r="GYA144" s="461"/>
      <c r="GYB144" s="461"/>
      <c r="GYC144" s="609"/>
      <c r="GYD144" s="607"/>
      <c r="GYE144" s="607"/>
      <c r="GYF144" s="607"/>
      <c r="GYG144" s="463"/>
      <c r="GYH144" s="454"/>
      <c r="GYI144" s="607"/>
      <c r="GYJ144" s="607"/>
      <c r="GYK144" s="607"/>
      <c r="GYL144" s="607"/>
      <c r="GYM144" s="607"/>
      <c r="GYN144" s="453"/>
      <c r="GYO144" s="289"/>
      <c r="GYP144" s="453"/>
      <c r="GYQ144" s="453"/>
      <c r="GYR144" s="453"/>
      <c r="GYS144" s="453"/>
      <c r="GYT144" s="453"/>
      <c r="GYU144" s="461"/>
      <c r="GYV144" s="461"/>
      <c r="GYW144" s="461"/>
      <c r="GYX144" s="609"/>
      <c r="GYY144" s="607"/>
      <c r="GYZ144" s="607"/>
      <c r="GZA144" s="607"/>
      <c r="GZB144" s="463"/>
      <c r="GZC144" s="454"/>
      <c r="GZD144" s="607"/>
      <c r="GZE144" s="607"/>
      <c r="GZF144" s="607"/>
      <c r="GZG144" s="607"/>
      <c r="GZH144" s="607"/>
      <c r="GZI144" s="453"/>
      <c r="GZJ144" s="289"/>
      <c r="GZK144" s="453"/>
      <c r="GZL144" s="453"/>
      <c r="GZM144" s="453"/>
      <c r="GZN144" s="453"/>
      <c r="GZO144" s="453"/>
      <c r="GZP144" s="461"/>
      <c r="GZQ144" s="461"/>
      <c r="GZR144" s="461"/>
      <c r="GZS144" s="609"/>
      <c r="GZT144" s="607"/>
      <c r="GZU144" s="607"/>
      <c r="GZV144" s="607"/>
      <c r="GZW144" s="463"/>
      <c r="GZX144" s="454"/>
      <c r="GZY144" s="607"/>
      <c r="GZZ144" s="607"/>
      <c r="HAA144" s="607"/>
      <c r="HAB144" s="607"/>
      <c r="HAC144" s="607"/>
      <c r="HAD144" s="453"/>
      <c r="HAE144" s="289"/>
      <c r="HAF144" s="453"/>
      <c r="HAG144" s="453"/>
      <c r="HAH144" s="453"/>
      <c r="HAI144" s="453"/>
      <c r="HAJ144" s="453"/>
      <c r="HAK144" s="461"/>
      <c r="HAL144" s="461"/>
      <c r="HAM144" s="461"/>
      <c r="HAN144" s="609"/>
      <c r="HAO144" s="607"/>
      <c r="HAP144" s="607"/>
      <c r="HAQ144" s="607"/>
      <c r="HAR144" s="463"/>
      <c r="HAS144" s="454"/>
      <c r="HAT144" s="607"/>
      <c r="HAU144" s="607"/>
      <c r="HAV144" s="607"/>
      <c r="HAW144" s="607"/>
      <c r="HAX144" s="607"/>
      <c r="HAY144" s="453"/>
      <c r="HAZ144" s="289"/>
      <c r="HBA144" s="453"/>
      <c r="HBB144" s="453"/>
      <c r="HBC144" s="453"/>
      <c r="HBD144" s="453"/>
      <c r="HBE144" s="453"/>
      <c r="HBF144" s="461"/>
      <c r="HBG144" s="461"/>
      <c r="HBH144" s="461"/>
      <c r="HBI144" s="609"/>
      <c r="HBJ144" s="607"/>
      <c r="HBK144" s="607"/>
      <c r="HBL144" s="607"/>
      <c r="HBM144" s="463"/>
      <c r="HBN144" s="454"/>
      <c r="HBO144" s="607"/>
      <c r="HBP144" s="607"/>
      <c r="HBQ144" s="607"/>
      <c r="HBR144" s="607"/>
      <c r="HBS144" s="607"/>
      <c r="HBT144" s="453"/>
      <c r="HBU144" s="289"/>
      <c r="HBV144" s="453"/>
      <c r="HBW144" s="453"/>
      <c r="HBX144" s="453"/>
      <c r="HBY144" s="453"/>
      <c r="HBZ144" s="453"/>
      <c r="HCA144" s="461"/>
      <c r="HCB144" s="461"/>
      <c r="HCC144" s="461"/>
      <c r="HCD144" s="609"/>
      <c r="HCE144" s="607"/>
      <c r="HCF144" s="607"/>
      <c r="HCG144" s="607"/>
      <c r="HCH144" s="463"/>
      <c r="HCI144" s="454"/>
      <c r="HCJ144" s="607"/>
      <c r="HCK144" s="607"/>
      <c r="HCL144" s="607"/>
      <c r="HCM144" s="607"/>
      <c r="HCN144" s="607"/>
      <c r="HCO144" s="453"/>
      <c r="HCP144" s="289"/>
      <c r="HCQ144" s="453"/>
      <c r="HCR144" s="453"/>
      <c r="HCS144" s="453"/>
      <c r="HCT144" s="453"/>
      <c r="HCU144" s="453"/>
      <c r="HCV144" s="461"/>
      <c r="HCW144" s="461"/>
      <c r="HCX144" s="461"/>
      <c r="HCY144" s="609"/>
      <c r="HCZ144" s="607"/>
      <c r="HDA144" s="607"/>
      <c r="HDB144" s="607"/>
      <c r="HDC144" s="463"/>
      <c r="HDD144" s="454"/>
      <c r="HDE144" s="607"/>
      <c r="HDF144" s="607"/>
      <c r="HDG144" s="607"/>
      <c r="HDH144" s="607"/>
      <c r="HDI144" s="607"/>
      <c r="HDJ144" s="453"/>
      <c r="HDK144" s="289"/>
      <c r="HDL144" s="453"/>
      <c r="HDM144" s="453"/>
      <c r="HDN144" s="453"/>
      <c r="HDO144" s="453"/>
      <c r="HDP144" s="453"/>
      <c r="HDQ144" s="461"/>
      <c r="HDR144" s="461"/>
      <c r="HDS144" s="461"/>
      <c r="HDT144" s="609"/>
      <c r="HDU144" s="607"/>
      <c r="HDV144" s="607"/>
      <c r="HDW144" s="607"/>
      <c r="HDX144" s="463"/>
      <c r="HDY144" s="454"/>
      <c r="HDZ144" s="607"/>
      <c r="HEA144" s="607"/>
      <c r="HEB144" s="607"/>
      <c r="HEC144" s="607"/>
      <c r="HED144" s="607"/>
      <c r="HEE144" s="453"/>
      <c r="HEF144" s="289"/>
      <c r="HEG144" s="453"/>
      <c r="HEH144" s="453"/>
      <c r="HEI144" s="453"/>
      <c r="HEJ144" s="453"/>
      <c r="HEK144" s="453"/>
      <c r="HEL144" s="461"/>
      <c r="HEM144" s="461"/>
      <c r="HEN144" s="461"/>
      <c r="HEO144" s="609"/>
      <c r="HEP144" s="607"/>
      <c r="HEQ144" s="607"/>
      <c r="HER144" s="607"/>
      <c r="HES144" s="463"/>
      <c r="HET144" s="454"/>
      <c r="HEU144" s="607"/>
      <c r="HEV144" s="607"/>
      <c r="HEW144" s="607"/>
      <c r="HEX144" s="607"/>
      <c r="HEY144" s="607"/>
      <c r="HEZ144" s="453"/>
      <c r="HFA144" s="289"/>
      <c r="HFB144" s="453"/>
      <c r="HFC144" s="453"/>
      <c r="HFD144" s="453"/>
      <c r="HFE144" s="453"/>
      <c r="HFF144" s="453"/>
      <c r="HFG144" s="461"/>
      <c r="HFH144" s="461"/>
      <c r="HFI144" s="461"/>
      <c r="HFJ144" s="609"/>
      <c r="HFK144" s="607"/>
      <c r="HFL144" s="607"/>
      <c r="HFM144" s="607"/>
      <c r="HFN144" s="463"/>
      <c r="HFO144" s="454"/>
      <c r="HFP144" s="607"/>
      <c r="HFQ144" s="607"/>
      <c r="HFR144" s="607"/>
      <c r="HFS144" s="607"/>
      <c r="HFT144" s="607"/>
      <c r="HFU144" s="453"/>
      <c r="HFV144" s="289"/>
      <c r="HFW144" s="453"/>
      <c r="HFX144" s="453"/>
      <c r="HFY144" s="453"/>
      <c r="HFZ144" s="453"/>
      <c r="HGA144" s="453"/>
      <c r="HGB144" s="461"/>
      <c r="HGC144" s="461"/>
      <c r="HGD144" s="461"/>
      <c r="HGE144" s="609"/>
      <c r="HGF144" s="607"/>
      <c r="HGG144" s="607"/>
      <c r="HGH144" s="607"/>
      <c r="HGI144" s="463"/>
      <c r="HGJ144" s="454"/>
      <c r="HGK144" s="607"/>
      <c r="HGL144" s="607"/>
      <c r="HGM144" s="607"/>
      <c r="HGN144" s="607"/>
      <c r="HGO144" s="607"/>
      <c r="HGP144" s="453"/>
      <c r="HGQ144" s="289"/>
      <c r="HGR144" s="453"/>
      <c r="HGS144" s="453"/>
      <c r="HGT144" s="453"/>
      <c r="HGU144" s="453"/>
      <c r="HGV144" s="453"/>
      <c r="HGW144" s="461"/>
      <c r="HGX144" s="461"/>
      <c r="HGY144" s="461"/>
      <c r="HGZ144" s="609"/>
      <c r="HHA144" s="607"/>
      <c r="HHB144" s="607"/>
      <c r="HHC144" s="607"/>
      <c r="HHD144" s="463"/>
      <c r="HHE144" s="454"/>
      <c r="HHF144" s="607"/>
      <c r="HHG144" s="607"/>
      <c r="HHH144" s="607"/>
      <c r="HHI144" s="607"/>
      <c r="HHJ144" s="607"/>
      <c r="HHK144" s="453"/>
      <c r="HHL144" s="289"/>
      <c r="HHM144" s="453"/>
      <c r="HHN144" s="453"/>
      <c r="HHO144" s="453"/>
      <c r="HHP144" s="453"/>
      <c r="HHQ144" s="453"/>
      <c r="HHR144" s="461"/>
      <c r="HHS144" s="461"/>
      <c r="HHT144" s="461"/>
      <c r="HHU144" s="609"/>
      <c r="HHV144" s="607"/>
      <c r="HHW144" s="607"/>
      <c r="HHX144" s="607"/>
      <c r="HHY144" s="463"/>
      <c r="HHZ144" s="454"/>
      <c r="HIA144" s="607"/>
      <c r="HIB144" s="607"/>
      <c r="HIC144" s="607"/>
      <c r="HID144" s="607"/>
      <c r="HIE144" s="607"/>
      <c r="HIF144" s="453"/>
      <c r="HIG144" s="289"/>
      <c r="HIH144" s="453"/>
      <c r="HII144" s="453"/>
      <c r="HIJ144" s="453"/>
      <c r="HIK144" s="453"/>
      <c r="HIL144" s="453"/>
      <c r="HIM144" s="461"/>
      <c r="HIN144" s="461"/>
      <c r="HIO144" s="461"/>
      <c r="HIP144" s="609"/>
      <c r="HIQ144" s="607"/>
      <c r="HIR144" s="607"/>
      <c r="HIS144" s="607"/>
      <c r="HIT144" s="463"/>
      <c r="HIU144" s="454"/>
      <c r="HIV144" s="607"/>
      <c r="HIW144" s="607"/>
      <c r="HIX144" s="607"/>
      <c r="HIY144" s="607"/>
      <c r="HIZ144" s="607"/>
      <c r="HJA144" s="453"/>
      <c r="HJB144" s="289"/>
      <c r="HJC144" s="453"/>
      <c r="HJD144" s="453"/>
      <c r="HJE144" s="453"/>
      <c r="HJF144" s="453"/>
      <c r="HJG144" s="453"/>
      <c r="HJH144" s="461"/>
      <c r="HJI144" s="461"/>
      <c r="HJJ144" s="461"/>
      <c r="HJK144" s="609"/>
      <c r="HJL144" s="607"/>
      <c r="HJM144" s="607"/>
      <c r="HJN144" s="607"/>
      <c r="HJO144" s="463"/>
      <c r="HJP144" s="454"/>
      <c r="HJQ144" s="607"/>
      <c r="HJR144" s="607"/>
      <c r="HJS144" s="607"/>
      <c r="HJT144" s="607"/>
      <c r="HJU144" s="607"/>
      <c r="HJV144" s="453"/>
      <c r="HJW144" s="289"/>
      <c r="HJX144" s="453"/>
      <c r="HJY144" s="453"/>
      <c r="HJZ144" s="453"/>
      <c r="HKA144" s="453"/>
      <c r="HKB144" s="453"/>
      <c r="HKC144" s="461"/>
      <c r="HKD144" s="461"/>
      <c r="HKE144" s="461"/>
      <c r="HKF144" s="609"/>
      <c r="HKG144" s="607"/>
      <c r="HKH144" s="607"/>
      <c r="HKI144" s="607"/>
      <c r="HKJ144" s="463"/>
      <c r="HKK144" s="454"/>
      <c r="HKL144" s="607"/>
      <c r="HKM144" s="607"/>
      <c r="HKN144" s="607"/>
      <c r="HKO144" s="607"/>
      <c r="HKP144" s="607"/>
      <c r="HKQ144" s="453"/>
      <c r="HKR144" s="289"/>
      <c r="HKS144" s="453"/>
      <c r="HKT144" s="453"/>
      <c r="HKU144" s="453"/>
      <c r="HKV144" s="453"/>
      <c r="HKW144" s="453"/>
      <c r="HKX144" s="461"/>
      <c r="HKY144" s="461"/>
      <c r="HKZ144" s="461"/>
      <c r="HLA144" s="609"/>
      <c r="HLB144" s="607"/>
      <c r="HLC144" s="607"/>
      <c r="HLD144" s="607"/>
      <c r="HLE144" s="463"/>
      <c r="HLF144" s="454"/>
      <c r="HLG144" s="607"/>
      <c r="HLH144" s="607"/>
      <c r="HLI144" s="607"/>
      <c r="HLJ144" s="607"/>
      <c r="HLK144" s="607"/>
      <c r="HLL144" s="453"/>
      <c r="HLM144" s="289"/>
      <c r="HLN144" s="453"/>
      <c r="HLO144" s="453"/>
      <c r="HLP144" s="453"/>
      <c r="HLQ144" s="453"/>
      <c r="HLR144" s="453"/>
      <c r="HLS144" s="461"/>
      <c r="HLT144" s="461"/>
      <c r="HLU144" s="461"/>
      <c r="HLV144" s="609"/>
      <c r="HLW144" s="607"/>
      <c r="HLX144" s="607"/>
      <c r="HLY144" s="607"/>
      <c r="HLZ144" s="463"/>
      <c r="HMA144" s="454"/>
      <c r="HMB144" s="607"/>
      <c r="HMC144" s="607"/>
      <c r="HMD144" s="607"/>
      <c r="HME144" s="607"/>
      <c r="HMF144" s="607"/>
      <c r="HMG144" s="453"/>
      <c r="HMH144" s="289"/>
      <c r="HMI144" s="453"/>
      <c r="HMJ144" s="453"/>
      <c r="HMK144" s="453"/>
      <c r="HML144" s="453"/>
      <c r="HMM144" s="453"/>
      <c r="HMN144" s="461"/>
      <c r="HMO144" s="461"/>
      <c r="HMP144" s="461"/>
      <c r="HMQ144" s="609"/>
      <c r="HMR144" s="607"/>
      <c r="HMS144" s="607"/>
      <c r="HMT144" s="607"/>
      <c r="HMU144" s="463"/>
      <c r="HMV144" s="454"/>
      <c r="HMW144" s="607"/>
      <c r="HMX144" s="607"/>
      <c r="HMY144" s="607"/>
      <c r="HMZ144" s="607"/>
      <c r="HNA144" s="607"/>
      <c r="HNB144" s="453"/>
      <c r="HNC144" s="289"/>
      <c r="HND144" s="453"/>
      <c r="HNE144" s="453"/>
      <c r="HNF144" s="453"/>
      <c r="HNG144" s="453"/>
      <c r="HNH144" s="453"/>
      <c r="HNI144" s="461"/>
      <c r="HNJ144" s="461"/>
      <c r="HNK144" s="461"/>
      <c r="HNL144" s="609"/>
      <c r="HNM144" s="607"/>
      <c r="HNN144" s="607"/>
      <c r="HNO144" s="607"/>
      <c r="HNP144" s="463"/>
      <c r="HNQ144" s="454"/>
      <c r="HNR144" s="607"/>
      <c r="HNS144" s="607"/>
      <c r="HNT144" s="607"/>
      <c r="HNU144" s="607"/>
      <c r="HNV144" s="607"/>
      <c r="HNW144" s="453"/>
      <c r="HNX144" s="289"/>
      <c r="HNY144" s="453"/>
      <c r="HNZ144" s="453"/>
      <c r="HOA144" s="453"/>
      <c r="HOB144" s="453"/>
      <c r="HOC144" s="453"/>
      <c r="HOD144" s="461"/>
      <c r="HOE144" s="461"/>
      <c r="HOF144" s="461"/>
      <c r="HOG144" s="609"/>
      <c r="HOH144" s="607"/>
      <c r="HOI144" s="607"/>
      <c r="HOJ144" s="607"/>
      <c r="HOK144" s="463"/>
      <c r="HOL144" s="454"/>
      <c r="HOM144" s="607"/>
      <c r="HON144" s="607"/>
      <c r="HOO144" s="607"/>
      <c r="HOP144" s="607"/>
      <c r="HOQ144" s="607"/>
      <c r="HOR144" s="453"/>
      <c r="HOS144" s="289"/>
      <c r="HOT144" s="453"/>
      <c r="HOU144" s="453"/>
      <c r="HOV144" s="453"/>
      <c r="HOW144" s="453"/>
      <c r="HOX144" s="453"/>
      <c r="HOY144" s="461"/>
      <c r="HOZ144" s="461"/>
      <c r="HPA144" s="461"/>
      <c r="HPB144" s="609"/>
      <c r="HPC144" s="607"/>
      <c r="HPD144" s="607"/>
      <c r="HPE144" s="607"/>
      <c r="HPF144" s="463"/>
      <c r="HPG144" s="454"/>
      <c r="HPH144" s="607"/>
      <c r="HPI144" s="607"/>
      <c r="HPJ144" s="607"/>
      <c r="HPK144" s="607"/>
      <c r="HPL144" s="607"/>
      <c r="HPM144" s="453"/>
      <c r="HPN144" s="289"/>
      <c r="HPO144" s="453"/>
      <c r="HPP144" s="453"/>
      <c r="HPQ144" s="453"/>
      <c r="HPR144" s="453"/>
      <c r="HPS144" s="453"/>
      <c r="HPT144" s="461"/>
      <c r="HPU144" s="461"/>
      <c r="HPV144" s="461"/>
      <c r="HPW144" s="609"/>
      <c r="HPX144" s="607"/>
      <c r="HPY144" s="607"/>
      <c r="HPZ144" s="607"/>
      <c r="HQA144" s="463"/>
      <c r="HQB144" s="454"/>
      <c r="HQC144" s="607"/>
      <c r="HQD144" s="607"/>
      <c r="HQE144" s="607"/>
      <c r="HQF144" s="607"/>
      <c r="HQG144" s="607"/>
      <c r="HQH144" s="453"/>
      <c r="HQI144" s="289"/>
      <c r="HQJ144" s="453"/>
      <c r="HQK144" s="453"/>
      <c r="HQL144" s="453"/>
      <c r="HQM144" s="453"/>
      <c r="HQN144" s="453"/>
      <c r="HQO144" s="461"/>
      <c r="HQP144" s="461"/>
      <c r="HQQ144" s="461"/>
      <c r="HQR144" s="609"/>
      <c r="HQS144" s="607"/>
      <c r="HQT144" s="607"/>
      <c r="HQU144" s="607"/>
      <c r="HQV144" s="463"/>
      <c r="HQW144" s="454"/>
      <c r="HQX144" s="607"/>
      <c r="HQY144" s="607"/>
      <c r="HQZ144" s="607"/>
      <c r="HRA144" s="607"/>
      <c r="HRB144" s="607"/>
      <c r="HRC144" s="453"/>
      <c r="HRD144" s="289"/>
      <c r="HRE144" s="453"/>
      <c r="HRF144" s="453"/>
      <c r="HRG144" s="453"/>
      <c r="HRH144" s="453"/>
      <c r="HRI144" s="453"/>
      <c r="HRJ144" s="461"/>
      <c r="HRK144" s="461"/>
      <c r="HRL144" s="461"/>
      <c r="HRM144" s="609"/>
      <c r="HRN144" s="607"/>
      <c r="HRO144" s="607"/>
      <c r="HRP144" s="607"/>
      <c r="HRQ144" s="463"/>
      <c r="HRR144" s="454"/>
      <c r="HRS144" s="607"/>
      <c r="HRT144" s="607"/>
      <c r="HRU144" s="607"/>
      <c r="HRV144" s="607"/>
      <c r="HRW144" s="607"/>
      <c r="HRX144" s="453"/>
      <c r="HRY144" s="289"/>
      <c r="HRZ144" s="453"/>
      <c r="HSA144" s="453"/>
      <c r="HSB144" s="453"/>
      <c r="HSC144" s="453"/>
      <c r="HSD144" s="453"/>
      <c r="HSE144" s="461"/>
      <c r="HSF144" s="461"/>
      <c r="HSG144" s="461"/>
      <c r="HSH144" s="609"/>
      <c r="HSI144" s="607"/>
      <c r="HSJ144" s="607"/>
      <c r="HSK144" s="607"/>
      <c r="HSL144" s="463"/>
      <c r="HSM144" s="454"/>
      <c r="HSN144" s="607"/>
      <c r="HSO144" s="607"/>
      <c r="HSP144" s="607"/>
      <c r="HSQ144" s="607"/>
      <c r="HSR144" s="607"/>
      <c r="HSS144" s="453"/>
      <c r="HST144" s="289"/>
      <c r="HSU144" s="453"/>
      <c r="HSV144" s="453"/>
      <c r="HSW144" s="453"/>
      <c r="HSX144" s="453"/>
      <c r="HSY144" s="453"/>
      <c r="HSZ144" s="461"/>
      <c r="HTA144" s="461"/>
      <c r="HTB144" s="461"/>
      <c r="HTC144" s="609"/>
      <c r="HTD144" s="607"/>
      <c r="HTE144" s="607"/>
      <c r="HTF144" s="607"/>
      <c r="HTG144" s="463"/>
      <c r="HTH144" s="454"/>
      <c r="HTI144" s="607"/>
      <c r="HTJ144" s="607"/>
      <c r="HTK144" s="607"/>
      <c r="HTL144" s="607"/>
      <c r="HTM144" s="607"/>
      <c r="HTN144" s="453"/>
      <c r="HTO144" s="289"/>
      <c r="HTP144" s="453"/>
      <c r="HTQ144" s="453"/>
      <c r="HTR144" s="453"/>
      <c r="HTS144" s="453"/>
      <c r="HTT144" s="453"/>
      <c r="HTU144" s="461"/>
      <c r="HTV144" s="461"/>
      <c r="HTW144" s="461"/>
      <c r="HTX144" s="609"/>
      <c r="HTY144" s="607"/>
      <c r="HTZ144" s="607"/>
      <c r="HUA144" s="607"/>
      <c r="HUB144" s="463"/>
      <c r="HUC144" s="454"/>
      <c r="HUD144" s="607"/>
      <c r="HUE144" s="607"/>
      <c r="HUF144" s="607"/>
      <c r="HUG144" s="607"/>
      <c r="HUH144" s="607"/>
      <c r="HUI144" s="453"/>
      <c r="HUJ144" s="289"/>
      <c r="HUK144" s="453"/>
      <c r="HUL144" s="453"/>
      <c r="HUM144" s="453"/>
      <c r="HUN144" s="453"/>
      <c r="HUO144" s="453"/>
      <c r="HUP144" s="461"/>
      <c r="HUQ144" s="461"/>
      <c r="HUR144" s="461"/>
      <c r="HUS144" s="609"/>
      <c r="HUT144" s="607"/>
      <c r="HUU144" s="607"/>
      <c r="HUV144" s="607"/>
      <c r="HUW144" s="463"/>
      <c r="HUX144" s="454"/>
      <c r="HUY144" s="607"/>
      <c r="HUZ144" s="607"/>
      <c r="HVA144" s="607"/>
      <c r="HVB144" s="607"/>
      <c r="HVC144" s="607"/>
      <c r="HVD144" s="453"/>
      <c r="HVE144" s="289"/>
      <c r="HVF144" s="453"/>
      <c r="HVG144" s="453"/>
      <c r="HVH144" s="453"/>
      <c r="HVI144" s="453"/>
      <c r="HVJ144" s="453"/>
      <c r="HVK144" s="461"/>
      <c r="HVL144" s="461"/>
      <c r="HVM144" s="461"/>
      <c r="HVN144" s="609"/>
      <c r="HVO144" s="607"/>
      <c r="HVP144" s="607"/>
      <c r="HVQ144" s="607"/>
      <c r="HVR144" s="463"/>
      <c r="HVS144" s="454"/>
      <c r="HVT144" s="607"/>
      <c r="HVU144" s="607"/>
      <c r="HVV144" s="607"/>
      <c r="HVW144" s="607"/>
      <c r="HVX144" s="607"/>
      <c r="HVY144" s="453"/>
      <c r="HVZ144" s="289"/>
      <c r="HWA144" s="453"/>
      <c r="HWB144" s="453"/>
      <c r="HWC144" s="453"/>
      <c r="HWD144" s="453"/>
      <c r="HWE144" s="453"/>
      <c r="HWF144" s="461"/>
      <c r="HWG144" s="461"/>
      <c r="HWH144" s="461"/>
      <c r="HWI144" s="609"/>
      <c r="HWJ144" s="607"/>
      <c r="HWK144" s="607"/>
      <c r="HWL144" s="607"/>
      <c r="HWM144" s="463"/>
      <c r="HWN144" s="454"/>
      <c r="HWO144" s="607"/>
      <c r="HWP144" s="607"/>
      <c r="HWQ144" s="607"/>
      <c r="HWR144" s="607"/>
      <c r="HWS144" s="607"/>
      <c r="HWT144" s="453"/>
      <c r="HWU144" s="289"/>
      <c r="HWV144" s="453"/>
      <c r="HWW144" s="453"/>
      <c r="HWX144" s="453"/>
      <c r="HWY144" s="453"/>
      <c r="HWZ144" s="453"/>
      <c r="HXA144" s="461"/>
      <c r="HXB144" s="461"/>
      <c r="HXC144" s="461"/>
      <c r="HXD144" s="609"/>
      <c r="HXE144" s="607"/>
      <c r="HXF144" s="607"/>
      <c r="HXG144" s="607"/>
      <c r="HXH144" s="463"/>
      <c r="HXI144" s="454"/>
      <c r="HXJ144" s="607"/>
      <c r="HXK144" s="607"/>
      <c r="HXL144" s="607"/>
      <c r="HXM144" s="607"/>
      <c r="HXN144" s="607"/>
      <c r="HXO144" s="453"/>
      <c r="HXP144" s="289"/>
      <c r="HXQ144" s="453"/>
      <c r="HXR144" s="453"/>
      <c r="HXS144" s="453"/>
      <c r="HXT144" s="453"/>
      <c r="HXU144" s="453"/>
      <c r="HXV144" s="461"/>
      <c r="HXW144" s="461"/>
      <c r="HXX144" s="461"/>
      <c r="HXY144" s="609"/>
      <c r="HXZ144" s="607"/>
      <c r="HYA144" s="607"/>
      <c r="HYB144" s="607"/>
      <c r="HYC144" s="463"/>
      <c r="HYD144" s="454"/>
      <c r="HYE144" s="607"/>
      <c r="HYF144" s="607"/>
      <c r="HYG144" s="607"/>
      <c r="HYH144" s="607"/>
      <c r="HYI144" s="607"/>
      <c r="HYJ144" s="453"/>
      <c r="HYK144" s="289"/>
      <c r="HYL144" s="453"/>
      <c r="HYM144" s="453"/>
      <c r="HYN144" s="453"/>
      <c r="HYO144" s="453"/>
      <c r="HYP144" s="453"/>
      <c r="HYQ144" s="461"/>
      <c r="HYR144" s="461"/>
      <c r="HYS144" s="461"/>
      <c r="HYT144" s="609"/>
      <c r="HYU144" s="607"/>
      <c r="HYV144" s="607"/>
      <c r="HYW144" s="607"/>
      <c r="HYX144" s="463"/>
      <c r="HYY144" s="454"/>
      <c r="HYZ144" s="607"/>
      <c r="HZA144" s="607"/>
      <c r="HZB144" s="607"/>
      <c r="HZC144" s="607"/>
      <c r="HZD144" s="607"/>
      <c r="HZE144" s="453"/>
      <c r="HZF144" s="289"/>
      <c r="HZG144" s="453"/>
      <c r="HZH144" s="453"/>
      <c r="HZI144" s="453"/>
      <c r="HZJ144" s="453"/>
      <c r="HZK144" s="453"/>
      <c r="HZL144" s="461"/>
      <c r="HZM144" s="461"/>
      <c r="HZN144" s="461"/>
      <c r="HZO144" s="609"/>
      <c r="HZP144" s="607"/>
      <c r="HZQ144" s="607"/>
      <c r="HZR144" s="607"/>
      <c r="HZS144" s="463"/>
      <c r="HZT144" s="454"/>
      <c r="HZU144" s="607"/>
      <c r="HZV144" s="607"/>
      <c r="HZW144" s="607"/>
      <c r="HZX144" s="607"/>
      <c r="HZY144" s="607"/>
      <c r="HZZ144" s="453"/>
      <c r="IAA144" s="289"/>
      <c r="IAB144" s="453"/>
      <c r="IAC144" s="453"/>
      <c r="IAD144" s="453"/>
      <c r="IAE144" s="453"/>
      <c r="IAF144" s="453"/>
      <c r="IAG144" s="461"/>
      <c r="IAH144" s="461"/>
      <c r="IAI144" s="461"/>
      <c r="IAJ144" s="609"/>
      <c r="IAK144" s="607"/>
      <c r="IAL144" s="607"/>
      <c r="IAM144" s="607"/>
      <c r="IAN144" s="463"/>
      <c r="IAO144" s="454"/>
      <c r="IAP144" s="607"/>
      <c r="IAQ144" s="607"/>
      <c r="IAR144" s="607"/>
      <c r="IAS144" s="607"/>
      <c r="IAT144" s="607"/>
      <c r="IAU144" s="453"/>
      <c r="IAV144" s="289"/>
      <c r="IAW144" s="453"/>
      <c r="IAX144" s="453"/>
      <c r="IAY144" s="453"/>
      <c r="IAZ144" s="453"/>
      <c r="IBA144" s="453"/>
      <c r="IBB144" s="461"/>
      <c r="IBC144" s="461"/>
      <c r="IBD144" s="461"/>
      <c r="IBE144" s="609"/>
      <c r="IBF144" s="607"/>
      <c r="IBG144" s="607"/>
      <c r="IBH144" s="607"/>
      <c r="IBI144" s="463"/>
      <c r="IBJ144" s="454"/>
      <c r="IBK144" s="607"/>
      <c r="IBL144" s="607"/>
      <c r="IBM144" s="607"/>
      <c r="IBN144" s="607"/>
      <c r="IBO144" s="607"/>
      <c r="IBP144" s="453"/>
      <c r="IBQ144" s="289"/>
      <c r="IBR144" s="453"/>
      <c r="IBS144" s="453"/>
      <c r="IBT144" s="453"/>
      <c r="IBU144" s="453"/>
      <c r="IBV144" s="453"/>
      <c r="IBW144" s="461"/>
      <c r="IBX144" s="461"/>
      <c r="IBY144" s="461"/>
      <c r="IBZ144" s="609"/>
      <c r="ICA144" s="607"/>
      <c r="ICB144" s="607"/>
      <c r="ICC144" s="607"/>
      <c r="ICD144" s="463"/>
      <c r="ICE144" s="454"/>
      <c r="ICF144" s="607"/>
      <c r="ICG144" s="607"/>
      <c r="ICH144" s="607"/>
      <c r="ICI144" s="607"/>
      <c r="ICJ144" s="607"/>
      <c r="ICK144" s="453"/>
      <c r="ICL144" s="289"/>
      <c r="ICM144" s="453"/>
      <c r="ICN144" s="453"/>
      <c r="ICO144" s="453"/>
      <c r="ICP144" s="453"/>
      <c r="ICQ144" s="453"/>
      <c r="ICR144" s="461"/>
      <c r="ICS144" s="461"/>
      <c r="ICT144" s="461"/>
      <c r="ICU144" s="609"/>
      <c r="ICV144" s="607"/>
      <c r="ICW144" s="607"/>
      <c r="ICX144" s="607"/>
      <c r="ICY144" s="463"/>
      <c r="ICZ144" s="454"/>
      <c r="IDA144" s="607"/>
      <c r="IDB144" s="607"/>
      <c r="IDC144" s="607"/>
      <c r="IDD144" s="607"/>
      <c r="IDE144" s="607"/>
      <c r="IDF144" s="453"/>
      <c r="IDG144" s="289"/>
      <c r="IDH144" s="453"/>
      <c r="IDI144" s="453"/>
      <c r="IDJ144" s="453"/>
      <c r="IDK144" s="453"/>
      <c r="IDL144" s="453"/>
      <c r="IDM144" s="461"/>
      <c r="IDN144" s="461"/>
      <c r="IDO144" s="461"/>
      <c r="IDP144" s="609"/>
      <c r="IDQ144" s="607"/>
      <c r="IDR144" s="607"/>
      <c r="IDS144" s="607"/>
      <c r="IDT144" s="463"/>
      <c r="IDU144" s="454"/>
      <c r="IDV144" s="607"/>
      <c r="IDW144" s="607"/>
      <c r="IDX144" s="607"/>
      <c r="IDY144" s="607"/>
      <c r="IDZ144" s="607"/>
      <c r="IEA144" s="453"/>
      <c r="IEB144" s="289"/>
      <c r="IEC144" s="453"/>
      <c r="IED144" s="453"/>
      <c r="IEE144" s="453"/>
      <c r="IEF144" s="453"/>
      <c r="IEG144" s="453"/>
      <c r="IEH144" s="461"/>
      <c r="IEI144" s="461"/>
      <c r="IEJ144" s="461"/>
      <c r="IEK144" s="609"/>
      <c r="IEL144" s="607"/>
      <c r="IEM144" s="607"/>
      <c r="IEN144" s="607"/>
      <c r="IEO144" s="463"/>
      <c r="IEP144" s="454"/>
      <c r="IEQ144" s="607"/>
      <c r="IER144" s="607"/>
      <c r="IES144" s="607"/>
      <c r="IET144" s="607"/>
      <c r="IEU144" s="607"/>
      <c r="IEV144" s="453"/>
      <c r="IEW144" s="289"/>
      <c r="IEX144" s="453"/>
      <c r="IEY144" s="453"/>
      <c r="IEZ144" s="453"/>
      <c r="IFA144" s="453"/>
      <c r="IFB144" s="453"/>
      <c r="IFC144" s="461"/>
      <c r="IFD144" s="461"/>
      <c r="IFE144" s="461"/>
      <c r="IFF144" s="609"/>
      <c r="IFG144" s="607"/>
      <c r="IFH144" s="607"/>
      <c r="IFI144" s="607"/>
      <c r="IFJ144" s="463"/>
      <c r="IFK144" s="454"/>
      <c r="IFL144" s="607"/>
      <c r="IFM144" s="607"/>
      <c r="IFN144" s="607"/>
      <c r="IFO144" s="607"/>
      <c r="IFP144" s="607"/>
      <c r="IFQ144" s="453"/>
      <c r="IFR144" s="289"/>
      <c r="IFS144" s="453"/>
      <c r="IFT144" s="453"/>
      <c r="IFU144" s="453"/>
      <c r="IFV144" s="453"/>
      <c r="IFW144" s="453"/>
      <c r="IFX144" s="461"/>
      <c r="IFY144" s="461"/>
      <c r="IFZ144" s="461"/>
      <c r="IGA144" s="609"/>
      <c r="IGB144" s="607"/>
      <c r="IGC144" s="607"/>
      <c r="IGD144" s="607"/>
      <c r="IGE144" s="463"/>
      <c r="IGF144" s="454"/>
      <c r="IGG144" s="607"/>
      <c r="IGH144" s="607"/>
      <c r="IGI144" s="607"/>
      <c r="IGJ144" s="607"/>
      <c r="IGK144" s="607"/>
      <c r="IGL144" s="453"/>
      <c r="IGM144" s="289"/>
      <c r="IGN144" s="453"/>
      <c r="IGO144" s="453"/>
      <c r="IGP144" s="453"/>
      <c r="IGQ144" s="453"/>
      <c r="IGR144" s="453"/>
      <c r="IGS144" s="461"/>
      <c r="IGT144" s="461"/>
      <c r="IGU144" s="461"/>
      <c r="IGV144" s="609"/>
      <c r="IGW144" s="607"/>
      <c r="IGX144" s="607"/>
      <c r="IGY144" s="607"/>
      <c r="IGZ144" s="463"/>
      <c r="IHA144" s="454"/>
      <c r="IHB144" s="607"/>
      <c r="IHC144" s="607"/>
      <c r="IHD144" s="607"/>
      <c r="IHE144" s="607"/>
      <c r="IHF144" s="607"/>
      <c r="IHG144" s="453"/>
      <c r="IHH144" s="289"/>
      <c r="IHI144" s="453"/>
      <c r="IHJ144" s="453"/>
      <c r="IHK144" s="453"/>
      <c r="IHL144" s="453"/>
      <c r="IHM144" s="453"/>
      <c r="IHN144" s="461"/>
      <c r="IHO144" s="461"/>
      <c r="IHP144" s="461"/>
      <c r="IHQ144" s="609"/>
      <c r="IHR144" s="607"/>
      <c r="IHS144" s="607"/>
      <c r="IHT144" s="607"/>
      <c r="IHU144" s="463"/>
      <c r="IHV144" s="454"/>
      <c r="IHW144" s="607"/>
      <c r="IHX144" s="607"/>
      <c r="IHY144" s="607"/>
      <c r="IHZ144" s="607"/>
      <c r="IIA144" s="607"/>
      <c r="IIB144" s="453"/>
      <c r="IIC144" s="289"/>
      <c r="IID144" s="453"/>
      <c r="IIE144" s="453"/>
      <c r="IIF144" s="453"/>
      <c r="IIG144" s="453"/>
      <c r="IIH144" s="453"/>
      <c r="III144" s="461"/>
      <c r="IIJ144" s="461"/>
      <c r="IIK144" s="461"/>
      <c r="IIL144" s="609"/>
      <c r="IIM144" s="607"/>
      <c r="IIN144" s="607"/>
      <c r="IIO144" s="607"/>
      <c r="IIP144" s="463"/>
      <c r="IIQ144" s="454"/>
      <c r="IIR144" s="607"/>
      <c r="IIS144" s="607"/>
      <c r="IIT144" s="607"/>
      <c r="IIU144" s="607"/>
      <c r="IIV144" s="607"/>
      <c r="IIW144" s="453"/>
      <c r="IIX144" s="289"/>
      <c r="IIY144" s="453"/>
      <c r="IIZ144" s="453"/>
      <c r="IJA144" s="453"/>
      <c r="IJB144" s="453"/>
      <c r="IJC144" s="453"/>
      <c r="IJD144" s="461"/>
      <c r="IJE144" s="461"/>
      <c r="IJF144" s="461"/>
      <c r="IJG144" s="609"/>
      <c r="IJH144" s="607"/>
      <c r="IJI144" s="607"/>
      <c r="IJJ144" s="607"/>
      <c r="IJK144" s="463"/>
      <c r="IJL144" s="454"/>
      <c r="IJM144" s="607"/>
      <c r="IJN144" s="607"/>
      <c r="IJO144" s="607"/>
      <c r="IJP144" s="607"/>
      <c r="IJQ144" s="607"/>
      <c r="IJR144" s="453"/>
      <c r="IJS144" s="289"/>
      <c r="IJT144" s="453"/>
      <c r="IJU144" s="453"/>
      <c r="IJV144" s="453"/>
      <c r="IJW144" s="453"/>
      <c r="IJX144" s="453"/>
      <c r="IJY144" s="461"/>
      <c r="IJZ144" s="461"/>
      <c r="IKA144" s="461"/>
      <c r="IKB144" s="609"/>
      <c r="IKC144" s="607"/>
      <c r="IKD144" s="607"/>
      <c r="IKE144" s="607"/>
      <c r="IKF144" s="463"/>
      <c r="IKG144" s="454"/>
      <c r="IKH144" s="607"/>
      <c r="IKI144" s="607"/>
      <c r="IKJ144" s="607"/>
      <c r="IKK144" s="607"/>
      <c r="IKL144" s="607"/>
      <c r="IKM144" s="453"/>
      <c r="IKN144" s="289"/>
      <c r="IKO144" s="453"/>
      <c r="IKP144" s="453"/>
      <c r="IKQ144" s="453"/>
      <c r="IKR144" s="453"/>
      <c r="IKS144" s="453"/>
      <c r="IKT144" s="461"/>
      <c r="IKU144" s="461"/>
      <c r="IKV144" s="461"/>
      <c r="IKW144" s="609"/>
      <c r="IKX144" s="607"/>
      <c r="IKY144" s="607"/>
      <c r="IKZ144" s="607"/>
      <c r="ILA144" s="463"/>
      <c r="ILB144" s="454"/>
      <c r="ILC144" s="607"/>
      <c r="ILD144" s="607"/>
      <c r="ILE144" s="607"/>
      <c r="ILF144" s="607"/>
      <c r="ILG144" s="607"/>
      <c r="ILH144" s="453"/>
      <c r="ILI144" s="289"/>
      <c r="ILJ144" s="453"/>
      <c r="ILK144" s="453"/>
      <c r="ILL144" s="453"/>
      <c r="ILM144" s="453"/>
      <c r="ILN144" s="453"/>
      <c r="ILO144" s="461"/>
      <c r="ILP144" s="461"/>
      <c r="ILQ144" s="461"/>
      <c r="ILR144" s="609"/>
      <c r="ILS144" s="607"/>
      <c r="ILT144" s="607"/>
      <c r="ILU144" s="607"/>
      <c r="ILV144" s="463"/>
      <c r="ILW144" s="454"/>
      <c r="ILX144" s="607"/>
      <c r="ILY144" s="607"/>
      <c r="ILZ144" s="607"/>
      <c r="IMA144" s="607"/>
      <c r="IMB144" s="607"/>
      <c r="IMC144" s="453"/>
      <c r="IMD144" s="289"/>
      <c r="IME144" s="453"/>
      <c r="IMF144" s="453"/>
      <c r="IMG144" s="453"/>
      <c r="IMH144" s="453"/>
      <c r="IMI144" s="453"/>
      <c r="IMJ144" s="461"/>
      <c r="IMK144" s="461"/>
      <c r="IML144" s="461"/>
      <c r="IMM144" s="609"/>
      <c r="IMN144" s="607"/>
      <c r="IMO144" s="607"/>
      <c r="IMP144" s="607"/>
      <c r="IMQ144" s="463"/>
      <c r="IMR144" s="454"/>
      <c r="IMS144" s="607"/>
      <c r="IMT144" s="607"/>
      <c r="IMU144" s="607"/>
      <c r="IMV144" s="607"/>
      <c r="IMW144" s="607"/>
      <c r="IMX144" s="453"/>
      <c r="IMY144" s="289"/>
      <c r="IMZ144" s="453"/>
      <c r="INA144" s="453"/>
      <c r="INB144" s="453"/>
      <c r="INC144" s="453"/>
      <c r="IND144" s="453"/>
      <c r="INE144" s="461"/>
      <c r="INF144" s="461"/>
      <c r="ING144" s="461"/>
      <c r="INH144" s="609"/>
      <c r="INI144" s="607"/>
      <c r="INJ144" s="607"/>
      <c r="INK144" s="607"/>
      <c r="INL144" s="463"/>
      <c r="INM144" s="454"/>
      <c r="INN144" s="607"/>
      <c r="INO144" s="607"/>
      <c r="INP144" s="607"/>
      <c r="INQ144" s="607"/>
      <c r="INR144" s="607"/>
      <c r="INS144" s="453"/>
      <c r="INT144" s="289"/>
      <c r="INU144" s="453"/>
      <c r="INV144" s="453"/>
      <c r="INW144" s="453"/>
      <c r="INX144" s="453"/>
      <c r="INY144" s="453"/>
      <c r="INZ144" s="461"/>
      <c r="IOA144" s="461"/>
      <c r="IOB144" s="461"/>
      <c r="IOC144" s="609"/>
      <c r="IOD144" s="607"/>
      <c r="IOE144" s="607"/>
      <c r="IOF144" s="607"/>
      <c r="IOG144" s="463"/>
      <c r="IOH144" s="454"/>
      <c r="IOI144" s="607"/>
      <c r="IOJ144" s="607"/>
      <c r="IOK144" s="607"/>
      <c r="IOL144" s="607"/>
      <c r="IOM144" s="607"/>
      <c r="ION144" s="453"/>
      <c r="IOO144" s="289"/>
      <c r="IOP144" s="453"/>
      <c r="IOQ144" s="453"/>
      <c r="IOR144" s="453"/>
      <c r="IOS144" s="453"/>
      <c r="IOT144" s="453"/>
      <c r="IOU144" s="461"/>
      <c r="IOV144" s="461"/>
      <c r="IOW144" s="461"/>
      <c r="IOX144" s="609"/>
      <c r="IOY144" s="607"/>
      <c r="IOZ144" s="607"/>
      <c r="IPA144" s="607"/>
      <c r="IPB144" s="463"/>
      <c r="IPC144" s="454"/>
      <c r="IPD144" s="607"/>
      <c r="IPE144" s="607"/>
      <c r="IPF144" s="607"/>
      <c r="IPG144" s="607"/>
      <c r="IPH144" s="607"/>
      <c r="IPI144" s="453"/>
      <c r="IPJ144" s="289"/>
      <c r="IPK144" s="453"/>
      <c r="IPL144" s="453"/>
      <c r="IPM144" s="453"/>
      <c r="IPN144" s="453"/>
      <c r="IPO144" s="453"/>
      <c r="IPP144" s="461"/>
      <c r="IPQ144" s="461"/>
      <c r="IPR144" s="461"/>
      <c r="IPS144" s="609"/>
      <c r="IPT144" s="607"/>
      <c r="IPU144" s="607"/>
      <c r="IPV144" s="607"/>
      <c r="IPW144" s="463"/>
      <c r="IPX144" s="454"/>
      <c r="IPY144" s="607"/>
      <c r="IPZ144" s="607"/>
      <c r="IQA144" s="607"/>
      <c r="IQB144" s="607"/>
      <c r="IQC144" s="607"/>
      <c r="IQD144" s="453"/>
      <c r="IQE144" s="289"/>
      <c r="IQF144" s="453"/>
      <c r="IQG144" s="453"/>
      <c r="IQH144" s="453"/>
      <c r="IQI144" s="453"/>
      <c r="IQJ144" s="453"/>
      <c r="IQK144" s="461"/>
      <c r="IQL144" s="461"/>
      <c r="IQM144" s="461"/>
      <c r="IQN144" s="609"/>
      <c r="IQO144" s="607"/>
      <c r="IQP144" s="607"/>
      <c r="IQQ144" s="607"/>
      <c r="IQR144" s="463"/>
      <c r="IQS144" s="454"/>
      <c r="IQT144" s="607"/>
      <c r="IQU144" s="607"/>
      <c r="IQV144" s="607"/>
      <c r="IQW144" s="607"/>
      <c r="IQX144" s="607"/>
      <c r="IQY144" s="453"/>
      <c r="IQZ144" s="289"/>
      <c r="IRA144" s="453"/>
      <c r="IRB144" s="453"/>
      <c r="IRC144" s="453"/>
      <c r="IRD144" s="453"/>
      <c r="IRE144" s="453"/>
      <c r="IRF144" s="461"/>
      <c r="IRG144" s="461"/>
      <c r="IRH144" s="461"/>
      <c r="IRI144" s="609"/>
      <c r="IRJ144" s="607"/>
      <c r="IRK144" s="607"/>
      <c r="IRL144" s="607"/>
      <c r="IRM144" s="463"/>
      <c r="IRN144" s="454"/>
      <c r="IRO144" s="607"/>
      <c r="IRP144" s="607"/>
      <c r="IRQ144" s="607"/>
      <c r="IRR144" s="607"/>
      <c r="IRS144" s="607"/>
      <c r="IRT144" s="453"/>
      <c r="IRU144" s="289"/>
      <c r="IRV144" s="453"/>
      <c r="IRW144" s="453"/>
      <c r="IRX144" s="453"/>
      <c r="IRY144" s="453"/>
      <c r="IRZ144" s="453"/>
      <c r="ISA144" s="461"/>
      <c r="ISB144" s="461"/>
      <c r="ISC144" s="461"/>
      <c r="ISD144" s="609"/>
      <c r="ISE144" s="607"/>
      <c r="ISF144" s="607"/>
      <c r="ISG144" s="607"/>
      <c r="ISH144" s="463"/>
      <c r="ISI144" s="454"/>
      <c r="ISJ144" s="607"/>
      <c r="ISK144" s="607"/>
      <c r="ISL144" s="607"/>
      <c r="ISM144" s="607"/>
      <c r="ISN144" s="607"/>
      <c r="ISO144" s="453"/>
      <c r="ISP144" s="289"/>
      <c r="ISQ144" s="453"/>
      <c r="ISR144" s="453"/>
      <c r="ISS144" s="453"/>
      <c r="IST144" s="453"/>
      <c r="ISU144" s="453"/>
      <c r="ISV144" s="461"/>
      <c r="ISW144" s="461"/>
      <c r="ISX144" s="461"/>
      <c r="ISY144" s="609"/>
      <c r="ISZ144" s="607"/>
      <c r="ITA144" s="607"/>
      <c r="ITB144" s="607"/>
      <c r="ITC144" s="463"/>
      <c r="ITD144" s="454"/>
      <c r="ITE144" s="607"/>
      <c r="ITF144" s="607"/>
      <c r="ITG144" s="607"/>
      <c r="ITH144" s="607"/>
      <c r="ITI144" s="607"/>
      <c r="ITJ144" s="453"/>
      <c r="ITK144" s="289"/>
      <c r="ITL144" s="453"/>
      <c r="ITM144" s="453"/>
      <c r="ITN144" s="453"/>
      <c r="ITO144" s="453"/>
      <c r="ITP144" s="453"/>
      <c r="ITQ144" s="461"/>
      <c r="ITR144" s="461"/>
      <c r="ITS144" s="461"/>
      <c r="ITT144" s="609"/>
      <c r="ITU144" s="607"/>
      <c r="ITV144" s="607"/>
      <c r="ITW144" s="607"/>
      <c r="ITX144" s="463"/>
      <c r="ITY144" s="454"/>
      <c r="ITZ144" s="607"/>
      <c r="IUA144" s="607"/>
      <c r="IUB144" s="607"/>
      <c r="IUC144" s="607"/>
      <c r="IUD144" s="607"/>
      <c r="IUE144" s="453"/>
      <c r="IUF144" s="289"/>
      <c r="IUG144" s="453"/>
      <c r="IUH144" s="453"/>
      <c r="IUI144" s="453"/>
      <c r="IUJ144" s="453"/>
      <c r="IUK144" s="453"/>
      <c r="IUL144" s="461"/>
      <c r="IUM144" s="461"/>
      <c r="IUN144" s="461"/>
      <c r="IUO144" s="609"/>
      <c r="IUP144" s="607"/>
      <c r="IUQ144" s="607"/>
      <c r="IUR144" s="607"/>
      <c r="IUS144" s="463"/>
      <c r="IUT144" s="454"/>
      <c r="IUU144" s="607"/>
      <c r="IUV144" s="607"/>
      <c r="IUW144" s="607"/>
      <c r="IUX144" s="607"/>
      <c r="IUY144" s="607"/>
      <c r="IUZ144" s="453"/>
      <c r="IVA144" s="289"/>
      <c r="IVB144" s="453"/>
      <c r="IVC144" s="453"/>
      <c r="IVD144" s="453"/>
      <c r="IVE144" s="453"/>
      <c r="IVF144" s="453"/>
      <c r="IVG144" s="461"/>
      <c r="IVH144" s="461"/>
      <c r="IVI144" s="461"/>
      <c r="IVJ144" s="609"/>
      <c r="IVK144" s="607"/>
      <c r="IVL144" s="607"/>
      <c r="IVM144" s="607"/>
      <c r="IVN144" s="463"/>
      <c r="IVO144" s="454"/>
      <c r="IVP144" s="607"/>
      <c r="IVQ144" s="607"/>
      <c r="IVR144" s="607"/>
      <c r="IVS144" s="607"/>
      <c r="IVT144" s="607"/>
      <c r="IVU144" s="453"/>
      <c r="IVV144" s="289"/>
      <c r="IVW144" s="453"/>
      <c r="IVX144" s="453"/>
      <c r="IVY144" s="453"/>
      <c r="IVZ144" s="453"/>
      <c r="IWA144" s="453"/>
      <c r="IWB144" s="461"/>
      <c r="IWC144" s="461"/>
      <c r="IWD144" s="461"/>
      <c r="IWE144" s="609"/>
      <c r="IWF144" s="607"/>
      <c r="IWG144" s="607"/>
      <c r="IWH144" s="607"/>
      <c r="IWI144" s="463"/>
      <c r="IWJ144" s="454"/>
      <c r="IWK144" s="607"/>
      <c r="IWL144" s="607"/>
      <c r="IWM144" s="607"/>
      <c r="IWN144" s="607"/>
      <c r="IWO144" s="607"/>
      <c r="IWP144" s="453"/>
      <c r="IWQ144" s="289"/>
      <c r="IWR144" s="453"/>
      <c r="IWS144" s="453"/>
      <c r="IWT144" s="453"/>
      <c r="IWU144" s="453"/>
      <c r="IWV144" s="453"/>
      <c r="IWW144" s="461"/>
      <c r="IWX144" s="461"/>
      <c r="IWY144" s="461"/>
      <c r="IWZ144" s="609"/>
      <c r="IXA144" s="607"/>
      <c r="IXB144" s="607"/>
      <c r="IXC144" s="607"/>
      <c r="IXD144" s="463"/>
      <c r="IXE144" s="454"/>
      <c r="IXF144" s="607"/>
      <c r="IXG144" s="607"/>
      <c r="IXH144" s="607"/>
      <c r="IXI144" s="607"/>
      <c r="IXJ144" s="607"/>
      <c r="IXK144" s="453"/>
      <c r="IXL144" s="289"/>
      <c r="IXM144" s="453"/>
      <c r="IXN144" s="453"/>
      <c r="IXO144" s="453"/>
      <c r="IXP144" s="453"/>
      <c r="IXQ144" s="453"/>
      <c r="IXR144" s="461"/>
      <c r="IXS144" s="461"/>
      <c r="IXT144" s="461"/>
      <c r="IXU144" s="609"/>
      <c r="IXV144" s="607"/>
      <c r="IXW144" s="607"/>
      <c r="IXX144" s="607"/>
      <c r="IXY144" s="463"/>
      <c r="IXZ144" s="454"/>
      <c r="IYA144" s="607"/>
      <c r="IYB144" s="607"/>
      <c r="IYC144" s="607"/>
      <c r="IYD144" s="607"/>
      <c r="IYE144" s="607"/>
      <c r="IYF144" s="453"/>
      <c r="IYG144" s="289"/>
      <c r="IYH144" s="453"/>
      <c r="IYI144" s="453"/>
      <c r="IYJ144" s="453"/>
      <c r="IYK144" s="453"/>
      <c r="IYL144" s="453"/>
      <c r="IYM144" s="461"/>
      <c r="IYN144" s="461"/>
      <c r="IYO144" s="461"/>
      <c r="IYP144" s="609"/>
      <c r="IYQ144" s="607"/>
      <c r="IYR144" s="607"/>
      <c r="IYS144" s="607"/>
      <c r="IYT144" s="463"/>
      <c r="IYU144" s="454"/>
      <c r="IYV144" s="607"/>
      <c r="IYW144" s="607"/>
      <c r="IYX144" s="607"/>
      <c r="IYY144" s="607"/>
      <c r="IYZ144" s="607"/>
      <c r="IZA144" s="453"/>
      <c r="IZB144" s="289"/>
      <c r="IZC144" s="453"/>
      <c r="IZD144" s="453"/>
      <c r="IZE144" s="453"/>
      <c r="IZF144" s="453"/>
      <c r="IZG144" s="453"/>
      <c r="IZH144" s="461"/>
      <c r="IZI144" s="461"/>
      <c r="IZJ144" s="461"/>
      <c r="IZK144" s="609"/>
      <c r="IZL144" s="607"/>
      <c r="IZM144" s="607"/>
      <c r="IZN144" s="607"/>
      <c r="IZO144" s="463"/>
      <c r="IZP144" s="454"/>
      <c r="IZQ144" s="607"/>
      <c r="IZR144" s="607"/>
      <c r="IZS144" s="607"/>
      <c r="IZT144" s="607"/>
      <c r="IZU144" s="607"/>
      <c r="IZV144" s="453"/>
      <c r="IZW144" s="289"/>
      <c r="IZX144" s="453"/>
      <c r="IZY144" s="453"/>
      <c r="IZZ144" s="453"/>
      <c r="JAA144" s="453"/>
      <c r="JAB144" s="453"/>
      <c r="JAC144" s="461"/>
      <c r="JAD144" s="461"/>
      <c r="JAE144" s="461"/>
      <c r="JAF144" s="609"/>
      <c r="JAG144" s="607"/>
      <c r="JAH144" s="607"/>
      <c r="JAI144" s="607"/>
      <c r="JAJ144" s="463"/>
      <c r="JAK144" s="454"/>
      <c r="JAL144" s="607"/>
      <c r="JAM144" s="607"/>
      <c r="JAN144" s="607"/>
      <c r="JAO144" s="607"/>
      <c r="JAP144" s="607"/>
      <c r="JAQ144" s="453"/>
      <c r="JAR144" s="289"/>
      <c r="JAS144" s="453"/>
      <c r="JAT144" s="453"/>
      <c r="JAU144" s="453"/>
      <c r="JAV144" s="453"/>
      <c r="JAW144" s="453"/>
      <c r="JAX144" s="461"/>
      <c r="JAY144" s="461"/>
      <c r="JAZ144" s="461"/>
      <c r="JBA144" s="609"/>
      <c r="JBB144" s="607"/>
      <c r="JBC144" s="607"/>
      <c r="JBD144" s="607"/>
      <c r="JBE144" s="463"/>
      <c r="JBF144" s="454"/>
      <c r="JBG144" s="607"/>
      <c r="JBH144" s="607"/>
      <c r="JBI144" s="607"/>
      <c r="JBJ144" s="607"/>
      <c r="JBK144" s="607"/>
      <c r="JBL144" s="453"/>
      <c r="JBM144" s="289"/>
      <c r="JBN144" s="453"/>
      <c r="JBO144" s="453"/>
      <c r="JBP144" s="453"/>
      <c r="JBQ144" s="453"/>
      <c r="JBR144" s="453"/>
      <c r="JBS144" s="461"/>
      <c r="JBT144" s="461"/>
      <c r="JBU144" s="461"/>
      <c r="JBV144" s="609"/>
      <c r="JBW144" s="607"/>
      <c r="JBX144" s="607"/>
      <c r="JBY144" s="607"/>
      <c r="JBZ144" s="463"/>
      <c r="JCA144" s="454"/>
      <c r="JCB144" s="607"/>
      <c r="JCC144" s="607"/>
      <c r="JCD144" s="607"/>
      <c r="JCE144" s="607"/>
      <c r="JCF144" s="607"/>
      <c r="JCG144" s="453"/>
      <c r="JCH144" s="289"/>
      <c r="JCI144" s="453"/>
      <c r="JCJ144" s="453"/>
      <c r="JCK144" s="453"/>
      <c r="JCL144" s="453"/>
      <c r="JCM144" s="453"/>
      <c r="JCN144" s="461"/>
      <c r="JCO144" s="461"/>
      <c r="JCP144" s="461"/>
      <c r="JCQ144" s="609"/>
      <c r="JCR144" s="607"/>
      <c r="JCS144" s="607"/>
      <c r="JCT144" s="607"/>
      <c r="JCU144" s="463"/>
      <c r="JCV144" s="454"/>
      <c r="JCW144" s="607"/>
      <c r="JCX144" s="607"/>
      <c r="JCY144" s="607"/>
      <c r="JCZ144" s="607"/>
      <c r="JDA144" s="607"/>
      <c r="JDB144" s="453"/>
      <c r="JDC144" s="289"/>
      <c r="JDD144" s="453"/>
      <c r="JDE144" s="453"/>
      <c r="JDF144" s="453"/>
      <c r="JDG144" s="453"/>
      <c r="JDH144" s="453"/>
      <c r="JDI144" s="461"/>
      <c r="JDJ144" s="461"/>
      <c r="JDK144" s="461"/>
      <c r="JDL144" s="609"/>
      <c r="JDM144" s="607"/>
      <c r="JDN144" s="607"/>
      <c r="JDO144" s="607"/>
      <c r="JDP144" s="463"/>
      <c r="JDQ144" s="454"/>
      <c r="JDR144" s="607"/>
      <c r="JDS144" s="607"/>
      <c r="JDT144" s="607"/>
      <c r="JDU144" s="607"/>
      <c r="JDV144" s="607"/>
      <c r="JDW144" s="453"/>
      <c r="JDX144" s="289"/>
      <c r="JDY144" s="453"/>
      <c r="JDZ144" s="453"/>
      <c r="JEA144" s="453"/>
      <c r="JEB144" s="453"/>
      <c r="JEC144" s="453"/>
      <c r="JED144" s="461"/>
      <c r="JEE144" s="461"/>
      <c r="JEF144" s="461"/>
      <c r="JEG144" s="609"/>
      <c r="JEH144" s="607"/>
      <c r="JEI144" s="607"/>
      <c r="JEJ144" s="607"/>
      <c r="JEK144" s="463"/>
      <c r="JEL144" s="454"/>
      <c r="JEM144" s="607"/>
      <c r="JEN144" s="607"/>
      <c r="JEO144" s="607"/>
      <c r="JEP144" s="607"/>
      <c r="JEQ144" s="607"/>
      <c r="JER144" s="453"/>
      <c r="JES144" s="289"/>
      <c r="JET144" s="453"/>
      <c r="JEU144" s="453"/>
      <c r="JEV144" s="453"/>
      <c r="JEW144" s="453"/>
      <c r="JEX144" s="453"/>
      <c r="JEY144" s="461"/>
      <c r="JEZ144" s="461"/>
      <c r="JFA144" s="461"/>
      <c r="JFB144" s="609"/>
      <c r="JFC144" s="607"/>
      <c r="JFD144" s="607"/>
      <c r="JFE144" s="607"/>
      <c r="JFF144" s="463"/>
      <c r="JFG144" s="454"/>
      <c r="JFH144" s="607"/>
      <c r="JFI144" s="607"/>
      <c r="JFJ144" s="607"/>
      <c r="JFK144" s="607"/>
      <c r="JFL144" s="607"/>
      <c r="JFM144" s="453"/>
      <c r="JFN144" s="289"/>
      <c r="JFO144" s="453"/>
      <c r="JFP144" s="453"/>
      <c r="JFQ144" s="453"/>
      <c r="JFR144" s="453"/>
      <c r="JFS144" s="453"/>
      <c r="JFT144" s="461"/>
      <c r="JFU144" s="461"/>
      <c r="JFV144" s="461"/>
      <c r="JFW144" s="609"/>
      <c r="JFX144" s="607"/>
      <c r="JFY144" s="607"/>
      <c r="JFZ144" s="607"/>
      <c r="JGA144" s="463"/>
      <c r="JGB144" s="454"/>
      <c r="JGC144" s="607"/>
      <c r="JGD144" s="607"/>
      <c r="JGE144" s="607"/>
      <c r="JGF144" s="607"/>
      <c r="JGG144" s="607"/>
      <c r="JGH144" s="453"/>
      <c r="JGI144" s="289"/>
      <c r="JGJ144" s="453"/>
      <c r="JGK144" s="453"/>
      <c r="JGL144" s="453"/>
      <c r="JGM144" s="453"/>
      <c r="JGN144" s="453"/>
      <c r="JGO144" s="461"/>
      <c r="JGP144" s="461"/>
      <c r="JGQ144" s="461"/>
      <c r="JGR144" s="609"/>
      <c r="JGS144" s="607"/>
      <c r="JGT144" s="607"/>
      <c r="JGU144" s="607"/>
      <c r="JGV144" s="463"/>
      <c r="JGW144" s="454"/>
      <c r="JGX144" s="607"/>
      <c r="JGY144" s="607"/>
      <c r="JGZ144" s="607"/>
      <c r="JHA144" s="607"/>
      <c r="JHB144" s="607"/>
      <c r="JHC144" s="453"/>
      <c r="JHD144" s="289"/>
      <c r="JHE144" s="453"/>
      <c r="JHF144" s="453"/>
      <c r="JHG144" s="453"/>
      <c r="JHH144" s="453"/>
      <c r="JHI144" s="453"/>
      <c r="JHJ144" s="461"/>
      <c r="JHK144" s="461"/>
      <c r="JHL144" s="461"/>
      <c r="JHM144" s="609"/>
      <c r="JHN144" s="607"/>
      <c r="JHO144" s="607"/>
      <c r="JHP144" s="607"/>
      <c r="JHQ144" s="463"/>
      <c r="JHR144" s="454"/>
      <c r="JHS144" s="607"/>
      <c r="JHT144" s="607"/>
      <c r="JHU144" s="607"/>
      <c r="JHV144" s="607"/>
      <c r="JHW144" s="607"/>
      <c r="JHX144" s="453"/>
      <c r="JHY144" s="289"/>
      <c r="JHZ144" s="453"/>
      <c r="JIA144" s="453"/>
      <c r="JIB144" s="453"/>
      <c r="JIC144" s="453"/>
      <c r="JID144" s="453"/>
      <c r="JIE144" s="461"/>
      <c r="JIF144" s="461"/>
      <c r="JIG144" s="461"/>
      <c r="JIH144" s="609"/>
      <c r="JII144" s="607"/>
      <c r="JIJ144" s="607"/>
      <c r="JIK144" s="607"/>
      <c r="JIL144" s="463"/>
      <c r="JIM144" s="454"/>
      <c r="JIN144" s="607"/>
      <c r="JIO144" s="607"/>
      <c r="JIP144" s="607"/>
      <c r="JIQ144" s="607"/>
      <c r="JIR144" s="607"/>
      <c r="JIS144" s="453"/>
      <c r="JIT144" s="289"/>
      <c r="JIU144" s="453"/>
      <c r="JIV144" s="453"/>
      <c r="JIW144" s="453"/>
      <c r="JIX144" s="453"/>
      <c r="JIY144" s="453"/>
      <c r="JIZ144" s="461"/>
      <c r="JJA144" s="461"/>
      <c r="JJB144" s="461"/>
      <c r="JJC144" s="609"/>
      <c r="JJD144" s="607"/>
      <c r="JJE144" s="607"/>
      <c r="JJF144" s="607"/>
      <c r="JJG144" s="463"/>
      <c r="JJH144" s="454"/>
      <c r="JJI144" s="607"/>
      <c r="JJJ144" s="607"/>
      <c r="JJK144" s="607"/>
      <c r="JJL144" s="607"/>
      <c r="JJM144" s="607"/>
      <c r="JJN144" s="453"/>
      <c r="JJO144" s="289"/>
      <c r="JJP144" s="453"/>
      <c r="JJQ144" s="453"/>
      <c r="JJR144" s="453"/>
      <c r="JJS144" s="453"/>
      <c r="JJT144" s="453"/>
      <c r="JJU144" s="461"/>
      <c r="JJV144" s="461"/>
      <c r="JJW144" s="461"/>
      <c r="JJX144" s="609"/>
      <c r="JJY144" s="607"/>
      <c r="JJZ144" s="607"/>
      <c r="JKA144" s="607"/>
      <c r="JKB144" s="463"/>
      <c r="JKC144" s="454"/>
      <c r="JKD144" s="607"/>
      <c r="JKE144" s="607"/>
      <c r="JKF144" s="607"/>
      <c r="JKG144" s="607"/>
      <c r="JKH144" s="607"/>
      <c r="JKI144" s="453"/>
      <c r="JKJ144" s="289"/>
      <c r="JKK144" s="453"/>
      <c r="JKL144" s="453"/>
      <c r="JKM144" s="453"/>
      <c r="JKN144" s="453"/>
      <c r="JKO144" s="453"/>
      <c r="JKP144" s="461"/>
      <c r="JKQ144" s="461"/>
      <c r="JKR144" s="461"/>
      <c r="JKS144" s="609"/>
      <c r="JKT144" s="607"/>
      <c r="JKU144" s="607"/>
      <c r="JKV144" s="607"/>
      <c r="JKW144" s="463"/>
      <c r="JKX144" s="454"/>
      <c r="JKY144" s="607"/>
      <c r="JKZ144" s="607"/>
      <c r="JLA144" s="607"/>
      <c r="JLB144" s="607"/>
      <c r="JLC144" s="607"/>
      <c r="JLD144" s="453"/>
      <c r="JLE144" s="289"/>
      <c r="JLF144" s="453"/>
      <c r="JLG144" s="453"/>
      <c r="JLH144" s="453"/>
      <c r="JLI144" s="453"/>
      <c r="JLJ144" s="453"/>
      <c r="JLK144" s="461"/>
      <c r="JLL144" s="461"/>
      <c r="JLM144" s="461"/>
      <c r="JLN144" s="609"/>
      <c r="JLO144" s="607"/>
      <c r="JLP144" s="607"/>
      <c r="JLQ144" s="607"/>
      <c r="JLR144" s="463"/>
      <c r="JLS144" s="454"/>
      <c r="JLT144" s="607"/>
      <c r="JLU144" s="607"/>
      <c r="JLV144" s="607"/>
      <c r="JLW144" s="607"/>
      <c r="JLX144" s="607"/>
      <c r="JLY144" s="453"/>
      <c r="JLZ144" s="289"/>
      <c r="JMA144" s="453"/>
      <c r="JMB144" s="453"/>
      <c r="JMC144" s="453"/>
      <c r="JMD144" s="453"/>
      <c r="JME144" s="453"/>
      <c r="JMF144" s="461"/>
      <c r="JMG144" s="461"/>
      <c r="JMH144" s="461"/>
      <c r="JMI144" s="609"/>
      <c r="JMJ144" s="607"/>
      <c r="JMK144" s="607"/>
      <c r="JML144" s="607"/>
      <c r="JMM144" s="463"/>
      <c r="JMN144" s="454"/>
      <c r="JMO144" s="607"/>
      <c r="JMP144" s="607"/>
      <c r="JMQ144" s="607"/>
      <c r="JMR144" s="607"/>
      <c r="JMS144" s="607"/>
      <c r="JMT144" s="453"/>
      <c r="JMU144" s="289"/>
      <c r="JMV144" s="453"/>
      <c r="JMW144" s="453"/>
      <c r="JMX144" s="453"/>
      <c r="JMY144" s="453"/>
      <c r="JMZ144" s="453"/>
      <c r="JNA144" s="461"/>
      <c r="JNB144" s="461"/>
      <c r="JNC144" s="461"/>
      <c r="JND144" s="609"/>
      <c r="JNE144" s="607"/>
      <c r="JNF144" s="607"/>
      <c r="JNG144" s="607"/>
      <c r="JNH144" s="463"/>
      <c r="JNI144" s="454"/>
      <c r="JNJ144" s="607"/>
      <c r="JNK144" s="607"/>
      <c r="JNL144" s="607"/>
      <c r="JNM144" s="607"/>
      <c r="JNN144" s="607"/>
      <c r="JNO144" s="453"/>
      <c r="JNP144" s="289"/>
      <c r="JNQ144" s="453"/>
      <c r="JNR144" s="453"/>
      <c r="JNS144" s="453"/>
      <c r="JNT144" s="453"/>
      <c r="JNU144" s="453"/>
      <c r="JNV144" s="461"/>
      <c r="JNW144" s="461"/>
      <c r="JNX144" s="461"/>
      <c r="JNY144" s="609"/>
      <c r="JNZ144" s="607"/>
      <c r="JOA144" s="607"/>
      <c r="JOB144" s="607"/>
      <c r="JOC144" s="463"/>
      <c r="JOD144" s="454"/>
      <c r="JOE144" s="607"/>
      <c r="JOF144" s="607"/>
      <c r="JOG144" s="607"/>
      <c r="JOH144" s="607"/>
      <c r="JOI144" s="607"/>
      <c r="JOJ144" s="453"/>
      <c r="JOK144" s="289"/>
      <c r="JOL144" s="453"/>
      <c r="JOM144" s="453"/>
      <c r="JON144" s="453"/>
      <c r="JOO144" s="453"/>
      <c r="JOP144" s="453"/>
      <c r="JOQ144" s="461"/>
      <c r="JOR144" s="461"/>
      <c r="JOS144" s="461"/>
      <c r="JOT144" s="609"/>
      <c r="JOU144" s="607"/>
      <c r="JOV144" s="607"/>
      <c r="JOW144" s="607"/>
      <c r="JOX144" s="463"/>
      <c r="JOY144" s="454"/>
      <c r="JOZ144" s="607"/>
      <c r="JPA144" s="607"/>
      <c r="JPB144" s="607"/>
      <c r="JPC144" s="607"/>
      <c r="JPD144" s="607"/>
      <c r="JPE144" s="453"/>
      <c r="JPF144" s="289"/>
      <c r="JPG144" s="453"/>
      <c r="JPH144" s="453"/>
      <c r="JPI144" s="453"/>
      <c r="JPJ144" s="453"/>
      <c r="JPK144" s="453"/>
      <c r="JPL144" s="461"/>
      <c r="JPM144" s="461"/>
      <c r="JPN144" s="461"/>
      <c r="JPO144" s="609"/>
      <c r="JPP144" s="607"/>
      <c r="JPQ144" s="607"/>
      <c r="JPR144" s="607"/>
      <c r="JPS144" s="463"/>
      <c r="JPT144" s="454"/>
      <c r="JPU144" s="607"/>
      <c r="JPV144" s="607"/>
      <c r="JPW144" s="607"/>
      <c r="JPX144" s="607"/>
      <c r="JPY144" s="607"/>
      <c r="JPZ144" s="453"/>
      <c r="JQA144" s="289"/>
      <c r="JQB144" s="453"/>
      <c r="JQC144" s="453"/>
      <c r="JQD144" s="453"/>
      <c r="JQE144" s="453"/>
      <c r="JQF144" s="453"/>
      <c r="JQG144" s="461"/>
      <c r="JQH144" s="461"/>
      <c r="JQI144" s="461"/>
      <c r="JQJ144" s="609"/>
      <c r="JQK144" s="607"/>
      <c r="JQL144" s="607"/>
      <c r="JQM144" s="607"/>
      <c r="JQN144" s="463"/>
      <c r="JQO144" s="454"/>
      <c r="JQP144" s="607"/>
      <c r="JQQ144" s="607"/>
      <c r="JQR144" s="607"/>
      <c r="JQS144" s="607"/>
      <c r="JQT144" s="607"/>
      <c r="JQU144" s="453"/>
      <c r="JQV144" s="289"/>
      <c r="JQW144" s="453"/>
      <c r="JQX144" s="453"/>
      <c r="JQY144" s="453"/>
      <c r="JQZ144" s="453"/>
      <c r="JRA144" s="453"/>
      <c r="JRB144" s="461"/>
      <c r="JRC144" s="461"/>
      <c r="JRD144" s="461"/>
      <c r="JRE144" s="609"/>
      <c r="JRF144" s="607"/>
      <c r="JRG144" s="607"/>
      <c r="JRH144" s="607"/>
      <c r="JRI144" s="463"/>
      <c r="JRJ144" s="454"/>
      <c r="JRK144" s="607"/>
      <c r="JRL144" s="607"/>
      <c r="JRM144" s="607"/>
      <c r="JRN144" s="607"/>
      <c r="JRO144" s="607"/>
      <c r="JRP144" s="453"/>
      <c r="JRQ144" s="289"/>
      <c r="JRR144" s="453"/>
      <c r="JRS144" s="453"/>
      <c r="JRT144" s="453"/>
      <c r="JRU144" s="453"/>
      <c r="JRV144" s="453"/>
      <c r="JRW144" s="461"/>
      <c r="JRX144" s="461"/>
      <c r="JRY144" s="461"/>
      <c r="JRZ144" s="609"/>
      <c r="JSA144" s="607"/>
      <c r="JSB144" s="607"/>
      <c r="JSC144" s="607"/>
      <c r="JSD144" s="463"/>
      <c r="JSE144" s="454"/>
      <c r="JSF144" s="607"/>
      <c r="JSG144" s="607"/>
      <c r="JSH144" s="607"/>
      <c r="JSI144" s="607"/>
      <c r="JSJ144" s="607"/>
      <c r="JSK144" s="453"/>
      <c r="JSL144" s="289"/>
      <c r="JSM144" s="453"/>
      <c r="JSN144" s="453"/>
      <c r="JSO144" s="453"/>
      <c r="JSP144" s="453"/>
      <c r="JSQ144" s="453"/>
      <c r="JSR144" s="461"/>
      <c r="JSS144" s="461"/>
      <c r="JST144" s="461"/>
      <c r="JSU144" s="609"/>
      <c r="JSV144" s="607"/>
      <c r="JSW144" s="607"/>
      <c r="JSX144" s="607"/>
      <c r="JSY144" s="463"/>
      <c r="JSZ144" s="454"/>
      <c r="JTA144" s="607"/>
      <c r="JTB144" s="607"/>
      <c r="JTC144" s="607"/>
      <c r="JTD144" s="607"/>
      <c r="JTE144" s="607"/>
      <c r="JTF144" s="453"/>
      <c r="JTG144" s="289"/>
      <c r="JTH144" s="453"/>
      <c r="JTI144" s="453"/>
      <c r="JTJ144" s="453"/>
      <c r="JTK144" s="453"/>
      <c r="JTL144" s="453"/>
      <c r="JTM144" s="461"/>
      <c r="JTN144" s="461"/>
      <c r="JTO144" s="461"/>
      <c r="JTP144" s="609"/>
      <c r="JTQ144" s="607"/>
      <c r="JTR144" s="607"/>
      <c r="JTS144" s="607"/>
      <c r="JTT144" s="463"/>
      <c r="JTU144" s="454"/>
      <c r="JTV144" s="607"/>
      <c r="JTW144" s="607"/>
      <c r="JTX144" s="607"/>
      <c r="JTY144" s="607"/>
      <c r="JTZ144" s="607"/>
      <c r="JUA144" s="453"/>
      <c r="JUB144" s="289"/>
      <c r="JUC144" s="453"/>
      <c r="JUD144" s="453"/>
      <c r="JUE144" s="453"/>
      <c r="JUF144" s="453"/>
      <c r="JUG144" s="453"/>
      <c r="JUH144" s="461"/>
      <c r="JUI144" s="461"/>
      <c r="JUJ144" s="461"/>
      <c r="JUK144" s="609"/>
      <c r="JUL144" s="607"/>
      <c r="JUM144" s="607"/>
      <c r="JUN144" s="607"/>
      <c r="JUO144" s="463"/>
      <c r="JUP144" s="454"/>
      <c r="JUQ144" s="607"/>
      <c r="JUR144" s="607"/>
      <c r="JUS144" s="607"/>
      <c r="JUT144" s="607"/>
      <c r="JUU144" s="607"/>
      <c r="JUV144" s="453"/>
      <c r="JUW144" s="289"/>
      <c r="JUX144" s="453"/>
      <c r="JUY144" s="453"/>
      <c r="JUZ144" s="453"/>
      <c r="JVA144" s="453"/>
      <c r="JVB144" s="453"/>
      <c r="JVC144" s="461"/>
      <c r="JVD144" s="461"/>
      <c r="JVE144" s="461"/>
      <c r="JVF144" s="609"/>
      <c r="JVG144" s="607"/>
      <c r="JVH144" s="607"/>
      <c r="JVI144" s="607"/>
      <c r="JVJ144" s="463"/>
      <c r="JVK144" s="454"/>
      <c r="JVL144" s="607"/>
      <c r="JVM144" s="607"/>
      <c r="JVN144" s="607"/>
      <c r="JVO144" s="607"/>
      <c r="JVP144" s="607"/>
      <c r="JVQ144" s="453"/>
      <c r="JVR144" s="289"/>
      <c r="JVS144" s="453"/>
      <c r="JVT144" s="453"/>
      <c r="JVU144" s="453"/>
      <c r="JVV144" s="453"/>
      <c r="JVW144" s="453"/>
      <c r="JVX144" s="461"/>
      <c r="JVY144" s="461"/>
      <c r="JVZ144" s="461"/>
      <c r="JWA144" s="609"/>
      <c r="JWB144" s="607"/>
      <c r="JWC144" s="607"/>
      <c r="JWD144" s="607"/>
      <c r="JWE144" s="463"/>
      <c r="JWF144" s="454"/>
      <c r="JWG144" s="607"/>
      <c r="JWH144" s="607"/>
      <c r="JWI144" s="607"/>
      <c r="JWJ144" s="607"/>
      <c r="JWK144" s="607"/>
      <c r="JWL144" s="453"/>
      <c r="JWM144" s="289"/>
      <c r="JWN144" s="453"/>
      <c r="JWO144" s="453"/>
      <c r="JWP144" s="453"/>
      <c r="JWQ144" s="453"/>
      <c r="JWR144" s="453"/>
      <c r="JWS144" s="461"/>
      <c r="JWT144" s="461"/>
      <c r="JWU144" s="461"/>
      <c r="JWV144" s="609"/>
      <c r="JWW144" s="607"/>
      <c r="JWX144" s="607"/>
      <c r="JWY144" s="607"/>
      <c r="JWZ144" s="463"/>
      <c r="JXA144" s="454"/>
      <c r="JXB144" s="607"/>
      <c r="JXC144" s="607"/>
      <c r="JXD144" s="607"/>
      <c r="JXE144" s="607"/>
      <c r="JXF144" s="607"/>
      <c r="JXG144" s="453"/>
      <c r="JXH144" s="289"/>
      <c r="JXI144" s="453"/>
      <c r="JXJ144" s="453"/>
      <c r="JXK144" s="453"/>
      <c r="JXL144" s="453"/>
      <c r="JXM144" s="453"/>
      <c r="JXN144" s="461"/>
      <c r="JXO144" s="461"/>
      <c r="JXP144" s="461"/>
      <c r="JXQ144" s="609"/>
      <c r="JXR144" s="607"/>
      <c r="JXS144" s="607"/>
      <c r="JXT144" s="607"/>
      <c r="JXU144" s="463"/>
      <c r="JXV144" s="454"/>
      <c r="JXW144" s="607"/>
      <c r="JXX144" s="607"/>
      <c r="JXY144" s="607"/>
      <c r="JXZ144" s="607"/>
      <c r="JYA144" s="607"/>
      <c r="JYB144" s="453"/>
      <c r="JYC144" s="289"/>
      <c r="JYD144" s="453"/>
      <c r="JYE144" s="453"/>
      <c r="JYF144" s="453"/>
      <c r="JYG144" s="453"/>
      <c r="JYH144" s="453"/>
      <c r="JYI144" s="461"/>
      <c r="JYJ144" s="461"/>
      <c r="JYK144" s="461"/>
      <c r="JYL144" s="609"/>
      <c r="JYM144" s="607"/>
      <c r="JYN144" s="607"/>
      <c r="JYO144" s="607"/>
      <c r="JYP144" s="463"/>
      <c r="JYQ144" s="454"/>
      <c r="JYR144" s="607"/>
      <c r="JYS144" s="607"/>
      <c r="JYT144" s="607"/>
      <c r="JYU144" s="607"/>
      <c r="JYV144" s="607"/>
      <c r="JYW144" s="453"/>
      <c r="JYX144" s="289"/>
      <c r="JYY144" s="453"/>
      <c r="JYZ144" s="453"/>
      <c r="JZA144" s="453"/>
      <c r="JZB144" s="453"/>
      <c r="JZC144" s="453"/>
      <c r="JZD144" s="461"/>
      <c r="JZE144" s="461"/>
      <c r="JZF144" s="461"/>
      <c r="JZG144" s="609"/>
      <c r="JZH144" s="607"/>
      <c r="JZI144" s="607"/>
      <c r="JZJ144" s="607"/>
      <c r="JZK144" s="463"/>
      <c r="JZL144" s="454"/>
      <c r="JZM144" s="607"/>
      <c r="JZN144" s="607"/>
      <c r="JZO144" s="607"/>
      <c r="JZP144" s="607"/>
      <c r="JZQ144" s="607"/>
      <c r="JZR144" s="453"/>
      <c r="JZS144" s="289"/>
      <c r="JZT144" s="453"/>
      <c r="JZU144" s="453"/>
      <c r="JZV144" s="453"/>
      <c r="JZW144" s="453"/>
      <c r="JZX144" s="453"/>
      <c r="JZY144" s="461"/>
      <c r="JZZ144" s="461"/>
      <c r="KAA144" s="461"/>
      <c r="KAB144" s="609"/>
      <c r="KAC144" s="607"/>
      <c r="KAD144" s="607"/>
      <c r="KAE144" s="607"/>
      <c r="KAF144" s="463"/>
      <c r="KAG144" s="454"/>
      <c r="KAH144" s="607"/>
      <c r="KAI144" s="607"/>
      <c r="KAJ144" s="607"/>
      <c r="KAK144" s="607"/>
      <c r="KAL144" s="607"/>
      <c r="KAM144" s="453"/>
      <c r="KAN144" s="289"/>
      <c r="KAO144" s="453"/>
      <c r="KAP144" s="453"/>
      <c r="KAQ144" s="453"/>
      <c r="KAR144" s="453"/>
      <c r="KAS144" s="453"/>
      <c r="KAT144" s="461"/>
      <c r="KAU144" s="461"/>
      <c r="KAV144" s="461"/>
      <c r="KAW144" s="609"/>
      <c r="KAX144" s="607"/>
      <c r="KAY144" s="607"/>
      <c r="KAZ144" s="607"/>
      <c r="KBA144" s="463"/>
      <c r="KBB144" s="454"/>
      <c r="KBC144" s="607"/>
      <c r="KBD144" s="607"/>
      <c r="KBE144" s="607"/>
      <c r="KBF144" s="607"/>
      <c r="KBG144" s="607"/>
      <c r="KBH144" s="453"/>
      <c r="KBI144" s="289"/>
      <c r="KBJ144" s="453"/>
      <c r="KBK144" s="453"/>
      <c r="KBL144" s="453"/>
      <c r="KBM144" s="453"/>
      <c r="KBN144" s="453"/>
      <c r="KBO144" s="461"/>
      <c r="KBP144" s="461"/>
      <c r="KBQ144" s="461"/>
      <c r="KBR144" s="609"/>
      <c r="KBS144" s="607"/>
      <c r="KBT144" s="607"/>
      <c r="KBU144" s="607"/>
      <c r="KBV144" s="463"/>
      <c r="KBW144" s="454"/>
      <c r="KBX144" s="607"/>
      <c r="KBY144" s="607"/>
      <c r="KBZ144" s="607"/>
      <c r="KCA144" s="607"/>
      <c r="KCB144" s="607"/>
      <c r="KCC144" s="453"/>
      <c r="KCD144" s="289"/>
      <c r="KCE144" s="453"/>
      <c r="KCF144" s="453"/>
      <c r="KCG144" s="453"/>
      <c r="KCH144" s="453"/>
      <c r="KCI144" s="453"/>
      <c r="KCJ144" s="461"/>
      <c r="KCK144" s="461"/>
      <c r="KCL144" s="461"/>
      <c r="KCM144" s="609"/>
      <c r="KCN144" s="607"/>
      <c r="KCO144" s="607"/>
      <c r="KCP144" s="607"/>
      <c r="KCQ144" s="463"/>
      <c r="KCR144" s="454"/>
      <c r="KCS144" s="607"/>
      <c r="KCT144" s="607"/>
      <c r="KCU144" s="607"/>
      <c r="KCV144" s="607"/>
      <c r="KCW144" s="607"/>
      <c r="KCX144" s="453"/>
      <c r="KCY144" s="289"/>
      <c r="KCZ144" s="453"/>
      <c r="KDA144" s="453"/>
      <c r="KDB144" s="453"/>
      <c r="KDC144" s="453"/>
      <c r="KDD144" s="453"/>
      <c r="KDE144" s="461"/>
      <c r="KDF144" s="461"/>
      <c r="KDG144" s="461"/>
      <c r="KDH144" s="609"/>
      <c r="KDI144" s="607"/>
      <c r="KDJ144" s="607"/>
      <c r="KDK144" s="607"/>
      <c r="KDL144" s="463"/>
      <c r="KDM144" s="454"/>
      <c r="KDN144" s="607"/>
      <c r="KDO144" s="607"/>
      <c r="KDP144" s="607"/>
      <c r="KDQ144" s="607"/>
      <c r="KDR144" s="607"/>
      <c r="KDS144" s="453"/>
      <c r="KDT144" s="289"/>
      <c r="KDU144" s="453"/>
      <c r="KDV144" s="453"/>
      <c r="KDW144" s="453"/>
      <c r="KDX144" s="453"/>
      <c r="KDY144" s="453"/>
      <c r="KDZ144" s="461"/>
      <c r="KEA144" s="461"/>
      <c r="KEB144" s="461"/>
      <c r="KEC144" s="609"/>
      <c r="KED144" s="607"/>
      <c r="KEE144" s="607"/>
      <c r="KEF144" s="607"/>
      <c r="KEG144" s="463"/>
      <c r="KEH144" s="454"/>
      <c r="KEI144" s="607"/>
      <c r="KEJ144" s="607"/>
      <c r="KEK144" s="607"/>
      <c r="KEL144" s="607"/>
      <c r="KEM144" s="607"/>
      <c r="KEN144" s="453"/>
      <c r="KEO144" s="289"/>
      <c r="KEP144" s="453"/>
      <c r="KEQ144" s="453"/>
      <c r="KER144" s="453"/>
      <c r="KES144" s="453"/>
      <c r="KET144" s="453"/>
      <c r="KEU144" s="461"/>
      <c r="KEV144" s="461"/>
      <c r="KEW144" s="461"/>
      <c r="KEX144" s="609"/>
      <c r="KEY144" s="607"/>
      <c r="KEZ144" s="607"/>
      <c r="KFA144" s="607"/>
      <c r="KFB144" s="463"/>
      <c r="KFC144" s="454"/>
      <c r="KFD144" s="607"/>
      <c r="KFE144" s="607"/>
      <c r="KFF144" s="607"/>
      <c r="KFG144" s="607"/>
      <c r="KFH144" s="607"/>
      <c r="KFI144" s="453"/>
      <c r="KFJ144" s="289"/>
      <c r="KFK144" s="453"/>
      <c r="KFL144" s="453"/>
      <c r="KFM144" s="453"/>
      <c r="KFN144" s="453"/>
      <c r="KFO144" s="453"/>
      <c r="KFP144" s="461"/>
      <c r="KFQ144" s="461"/>
      <c r="KFR144" s="461"/>
      <c r="KFS144" s="609"/>
      <c r="KFT144" s="607"/>
      <c r="KFU144" s="607"/>
      <c r="KFV144" s="607"/>
      <c r="KFW144" s="463"/>
      <c r="KFX144" s="454"/>
      <c r="KFY144" s="607"/>
      <c r="KFZ144" s="607"/>
      <c r="KGA144" s="607"/>
      <c r="KGB144" s="607"/>
      <c r="KGC144" s="607"/>
      <c r="KGD144" s="453"/>
      <c r="KGE144" s="289"/>
      <c r="KGF144" s="453"/>
      <c r="KGG144" s="453"/>
      <c r="KGH144" s="453"/>
      <c r="KGI144" s="453"/>
      <c r="KGJ144" s="453"/>
      <c r="KGK144" s="461"/>
      <c r="KGL144" s="461"/>
      <c r="KGM144" s="461"/>
      <c r="KGN144" s="609"/>
      <c r="KGO144" s="607"/>
      <c r="KGP144" s="607"/>
      <c r="KGQ144" s="607"/>
      <c r="KGR144" s="463"/>
      <c r="KGS144" s="454"/>
      <c r="KGT144" s="607"/>
      <c r="KGU144" s="607"/>
      <c r="KGV144" s="607"/>
      <c r="KGW144" s="607"/>
      <c r="KGX144" s="607"/>
      <c r="KGY144" s="453"/>
      <c r="KGZ144" s="289"/>
      <c r="KHA144" s="453"/>
      <c r="KHB144" s="453"/>
      <c r="KHC144" s="453"/>
      <c r="KHD144" s="453"/>
      <c r="KHE144" s="453"/>
      <c r="KHF144" s="461"/>
      <c r="KHG144" s="461"/>
      <c r="KHH144" s="461"/>
      <c r="KHI144" s="609"/>
      <c r="KHJ144" s="607"/>
      <c r="KHK144" s="607"/>
      <c r="KHL144" s="607"/>
      <c r="KHM144" s="463"/>
      <c r="KHN144" s="454"/>
      <c r="KHO144" s="607"/>
      <c r="KHP144" s="607"/>
      <c r="KHQ144" s="607"/>
      <c r="KHR144" s="607"/>
      <c r="KHS144" s="607"/>
      <c r="KHT144" s="453"/>
      <c r="KHU144" s="289"/>
      <c r="KHV144" s="453"/>
      <c r="KHW144" s="453"/>
      <c r="KHX144" s="453"/>
      <c r="KHY144" s="453"/>
      <c r="KHZ144" s="453"/>
      <c r="KIA144" s="461"/>
      <c r="KIB144" s="461"/>
      <c r="KIC144" s="461"/>
      <c r="KID144" s="609"/>
      <c r="KIE144" s="607"/>
      <c r="KIF144" s="607"/>
      <c r="KIG144" s="607"/>
      <c r="KIH144" s="463"/>
      <c r="KII144" s="454"/>
      <c r="KIJ144" s="607"/>
      <c r="KIK144" s="607"/>
      <c r="KIL144" s="607"/>
      <c r="KIM144" s="607"/>
      <c r="KIN144" s="607"/>
      <c r="KIO144" s="453"/>
      <c r="KIP144" s="289"/>
      <c r="KIQ144" s="453"/>
      <c r="KIR144" s="453"/>
      <c r="KIS144" s="453"/>
      <c r="KIT144" s="453"/>
      <c r="KIU144" s="453"/>
      <c r="KIV144" s="461"/>
      <c r="KIW144" s="461"/>
      <c r="KIX144" s="461"/>
      <c r="KIY144" s="609"/>
      <c r="KIZ144" s="607"/>
      <c r="KJA144" s="607"/>
      <c r="KJB144" s="607"/>
      <c r="KJC144" s="463"/>
      <c r="KJD144" s="454"/>
      <c r="KJE144" s="607"/>
      <c r="KJF144" s="607"/>
      <c r="KJG144" s="607"/>
      <c r="KJH144" s="607"/>
      <c r="KJI144" s="607"/>
      <c r="KJJ144" s="453"/>
      <c r="KJK144" s="289"/>
      <c r="KJL144" s="453"/>
      <c r="KJM144" s="453"/>
      <c r="KJN144" s="453"/>
      <c r="KJO144" s="453"/>
      <c r="KJP144" s="453"/>
      <c r="KJQ144" s="461"/>
      <c r="KJR144" s="461"/>
      <c r="KJS144" s="461"/>
      <c r="KJT144" s="609"/>
      <c r="KJU144" s="607"/>
      <c r="KJV144" s="607"/>
      <c r="KJW144" s="607"/>
      <c r="KJX144" s="463"/>
      <c r="KJY144" s="454"/>
      <c r="KJZ144" s="607"/>
      <c r="KKA144" s="607"/>
      <c r="KKB144" s="607"/>
      <c r="KKC144" s="607"/>
      <c r="KKD144" s="607"/>
      <c r="KKE144" s="453"/>
      <c r="KKF144" s="289"/>
      <c r="KKG144" s="453"/>
      <c r="KKH144" s="453"/>
      <c r="KKI144" s="453"/>
      <c r="KKJ144" s="453"/>
      <c r="KKK144" s="453"/>
      <c r="KKL144" s="461"/>
      <c r="KKM144" s="461"/>
      <c r="KKN144" s="461"/>
      <c r="KKO144" s="609"/>
      <c r="KKP144" s="607"/>
      <c r="KKQ144" s="607"/>
      <c r="KKR144" s="607"/>
      <c r="KKS144" s="463"/>
      <c r="KKT144" s="454"/>
      <c r="KKU144" s="607"/>
      <c r="KKV144" s="607"/>
      <c r="KKW144" s="607"/>
      <c r="KKX144" s="607"/>
      <c r="KKY144" s="607"/>
      <c r="KKZ144" s="453"/>
      <c r="KLA144" s="289"/>
      <c r="KLB144" s="453"/>
      <c r="KLC144" s="453"/>
      <c r="KLD144" s="453"/>
      <c r="KLE144" s="453"/>
      <c r="KLF144" s="453"/>
      <c r="KLG144" s="461"/>
      <c r="KLH144" s="461"/>
      <c r="KLI144" s="461"/>
      <c r="KLJ144" s="609"/>
      <c r="KLK144" s="607"/>
      <c r="KLL144" s="607"/>
      <c r="KLM144" s="607"/>
      <c r="KLN144" s="463"/>
      <c r="KLO144" s="454"/>
      <c r="KLP144" s="607"/>
      <c r="KLQ144" s="607"/>
      <c r="KLR144" s="607"/>
      <c r="KLS144" s="607"/>
      <c r="KLT144" s="607"/>
      <c r="KLU144" s="453"/>
      <c r="KLV144" s="289"/>
      <c r="KLW144" s="453"/>
      <c r="KLX144" s="453"/>
      <c r="KLY144" s="453"/>
      <c r="KLZ144" s="453"/>
      <c r="KMA144" s="453"/>
      <c r="KMB144" s="461"/>
      <c r="KMC144" s="461"/>
      <c r="KMD144" s="461"/>
      <c r="KME144" s="609"/>
      <c r="KMF144" s="607"/>
      <c r="KMG144" s="607"/>
      <c r="KMH144" s="607"/>
      <c r="KMI144" s="463"/>
      <c r="KMJ144" s="454"/>
      <c r="KMK144" s="607"/>
      <c r="KML144" s="607"/>
      <c r="KMM144" s="607"/>
      <c r="KMN144" s="607"/>
      <c r="KMO144" s="607"/>
      <c r="KMP144" s="453"/>
      <c r="KMQ144" s="289"/>
      <c r="KMR144" s="453"/>
      <c r="KMS144" s="453"/>
      <c r="KMT144" s="453"/>
      <c r="KMU144" s="453"/>
      <c r="KMV144" s="453"/>
      <c r="KMW144" s="461"/>
      <c r="KMX144" s="461"/>
      <c r="KMY144" s="461"/>
      <c r="KMZ144" s="609"/>
      <c r="KNA144" s="607"/>
      <c r="KNB144" s="607"/>
      <c r="KNC144" s="607"/>
      <c r="KND144" s="463"/>
      <c r="KNE144" s="454"/>
      <c r="KNF144" s="607"/>
      <c r="KNG144" s="607"/>
      <c r="KNH144" s="607"/>
      <c r="KNI144" s="607"/>
      <c r="KNJ144" s="607"/>
      <c r="KNK144" s="453"/>
      <c r="KNL144" s="289"/>
      <c r="KNM144" s="453"/>
      <c r="KNN144" s="453"/>
      <c r="KNO144" s="453"/>
      <c r="KNP144" s="453"/>
      <c r="KNQ144" s="453"/>
      <c r="KNR144" s="461"/>
      <c r="KNS144" s="461"/>
      <c r="KNT144" s="461"/>
      <c r="KNU144" s="609"/>
      <c r="KNV144" s="607"/>
      <c r="KNW144" s="607"/>
      <c r="KNX144" s="607"/>
      <c r="KNY144" s="463"/>
      <c r="KNZ144" s="454"/>
      <c r="KOA144" s="607"/>
      <c r="KOB144" s="607"/>
      <c r="KOC144" s="607"/>
      <c r="KOD144" s="607"/>
      <c r="KOE144" s="607"/>
      <c r="KOF144" s="453"/>
      <c r="KOG144" s="289"/>
      <c r="KOH144" s="453"/>
      <c r="KOI144" s="453"/>
      <c r="KOJ144" s="453"/>
      <c r="KOK144" s="453"/>
      <c r="KOL144" s="453"/>
      <c r="KOM144" s="461"/>
      <c r="KON144" s="461"/>
      <c r="KOO144" s="461"/>
      <c r="KOP144" s="609"/>
      <c r="KOQ144" s="607"/>
      <c r="KOR144" s="607"/>
      <c r="KOS144" s="607"/>
      <c r="KOT144" s="463"/>
      <c r="KOU144" s="454"/>
      <c r="KOV144" s="607"/>
      <c r="KOW144" s="607"/>
      <c r="KOX144" s="607"/>
      <c r="KOY144" s="607"/>
      <c r="KOZ144" s="607"/>
      <c r="KPA144" s="453"/>
      <c r="KPB144" s="289"/>
      <c r="KPC144" s="453"/>
      <c r="KPD144" s="453"/>
      <c r="KPE144" s="453"/>
      <c r="KPF144" s="453"/>
      <c r="KPG144" s="453"/>
      <c r="KPH144" s="461"/>
      <c r="KPI144" s="461"/>
      <c r="KPJ144" s="461"/>
      <c r="KPK144" s="609"/>
      <c r="KPL144" s="607"/>
      <c r="KPM144" s="607"/>
      <c r="KPN144" s="607"/>
      <c r="KPO144" s="463"/>
      <c r="KPP144" s="454"/>
      <c r="KPQ144" s="607"/>
      <c r="KPR144" s="607"/>
      <c r="KPS144" s="607"/>
      <c r="KPT144" s="607"/>
      <c r="KPU144" s="607"/>
      <c r="KPV144" s="453"/>
      <c r="KPW144" s="289"/>
      <c r="KPX144" s="453"/>
      <c r="KPY144" s="453"/>
      <c r="KPZ144" s="453"/>
      <c r="KQA144" s="453"/>
      <c r="KQB144" s="453"/>
      <c r="KQC144" s="461"/>
      <c r="KQD144" s="461"/>
      <c r="KQE144" s="461"/>
      <c r="KQF144" s="609"/>
      <c r="KQG144" s="607"/>
      <c r="KQH144" s="607"/>
      <c r="KQI144" s="607"/>
      <c r="KQJ144" s="463"/>
      <c r="KQK144" s="454"/>
      <c r="KQL144" s="607"/>
      <c r="KQM144" s="607"/>
      <c r="KQN144" s="607"/>
      <c r="KQO144" s="607"/>
      <c r="KQP144" s="607"/>
      <c r="KQQ144" s="453"/>
      <c r="KQR144" s="289"/>
      <c r="KQS144" s="453"/>
      <c r="KQT144" s="453"/>
      <c r="KQU144" s="453"/>
      <c r="KQV144" s="453"/>
      <c r="KQW144" s="453"/>
      <c r="KQX144" s="461"/>
      <c r="KQY144" s="461"/>
      <c r="KQZ144" s="461"/>
      <c r="KRA144" s="609"/>
      <c r="KRB144" s="607"/>
      <c r="KRC144" s="607"/>
      <c r="KRD144" s="607"/>
      <c r="KRE144" s="463"/>
      <c r="KRF144" s="454"/>
      <c r="KRG144" s="607"/>
      <c r="KRH144" s="607"/>
      <c r="KRI144" s="607"/>
      <c r="KRJ144" s="607"/>
      <c r="KRK144" s="607"/>
      <c r="KRL144" s="453"/>
      <c r="KRM144" s="289"/>
      <c r="KRN144" s="453"/>
      <c r="KRO144" s="453"/>
      <c r="KRP144" s="453"/>
      <c r="KRQ144" s="453"/>
      <c r="KRR144" s="453"/>
      <c r="KRS144" s="461"/>
      <c r="KRT144" s="461"/>
      <c r="KRU144" s="461"/>
      <c r="KRV144" s="609"/>
      <c r="KRW144" s="607"/>
      <c r="KRX144" s="607"/>
      <c r="KRY144" s="607"/>
      <c r="KRZ144" s="463"/>
      <c r="KSA144" s="454"/>
      <c r="KSB144" s="607"/>
      <c r="KSC144" s="607"/>
      <c r="KSD144" s="607"/>
      <c r="KSE144" s="607"/>
      <c r="KSF144" s="607"/>
      <c r="KSG144" s="453"/>
      <c r="KSH144" s="289"/>
      <c r="KSI144" s="453"/>
      <c r="KSJ144" s="453"/>
      <c r="KSK144" s="453"/>
      <c r="KSL144" s="453"/>
      <c r="KSM144" s="453"/>
      <c r="KSN144" s="461"/>
      <c r="KSO144" s="461"/>
      <c r="KSP144" s="461"/>
      <c r="KSQ144" s="609"/>
      <c r="KSR144" s="607"/>
      <c r="KSS144" s="607"/>
      <c r="KST144" s="607"/>
      <c r="KSU144" s="463"/>
      <c r="KSV144" s="454"/>
      <c r="KSW144" s="607"/>
      <c r="KSX144" s="607"/>
      <c r="KSY144" s="607"/>
      <c r="KSZ144" s="607"/>
      <c r="KTA144" s="607"/>
      <c r="KTB144" s="453"/>
      <c r="KTC144" s="289"/>
      <c r="KTD144" s="453"/>
      <c r="KTE144" s="453"/>
      <c r="KTF144" s="453"/>
      <c r="KTG144" s="453"/>
      <c r="KTH144" s="453"/>
      <c r="KTI144" s="461"/>
      <c r="KTJ144" s="461"/>
      <c r="KTK144" s="461"/>
      <c r="KTL144" s="609"/>
      <c r="KTM144" s="607"/>
      <c r="KTN144" s="607"/>
      <c r="KTO144" s="607"/>
      <c r="KTP144" s="463"/>
      <c r="KTQ144" s="454"/>
      <c r="KTR144" s="607"/>
      <c r="KTS144" s="607"/>
      <c r="KTT144" s="607"/>
      <c r="KTU144" s="607"/>
      <c r="KTV144" s="607"/>
      <c r="KTW144" s="453"/>
      <c r="KTX144" s="289"/>
      <c r="KTY144" s="453"/>
      <c r="KTZ144" s="453"/>
      <c r="KUA144" s="453"/>
      <c r="KUB144" s="453"/>
      <c r="KUC144" s="453"/>
      <c r="KUD144" s="461"/>
      <c r="KUE144" s="461"/>
      <c r="KUF144" s="461"/>
      <c r="KUG144" s="609"/>
      <c r="KUH144" s="607"/>
      <c r="KUI144" s="607"/>
      <c r="KUJ144" s="607"/>
      <c r="KUK144" s="463"/>
      <c r="KUL144" s="454"/>
      <c r="KUM144" s="607"/>
      <c r="KUN144" s="607"/>
      <c r="KUO144" s="607"/>
      <c r="KUP144" s="607"/>
      <c r="KUQ144" s="607"/>
      <c r="KUR144" s="453"/>
      <c r="KUS144" s="289"/>
      <c r="KUT144" s="453"/>
      <c r="KUU144" s="453"/>
      <c r="KUV144" s="453"/>
      <c r="KUW144" s="453"/>
      <c r="KUX144" s="453"/>
      <c r="KUY144" s="461"/>
      <c r="KUZ144" s="461"/>
      <c r="KVA144" s="461"/>
      <c r="KVB144" s="609"/>
      <c r="KVC144" s="607"/>
      <c r="KVD144" s="607"/>
      <c r="KVE144" s="607"/>
      <c r="KVF144" s="463"/>
      <c r="KVG144" s="454"/>
      <c r="KVH144" s="607"/>
      <c r="KVI144" s="607"/>
      <c r="KVJ144" s="607"/>
      <c r="KVK144" s="607"/>
      <c r="KVL144" s="607"/>
      <c r="KVM144" s="453"/>
      <c r="KVN144" s="289"/>
      <c r="KVO144" s="453"/>
      <c r="KVP144" s="453"/>
      <c r="KVQ144" s="453"/>
      <c r="KVR144" s="453"/>
      <c r="KVS144" s="453"/>
      <c r="KVT144" s="461"/>
      <c r="KVU144" s="461"/>
      <c r="KVV144" s="461"/>
      <c r="KVW144" s="609"/>
      <c r="KVX144" s="607"/>
      <c r="KVY144" s="607"/>
      <c r="KVZ144" s="607"/>
      <c r="KWA144" s="463"/>
      <c r="KWB144" s="454"/>
      <c r="KWC144" s="607"/>
      <c r="KWD144" s="607"/>
      <c r="KWE144" s="607"/>
      <c r="KWF144" s="607"/>
      <c r="KWG144" s="607"/>
      <c r="KWH144" s="453"/>
      <c r="KWI144" s="289"/>
      <c r="KWJ144" s="453"/>
      <c r="KWK144" s="453"/>
      <c r="KWL144" s="453"/>
      <c r="KWM144" s="453"/>
      <c r="KWN144" s="453"/>
      <c r="KWO144" s="461"/>
      <c r="KWP144" s="461"/>
      <c r="KWQ144" s="461"/>
      <c r="KWR144" s="609"/>
      <c r="KWS144" s="607"/>
      <c r="KWT144" s="607"/>
      <c r="KWU144" s="607"/>
      <c r="KWV144" s="463"/>
      <c r="KWW144" s="454"/>
      <c r="KWX144" s="607"/>
      <c r="KWY144" s="607"/>
      <c r="KWZ144" s="607"/>
      <c r="KXA144" s="607"/>
      <c r="KXB144" s="607"/>
      <c r="KXC144" s="453"/>
      <c r="KXD144" s="289"/>
      <c r="KXE144" s="453"/>
      <c r="KXF144" s="453"/>
      <c r="KXG144" s="453"/>
      <c r="KXH144" s="453"/>
      <c r="KXI144" s="453"/>
      <c r="KXJ144" s="461"/>
      <c r="KXK144" s="461"/>
      <c r="KXL144" s="461"/>
      <c r="KXM144" s="609"/>
      <c r="KXN144" s="607"/>
      <c r="KXO144" s="607"/>
      <c r="KXP144" s="607"/>
      <c r="KXQ144" s="463"/>
      <c r="KXR144" s="454"/>
      <c r="KXS144" s="607"/>
      <c r="KXT144" s="607"/>
      <c r="KXU144" s="607"/>
      <c r="KXV144" s="607"/>
      <c r="KXW144" s="607"/>
      <c r="KXX144" s="453"/>
      <c r="KXY144" s="289"/>
      <c r="KXZ144" s="453"/>
      <c r="KYA144" s="453"/>
      <c r="KYB144" s="453"/>
      <c r="KYC144" s="453"/>
      <c r="KYD144" s="453"/>
      <c r="KYE144" s="461"/>
      <c r="KYF144" s="461"/>
      <c r="KYG144" s="461"/>
      <c r="KYH144" s="609"/>
      <c r="KYI144" s="607"/>
      <c r="KYJ144" s="607"/>
      <c r="KYK144" s="607"/>
      <c r="KYL144" s="463"/>
      <c r="KYM144" s="454"/>
      <c r="KYN144" s="607"/>
      <c r="KYO144" s="607"/>
      <c r="KYP144" s="607"/>
      <c r="KYQ144" s="607"/>
      <c r="KYR144" s="607"/>
      <c r="KYS144" s="453"/>
      <c r="KYT144" s="289"/>
      <c r="KYU144" s="453"/>
      <c r="KYV144" s="453"/>
      <c r="KYW144" s="453"/>
      <c r="KYX144" s="453"/>
      <c r="KYY144" s="453"/>
      <c r="KYZ144" s="461"/>
      <c r="KZA144" s="461"/>
      <c r="KZB144" s="461"/>
      <c r="KZC144" s="609"/>
      <c r="KZD144" s="607"/>
      <c r="KZE144" s="607"/>
      <c r="KZF144" s="607"/>
      <c r="KZG144" s="463"/>
      <c r="KZH144" s="454"/>
      <c r="KZI144" s="607"/>
      <c r="KZJ144" s="607"/>
      <c r="KZK144" s="607"/>
      <c r="KZL144" s="607"/>
      <c r="KZM144" s="607"/>
      <c r="KZN144" s="453"/>
      <c r="KZO144" s="289"/>
      <c r="KZP144" s="453"/>
      <c r="KZQ144" s="453"/>
      <c r="KZR144" s="453"/>
      <c r="KZS144" s="453"/>
      <c r="KZT144" s="453"/>
      <c r="KZU144" s="461"/>
      <c r="KZV144" s="461"/>
      <c r="KZW144" s="461"/>
      <c r="KZX144" s="609"/>
      <c r="KZY144" s="607"/>
      <c r="KZZ144" s="607"/>
      <c r="LAA144" s="607"/>
      <c r="LAB144" s="463"/>
      <c r="LAC144" s="454"/>
      <c r="LAD144" s="607"/>
      <c r="LAE144" s="607"/>
      <c r="LAF144" s="607"/>
      <c r="LAG144" s="607"/>
      <c r="LAH144" s="607"/>
      <c r="LAI144" s="453"/>
      <c r="LAJ144" s="289"/>
      <c r="LAK144" s="453"/>
      <c r="LAL144" s="453"/>
      <c r="LAM144" s="453"/>
      <c r="LAN144" s="453"/>
      <c r="LAO144" s="453"/>
      <c r="LAP144" s="461"/>
      <c r="LAQ144" s="461"/>
      <c r="LAR144" s="461"/>
      <c r="LAS144" s="609"/>
      <c r="LAT144" s="607"/>
      <c r="LAU144" s="607"/>
      <c r="LAV144" s="607"/>
      <c r="LAW144" s="463"/>
      <c r="LAX144" s="454"/>
      <c r="LAY144" s="607"/>
      <c r="LAZ144" s="607"/>
      <c r="LBA144" s="607"/>
      <c r="LBB144" s="607"/>
      <c r="LBC144" s="607"/>
      <c r="LBD144" s="453"/>
      <c r="LBE144" s="289"/>
      <c r="LBF144" s="453"/>
      <c r="LBG144" s="453"/>
      <c r="LBH144" s="453"/>
      <c r="LBI144" s="453"/>
      <c r="LBJ144" s="453"/>
      <c r="LBK144" s="461"/>
      <c r="LBL144" s="461"/>
      <c r="LBM144" s="461"/>
      <c r="LBN144" s="609"/>
      <c r="LBO144" s="607"/>
      <c r="LBP144" s="607"/>
      <c r="LBQ144" s="607"/>
      <c r="LBR144" s="463"/>
      <c r="LBS144" s="454"/>
      <c r="LBT144" s="607"/>
      <c r="LBU144" s="607"/>
      <c r="LBV144" s="607"/>
      <c r="LBW144" s="607"/>
      <c r="LBX144" s="607"/>
      <c r="LBY144" s="453"/>
      <c r="LBZ144" s="289"/>
      <c r="LCA144" s="453"/>
      <c r="LCB144" s="453"/>
      <c r="LCC144" s="453"/>
      <c r="LCD144" s="453"/>
      <c r="LCE144" s="453"/>
      <c r="LCF144" s="461"/>
      <c r="LCG144" s="461"/>
      <c r="LCH144" s="461"/>
      <c r="LCI144" s="609"/>
      <c r="LCJ144" s="607"/>
      <c r="LCK144" s="607"/>
      <c r="LCL144" s="607"/>
      <c r="LCM144" s="463"/>
      <c r="LCN144" s="454"/>
      <c r="LCO144" s="607"/>
      <c r="LCP144" s="607"/>
      <c r="LCQ144" s="607"/>
      <c r="LCR144" s="607"/>
      <c r="LCS144" s="607"/>
      <c r="LCT144" s="453"/>
      <c r="LCU144" s="289"/>
      <c r="LCV144" s="453"/>
      <c r="LCW144" s="453"/>
      <c r="LCX144" s="453"/>
      <c r="LCY144" s="453"/>
      <c r="LCZ144" s="453"/>
      <c r="LDA144" s="461"/>
      <c r="LDB144" s="461"/>
      <c r="LDC144" s="461"/>
      <c r="LDD144" s="609"/>
      <c r="LDE144" s="607"/>
      <c r="LDF144" s="607"/>
      <c r="LDG144" s="607"/>
      <c r="LDH144" s="463"/>
      <c r="LDI144" s="454"/>
      <c r="LDJ144" s="607"/>
      <c r="LDK144" s="607"/>
      <c r="LDL144" s="607"/>
      <c r="LDM144" s="607"/>
      <c r="LDN144" s="607"/>
      <c r="LDO144" s="453"/>
      <c r="LDP144" s="289"/>
      <c r="LDQ144" s="453"/>
      <c r="LDR144" s="453"/>
      <c r="LDS144" s="453"/>
      <c r="LDT144" s="453"/>
      <c r="LDU144" s="453"/>
      <c r="LDV144" s="461"/>
      <c r="LDW144" s="461"/>
      <c r="LDX144" s="461"/>
      <c r="LDY144" s="609"/>
      <c r="LDZ144" s="607"/>
      <c r="LEA144" s="607"/>
      <c r="LEB144" s="607"/>
      <c r="LEC144" s="463"/>
      <c r="LED144" s="454"/>
      <c r="LEE144" s="607"/>
      <c r="LEF144" s="607"/>
      <c r="LEG144" s="607"/>
      <c r="LEH144" s="607"/>
      <c r="LEI144" s="607"/>
      <c r="LEJ144" s="453"/>
      <c r="LEK144" s="289"/>
      <c r="LEL144" s="453"/>
      <c r="LEM144" s="453"/>
      <c r="LEN144" s="453"/>
      <c r="LEO144" s="453"/>
      <c r="LEP144" s="453"/>
      <c r="LEQ144" s="461"/>
      <c r="LER144" s="461"/>
      <c r="LES144" s="461"/>
      <c r="LET144" s="609"/>
      <c r="LEU144" s="607"/>
      <c r="LEV144" s="607"/>
      <c r="LEW144" s="607"/>
      <c r="LEX144" s="463"/>
      <c r="LEY144" s="454"/>
      <c r="LEZ144" s="607"/>
      <c r="LFA144" s="607"/>
      <c r="LFB144" s="607"/>
      <c r="LFC144" s="607"/>
      <c r="LFD144" s="607"/>
      <c r="LFE144" s="453"/>
      <c r="LFF144" s="289"/>
      <c r="LFG144" s="453"/>
      <c r="LFH144" s="453"/>
      <c r="LFI144" s="453"/>
      <c r="LFJ144" s="453"/>
      <c r="LFK144" s="453"/>
      <c r="LFL144" s="461"/>
      <c r="LFM144" s="461"/>
      <c r="LFN144" s="461"/>
      <c r="LFO144" s="609"/>
      <c r="LFP144" s="607"/>
      <c r="LFQ144" s="607"/>
      <c r="LFR144" s="607"/>
      <c r="LFS144" s="463"/>
      <c r="LFT144" s="454"/>
      <c r="LFU144" s="607"/>
      <c r="LFV144" s="607"/>
      <c r="LFW144" s="607"/>
      <c r="LFX144" s="607"/>
      <c r="LFY144" s="607"/>
      <c r="LFZ144" s="453"/>
      <c r="LGA144" s="289"/>
      <c r="LGB144" s="453"/>
      <c r="LGC144" s="453"/>
      <c r="LGD144" s="453"/>
      <c r="LGE144" s="453"/>
      <c r="LGF144" s="453"/>
      <c r="LGG144" s="461"/>
      <c r="LGH144" s="461"/>
      <c r="LGI144" s="461"/>
      <c r="LGJ144" s="609"/>
      <c r="LGK144" s="607"/>
      <c r="LGL144" s="607"/>
      <c r="LGM144" s="607"/>
      <c r="LGN144" s="463"/>
      <c r="LGO144" s="454"/>
      <c r="LGP144" s="607"/>
      <c r="LGQ144" s="607"/>
      <c r="LGR144" s="607"/>
      <c r="LGS144" s="607"/>
      <c r="LGT144" s="607"/>
      <c r="LGU144" s="453"/>
      <c r="LGV144" s="289"/>
      <c r="LGW144" s="453"/>
      <c r="LGX144" s="453"/>
      <c r="LGY144" s="453"/>
      <c r="LGZ144" s="453"/>
      <c r="LHA144" s="453"/>
      <c r="LHB144" s="461"/>
      <c r="LHC144" s="461"/>
      <c r="LHD144" s="461"/>
      <c r="LHE144" s="609"/>
      <c r="LHF144" s="607"/>
      <c r="LHG144" s="607"/>
      <c r="LHH144" s="607"/>
      <c r="LHI144" s="463"/>
      <c r="LHJ144" s="454"/>
      <c r="LHK144" s="607"/>
      <c r="LHL144" s="607"/>
      <c r="LHM144" s="607"/>
      <c r="LHN144" s="607"/>
      <c r="LHO144" s="607"/>
      <c r="LHP144" s="453"/>
      <c r="LHQ144" s="289"/>
      <c r="LHR144" s="453"/>
      <c r="LHS144" s="453"/>
      <c r="LHT144" s="453"/>
      <c r="LHU144" s="453"/>
      <c r="LHV144" s="453"/>
      <c r="LHW144" s="461"/>
      <c r="LHX144" s="461"/>
      <c r="LHY144" s="461"/>
      <c r="LHZ144" s="609"/>
      <c r="LIA144" s="607"/>
      <c r="LIB144" s="607"/>
      <c r="LIC144" s="607"/>
      <c r="LID144" s="463"/>
      <c r="LIE144" s="454"/>
      <c r="LIF144" s="607"/>
      <c r="LIG144" s="607"/>
      <c r="LIH144" s="607"/>
      <c r="LII144" s="607"/>
      <c r="LIJ144" s="607"/>
      <c r="LIK144" s="453"/>
      <c r="LIL144" s="289"/>
      <c r="LIM144" s="453"/>
      <c r="LIN144" s="453"/>
      <c r="LIO144" s="453"/>
      <c r="LIP144" s="453"/>
      <c r="LIQ144" s="453"/>
      <c r="LIR144" s="461"/>
      <c r="LIS144" s="461"/>
      <c r="LIT144" s="461"/>
      <c r="LIU144" s="609"/>
      <c r="LIV144" s="607"/>
      <c r="LIW144" s="607"/>
      <c r="LIX144" s="607"/>
      <c r="LIY144" s="463"/>
      <c r="LIZ144" s="454"/>
      <c r="LJA144" s="607"/>
      <c r="LJB144" s="607"/>
      <c r="LJC144" s="607"/>
      <c r="LJD144" s="607"/>
      <c r="LJE144" s="607"/>
      <c r="LJF144" s="453"/>
      <c r="LJG144" s="289"/>
      <c r="LJH144" s="453"/>
      <c r="LJI144" s="453"/>
      <c r="LJJ144" s="453"/>
      <c r="LJK144" s="453"/>
      <c r="LJL144" s="453"/>
      <c r="LJM144" s="461"/>
      <c r="LJN144" s="461"/>
      <c r="LJO144" s="461"/>
      <c r="LJP144" s="609"/>
      <c r="LJQ144" s="607"/>
      <c r="LJR144" s="607"/>
      <c r="LJS144" s="607"/>
      <c r="LJT144" s="463"/>
      <c r="LJU144" s="454"/>
      <c r="LJV144" s="607"/>
      <c r="LJW144" s="607"/>
      <c r="LJX144" s="607"/>
      <c r="LJY144" s="607"/>
      <c r="LJZ144" s="607"/>
      <c r="LKA144" s="453"/>
      <c r="LKB144" s="289"/>
      <c r="LKC144" s="453"/>
      <c r="LKD144" s="453"/>
      <c r="LKE144" s="453"/>
      <c r="LKF144" s="453"/>
      <c r="LKG144" s="453"/>
      <c r="LKH144" s="461"/>
      <c r="LKI144" s="461"/>
      <c r="LKJ144" s="461"/>
      <c r="LKK144" s="609"/>
      <c r="LKL144" s="607"/>
      <c r="LKM144" s="607"/>
      <c r="LKN144" s="607"/>
      <c r="LKO144" s="463"/>
      <c r="LKP144" s="454"/>
      <c r="LKQ144" s="607"/>
      <c r="LKR144" s="607"/>
      <c r="LKS144" s="607"/>
      <c r="LKT144" s="607"/>
      <c r="LKU144" s="607"/>
      <c r="LKV144" s="453"/>
      <c r="LKW144" s="289"/>
      <c r="LKX144" s="453"/>
      <c r="LKY144" s="453"/>
      <c r="LKZ144" s="453"/>
      <c r="LLA144" s="453"/>
      <c r="LLB144" s="453"/>
      <c r="LLC144" s="461"/>
      <c r="LLD144" s="461"/>
      <c r="LLE144" s="461"/>
      <c r="LLF144" s="609"/>
      <c r="LLG144" s="607"/>
      <c r="LLH144" s="607"/>
      <c r="LLI144" s="607"/>
      <c r="LLJ144" s="463"/>
      <c r="LLK144" s="454"/>
      <c r="LLL144" s="607"/>
      <c r="LLM144" s="607"/>
      <c r="LLN144" s="607"/>
      <c r="LLO144" s="607"/>
      <c r="LLP144" s="607"/>
      <c r="LLQ144" s="453"/>
      <c r="LLR144" s="289"/>
      <c r="LLS144" s="453"/>
      <c r="LLT144" s="453"/>
      <c r="LLU144" s="453"/>
      <c r="LLV144" s="453"/>
      <c r="LLW144" s="453"/>
      <c r="LLX144" s="461"/>
      <c r="LLY144" s="461"/>
      <c r="LLZ144" s="461"/>
      <c r="LMA144" s="609"/>
      <c r="LMB144" s="607"/>
      <c r="LMC144" s="607"/>
      <c r="LMD144" s="607"/>
      <c r="LME144" s="463"/>
      <c r="LMF144" s="454"/>
      <c r="LMG144" s="607"/>
      <c r="LMH144" s="607"/>
      <c r="LMI144" s="607"/>
      <c r="LMJ144" s="607"/>
      <c r="LMK144" s="607"/>
      <c r="LML144" s="453"/>
      <c r="LMM144" s="289"/>
      <c r="LMN144" s="453"/>
      <c r="LMO144" s="453"/>
      <c r="LMP144" s="453"/>
      <c r="LMQ144" s="453"/>
      <c r="LMR144" s="453"/>
      <c r="LMS144" s="461"/>
      <c r="LMT144" s="461"/>
      <c r="LMU144" s="461"/>
      <c r="LMV144" s="609"/>
      <c r="LMW144" s="607"/>
      <c r="LMX144" s="607"/>
      <c r="LMY144" s="607"/>
      <c r="LMZ144" s="463"/>
      <c r="LNA144" s="454"/>
      <c r="LNB144" s="607"/>
      <c r="LNC144" s="607"/>
      <c r="LND144" s="607"/>
      <c r="LNE144" s="607"/>
      <c r="LNF144" s="607"/>
      <c r="LNG144" s="453"/>
      <c r="LNH144" s="289"/>
      <c r="LNI144" s="453"/>
      <c r="LNJ144" s="453"/>
      <c r="LNK144" s="453"/>
      <c r="LNL144" s="453"/>
      <c r="LNM144" s="453"/>
      <c r="LNN144" s="461"/>
      <c r="LNO144" s="461"/>
      <c r="LNP144" s="461"/>
      <c r="LNQ144" s="609"/>
      <c r="LNR144" s="607"/>
      <c r="LNS144" s="607"/>
      <c r="LNT144" s="607"/>
      <c r="LNU144" s="463"/>
      <c r="LNV144" s="454"/>
      <c r="LNW144" s="607"/>
      <c r="LNX144" s="607"/>
      <c r="LNY144" s="607"/>
      <c r="LNZ144" s="607"/>
      <c r="LOA144" s="607"/>
      <c r="LOB144" s="453"/>
      <c r="LOC144" s="289"/>
      <c r="LOD144" s="453"/>
      <c r="LOE144" s="453"/>
      <c r="LOF144" s="453"/>
      <c r="LOG144" s="453"/>
      <c r="LOH144" s="453"/>
      <c r="LOI144" s="461"/>
      <c r="LOJ144" s="461"/>
      <c r="LOK144" s="461"/>
      <c r="LOL144" s="609"/>
      <c r="LOM144" s="607"/>
      <c r="LON144" s="607"/>
      <c r="LOO144" s="607"/>
      <c r="LOP144" s="463"/>
      <c r="LOQ144" s="454"/>
      <c r="LOR144" s="607"/>
      <c r="LOS144" s="607"/>
      <c r="LOT144" s="607"/>
      <c r="LOU144" s="607"/>
      <c r="LOV144" s="607"/>
      <c r="LOW144" s="453"/>
      <c r="LOX144" s="289"/>
      <c r="LOY144" s="453"/>
      <c r="LOZ144" s="453"/>
      <c r="LPA144" s="453"/>
      <c r="LPB144" s="453"/>
      <c r="LPC144" s="453"/>
      <c r="LPD144" s="461"/>
      <c r="LPE144" s="461"/>
      <c r="LPF144" s="461"/>
      <c r="LPG144" s="609"/>
      <c r="LPH144" s="607"/>
      <c r="LPI144" s="607"/>
      <c r="LPJ144" s="607"/>
      <c r="LPK144" s="463"/>
      <c r="LPL144" s="454"/>
      <c r="LPM144" s="607"/>
      <c r="LPN144" s="607"/>
      <c r="LPO144" s="607"/>
      <c r="LPP144" s="607"/>
      <c r="LPQ144" s="607"/>
      <c r="LPR144" s="453"/>
      <c r="LPS144" s="289"/>
      <c r="LPT144" s="453"/>
      <c r="LPU144" s="453"/>
      <c r="LPV144" s="453"/>
      <c r="LPW144" s="453"/>
      <c r="LPX144" s="453"/>
      <c r="LPY144" s="461"/>
      <c r="LPZ144" s="461"/>
      <c r="LQA144" s="461"/>
      <c r="LQB144" s="609"/>
      <c r="LQC144" s="607"/>
      <c r="LQD144" s="607"/>
      <c r="LQE144" s="607"/>
      <c r="LQF144" s="463"/>
      <c r="LQG144" s="454"/>
      <c r="LQH144" s="607"/>
      <c r="LQI144" s="607"/>
      <c r="LQJ144" s="607"/>
      <c r="LQK144" s="607"/>
      <c r="LQL144" s="607"/>
      <c r="LQM144" s="453"/>
      <c r="LQN144" s="289"/>
      <c r="LQO144" s="453"/>
      <c r="LQP144" s="453"/>
      <c r="LQQ144" s="453"/>
      <c r="LQR144" s="453"/>
      <c r="LQS144" s="453"/>
      <c r="LQT144" s="461"/>
      <c r="LQU144" s="461"/>
      <c r="LQV144" s="461"/>
      <c r="LQW144" s="609"/>
      <c r="LQX144" s="607"/>
      <c r="LQY144" s="607"/>
      <c r="LQZ144" s="607"/>
      <c r="LRA144" s="463"/>
      <c r="LRB144" s="454"/>
      <c r="LRC144" s="607"/>
      <c r="LRD144" s="607"/>
      <c r="LRE144" s="607"/>
      <c r="LRF144" s="607"/>
      <c r="LRG144" s="607"/>
      <c r="LRH144" s="453"/>
      <c r="LRI144" s="289"/>
      <c r="LRJ144" s="453"/>
      <c r="LRK144" s="453"/>
      <c r="LRL144" s="453"/>
      <c r="LRM144" s="453"/>
      <c r="LRN144" s="453"/>
      <c r="LRO144" s="461"/>
      <c r="LRP144" s="461"/>
      <c r="LRQ144" s="461"/>
      <c r="LRR144" s="609"/>
      <c r="LRS144" s="607"/>
      <c r="LRT144" s="607"/>
      <c r="LRU144" s="607"/>
      <c r="LRV144" s="463"/>
      <c r="LRW144" s="454"/>
      <c r="LRX144" s="607"/>
      <c r="LRY144" s="607"/>
      <c r="LRZ144" s="607"/>
      <c r="LSA144" s="607"/>
      <c r="LSB144" s="607"/>
      <c r="LSC144" s="453"/>
      <c r="LSD144" s="289"/>
      <c r="LSE144" s="453"/>
      <c r="LSF144" s="453"/>
      <c r="LSG144" s="453"/>
      <c r="LSH144" s="453"/>
      <c r="LSI144" s="453"/>
      <c r="LSJ144" s="461"/>
      <c r="LSK144" s="461"/>
      <c r="LSL144" s="461"/>
      <c r="LSM144" s="609"/>
      <c r="LSN144" s="607"/>
      <c r="LSO144" s="607"/>
      <c r="LSP144" s="607"/>
      <c r="LSQ144" s="463"/>
      <c r="LSR144" s="454"/>
      <c r="LSS144" s="607"/>
      <c r="LST144" s="607"/>
      <c r="LSU144" s="607"/>
      <c r="LSV144" s="607"/>
      <c r="LSW144" s="607"/>
      <c r="LSX144" s="453"/>
      <c r="LSY144" s="289"/>
      <c r="LSZ144" s="453"/>
      <c r="LTA144" s="453"/>
      <c r="LTB144" s="453"/>
      <c r="LTC144" s="453"/>
      <c r="LTD144" s="453"/>
      <c r="LTE144" s="461"/>
      <c r="LTF144" s="461"/>
      <c r="LTG144" s="461"/>
      <c r="LTH144" s="609"/>
      <c r="LTI144" s="607"/>
      <c r="LTJ144" s="607"/>
      <c r="LTK144" s="607"/>
      <c r="LTL144" s="463"/>
      <c r="LTM144" s="454"/>
      <c r="LTN144" s="607"/>
      <c r="LTO144" s="607"/>
      <c r="LTP144" s="607"/>
      <c r="LTQ144" s="607"/>
      <c r="LTR144" s="607"/>
      <c r="LTS144" s="453"/>
      <c r="LTT144" s="289"/>
      <c r="LTU144" s="453"/>
      <c r="LTV144" s="453"/>
      <c r="LTW144" s="453"/>
      <c r="LTX144" s="453"/>
      <c r="LTY144" s="453"/>
      <c r="LTZ144" s="461"/>
      <c r="LUA144" s="461"/>
      <c r="LUB144" s="461"/>
      <c r="LUC144" s="609"/>
      <c r="LUD144" s="607"/>
      <c r="LUE144" s="607"/>
      <c r="LUF144" s="607"/>
      <c r="LUG144" s="463"/>
      <c r="LUH144" s="454"/>
      <c r="LUI144" s="607"/>
      <c r="LUJ144" s="607"/>
      <c r="LUK144" s="607"/>
      <c r="LUL144" s="607"/>
      <c r="LUM144" s="607"/>
      <c r="LUN144" s="453"/>
      <c r="LUO144" s="289"/>
      <c r="LUP144" s="453"/>
      <c r="LUQ144" s="453"/>
      <c r="LUR144" s="453"/>
      <c r="LUS144" s="453"/>
      <c r="LUT144" s="453"/>
      <c r="LUU144" s="461"/>
      <c r="LUV144" s="461"/>
      <c r="LUW144" s="461"/>
      <c r="LUX144" s="609"/>
      <c r="LUY144" s="607"/>
      <c r="LUZ144" s="607"/>
      <c r="LVA144" s="607"/>
      <c r="LVB144" s="463"/>
      <c r="LVC144" s="454"/>
      <c r="LVD144" s="607"/>
      <c r="LVE144" s="607"/>
      <c r="LVF144" s="607"/>
      <c r="LVG144" s="607"/>
      <c r="LVH144" s="607"/>
      <c r="LVI144" s="453"/>
      <c r="LVJ144" s="289"/>
      <c r="LVK144" s="453"/>
      <c r="LVL144" s="453"/>
      <c r="LVM144" s="453"/>
      <c r="LVN144" s="453"/>
      <c r="LVO144" s="453"/>
      <c r="LVP144" s="461"/>
      <c r="LVQ144" s="461"/>
      <c r="LVR144" s="461"/>
      <c r="LVS144" s="609"/>
      <c r="LVT144" s="607"/>
      <c r="LVU144" s="607"/>
      <c r="LVV144" s="607"/>
      <c r="LVW144" s="463"/>
      <c r="LVX144" s="454"/>
      <c r="LVY144" s="607"/>
      <c r="LVZ144" s="607"/>
      <c r="LWA144" s="607"/>
      <c r="LWB144" s="607"/>
      <c r="LWC144" s="607"/>
      <c r="LWD144" s="453"/>
      <c r="LWE144" s="289"/>
      <c r="LWF144" s="453"/>
      <c r="LWG144" s="453"/>
      <c r="LWH144" s="453"/>
      <c r="LWI144" s="453"/>
      <c r="LWJ144" s="453"/>
      <c r="LWK144" s="461"/>
      <c r="LWL144" s="461"/>
      <c r="LWM144" s="461"/>
      <c r="LWN144" s="609"/>
      <c r="LWO144" s="607"/>
      <c r="LWP144" s="607"/>
      <c r="LWQ144" s="607"/>
      <c r="LWR144" s="463"/>
      <c r="LWS144" s="454"/>
      <c r="LWT144" s="607"/>
      <c r="LWU144" s="607"/>
      <c r="LWV144" s="607"/>
      <c r="LWW144" s="607"/>
      <c r="LWX144" s="607"/>
      <c r="LWY144" s="453"/>
      <c r="LWZ144" s="289"/>
      <c r="LXA144" s="453"/>
      <c r="LXB144" s="453"/>
      <c r="LXC144" s="453"/>
      <c r="LXD144" s="453"/>
      <c r="LXE144" s="453"/>
      <c r="LXF144" s="461"/>
      <c r="LXG144" s="461"/>
      <c r="LXH144" s="461"/>
      <c r="LXI144" s="609"/>
      <c r="LXJ144" s="607"/>
      <c r="LXK144" s="607"/>
      <c r="LXL144" s="607"/>
      <c r="LXM144" s="463"/>
      <c r="LXN144" s="454"/>
      <c r="LXO144" s="607"/>
      <c r="LXP144" s="607"/>
      <c r="LXQ144" s="607"/>
      <c r="LXR144" s="607"/>
      <c r="LXS144" s="607"/>
      <c r="LXT144" s="453"/>
      <c r="LXU144" s="289"/>
      <c r="LXV144" s="453"/>
      <c r="LXW144" s="453"/>
      <c r="LXX144" s="453"/>
      <c r="LXY144" s="453"/>
      <c r="LXZ144" s="453"/>
      <c r="LYA144" s="461"/>
      <c r="LYB144" s="461"/>
      <c r="LYC144" s="461"/>
      <c r="LYD144" s="609"/>
      <c r="LYE144" s="607"/>
      <c r="LYF144" s="607"/>
      <c r="LYG144" s="607"/>
      <c r="LYH144" s="463"/>
      <c r="LYI144" s="454"/>
      <c r="LYJ144" s="607"/>
      <c r="LYK144" s="607"/>
      <c r="LYL144" s="607"/>
      <c r="LYM144" s="607"/>
      <c r="LYN144" s="607"/>
      <c r="LYO144" s="453"/>
      <c r="LYP144" s="289"/>
      <c r="LYQ144" s="453"/>
      <c r="LYR144" s="453"/>
      <c r="LYS144" s="453"/>
      <c r="LYT144" s="453"/>
      <c r="LYU144" s="453"/>
      <c r="LYV144" s="461"/>
      <c r="LYW144" s="461"/>
      <c r="LYX144" s="461"/>
      <c r="LYY144" s="609"/>
      <c r="LYZ144" s="607"/>
      <c r="LZA144" s="607"/>
      <c r="LZB144" s="607"/>
      <c r="LZC144" s="463"/>
      <c r="LZD144" s="454"/>
      <c r="LZE144" s="607"/>
      <c r="LZF144" s="607"/>
      <c r="LZG144" s="607"/>
      <c r="LZH144" s="607"/>
      <c r="LZI144" s="607"/>
      <c r="LZJ144" s="453"/>
      <c r="LZK144" s="289"/>
      <c r="LZL144" s="453"/>
      <c r="LZM144" s="453"/>
      <c r="LZN144" s="453"/>
      <c r="LZO144" s="453"/>
      <c r="LZP144" s="453"/>
      <c r="LZQ144" s="461"/>
      <c r="LZR144" s="461"/>
      <c r="LZS144" s="461"/>
      <c r="LZT144" s="609"/>
      <c r="LZU144" s="607"/>
      <c r="LZV144" s="607"/>
      <c r="LZW144" s="607"/>
      <c r="LZX144" s="463"/>
      <c r="LZY144" s="454"/>
      <c r="LZZ144" s="607"/>
      <c r="MAA144" s="607"/>
      <c r="MAB144" s="607"/>
      <c r="MAC144" s="607"/>
      <c r="MAD144" s="607"/>
      <c r="MAE144" s="453"/>
      <c r="MAF144" s="289"/>
      <c r="MAG144" s="453"/>
      <c r="MAH144" s="453"/>
      <c r="MAI144" s="453"/>
      <c r="MAJ144" s="453"/>
      <c r="MAK144" s="453"/>
      <c r="MAL144" s="461"/>
      <c r="MAM144" s="461"/>
      <c r="MAN144" s="461"/>
      <c r="MAO144" s="609"/>
      <c r="MAP144" s="607"/>
      <c r="MAQ144" s="607"/>
      <c r="MAR144" s="607"/>
      <c r="MAS144" s="463"/>
      <c r="MAT144" s="454"/>
      <c r="MAU144" s="607"/>
      <c r="MAV144" s="607"/>
      <c r="MAW144" s="607"/>
      <c r="MAX144" s="607"/>
      <c r="MAY144" s="607"/>
      <c r="MAZ144" s="453"/>
      <c r="MBA144" s="289"/>
      <c r="MBB144" s="453"/>
      <c r="MBC144" s="453"/>
      <c r="MBD144" s="453"/>
      <c r="MBE144" s="453"/>
      <c r="MBF144" s="453"/>
      <c r="MBG144" s="461"/>
      <c r="MBH144" s="461"/>
      <c r="MBI144" s="461"/>
      <c r="MBJ144" s="609"/>
      <c r="MBK144" s="607"/>
      <c r="MBL144" s="607"/>
      <c r="MBM144" s="607"/>
      <c r="MBN144" s="463"/>
      <c r="MBO144" s="454"/>
      <c r="MBP144" s="607"/>
      <c r="MBQ144" s="607"/>
      <c r="MBR144" s="607"/>
      <c r="MBS144" s="607"/>
      <c r="MBT144" s="607"/>
      <c r="MBU144" s="453"/>
      <c r="MBV144" s="289"/>
      <c r="MBW144" s="453"/>
      <c r="MBX144" s="453"/>
      <c r="MBY144" s="453"/>
      <c r="MBZ144" s="453"/>
      <c r="MCA144" s="453"/>
      <c r="MCB144" s="461"/>
      <c r="MCC144" s="461"/>
      <c r="MCD144" s="461"/>
      <c r="MCE144" s="609"/>
      <c r="MCF144" s="607"/>
      <c r="MCG144" s="607"/>
      <c r="MCH144" s="607"/>
      <c r="MCI144" s="463"/>
      <c r="MCJ144" s="454"/>
      <c r="MCK144" s="607"/>
      <c r="MCL144" s="607"/>
      <c r="MCM144" s="607"/>
      <c r="MCN144" s="607"/>
      <c r="MCO144" s="607"/>
      <c r="MCP144" s="453"/>
      <c r="MCQ144" s="289"/>
      <c r="MCR144" s="453"/>
      <c r="MCS144" s="453"/>
      <c r="MCT144" s="453"/>
      <c r="MCU144" s="453"/>
      <c r="MCV144" s="453"/>
      <c r="MCW144" s="461"/>
      <c r="MCX144" s="461"/>
      <c r="MCY144" s="461"/>
      <c r="MCZ144" s="609"/>
      <c r="MDA144" s="607"/>
      <c r="MDB144" s="607"/>
      <c r="MDC144" s="607"/>
      <c r="MDD144" s="463"/>
      <c r="MDE144" s="454"/>
      <c r="MDF144" s="607"/>
      <c r="MDG144" s="607"/>
      <c r="MDH144" s="607"/>
      <c r="MDI144" s="607"/>
      <c r="MDJ144" s="607"/>
      <c r="MDK144" s="453"/>
      <c r="MDL144" s="289"/>
      <c r="MDM144" s="453"/>
      <c r="MDN144" s="453"/>
      <c r="MDO144" s="453"/>
      <c r="MDP144" s="453"/>
      <c r="MDQ144" s="453"/>
      <c r="MDR144" s="461"/>
      <c r="MDS144" s="461"/>
      <c r="MDT144" s="461"/>
      <c r="MDU144" s="609"/>
      <c r="MDV144" s="607"/>
      <c r="MDW144" s="607"/>
      <c r="MDX144" s="607"/>
      <c r="MDY144" s="463"/>
      <c r="MDZ144" s="454"/>
      <c r="MEA144" s="607"/>
      <c r="MEB144" s="607"/>
      <c r="MEC144" s="607"/>
      <c r="MED144" s="607"/>
      <c r="MEE144" s="607"/>
      <c r="MEF144" s="453"/>
      <c r="MEG144" s="289"/>
      <c r="MEH144" s="453"/>
      <c r="MEI144" s="453"/>
      <c r="MEJ144" s="453"/>
      <c r="MEK144" s="453"/>
      <c r="MEL144" s="453"/>
      <c r="MEM144" s="461"/>
      <c r="MEN144" s="461"/>
      <c r="MEO144" s="461"/>
      <c r="MEP144" s="609"/>
      <c r="MEQ144" s="607"/>
      <c r="MER144" s="607"/>
      <c r="MES144" s="607"/>
      <c r="MET144" s="463"/>
      <c r="MEU144" s="454"/>
      <c r="MEV144" s="607"/>
      <c r="MEW144" s="607"/>
      <c r="MEX144" s="607"/>
      <c r="MEY144" s="607"/>
      <c r="MEZ144" s="607"/>
      <c r="MFA144" s="453"/>
      <c r="MFB144" s="289"/>
      <c r="MFC144" s="453"/>
      <c r="MFD144" s="453"/>
      <c r="MFE144" s="453"/>
      <c r="MFF144" s="453"/>
      <c r="MFG144" s="453"/>
      <c r="MFH144" s="461"/>
      <c r="MFI144" s="461"/>
      <c r="MFJ144" s="461"/>
      <c r="MFK144" s="609"/>
      <c r="MFL144" s="607"/>
      <c r="MFM144" s="607"/>
      <c r="MFN144" s="607"/>
      <c r="MFO144" s="463"/>
      <c r="MFP144" s="454"/>
      <c r="MFQ144" s="607"/>
      <c r="MFR144" s="607"/>
      <c r="MFS144" s="607"/>
      <c r="MFT144" s="607"/>
      <c r="MFU144" s="607"/>
      <c r="MFV144" s="453"/>
      <c r="MFW144" s="289"/>
      <c r="MFX144" s="453"/>
      <c r="MFY144" s="453"/>
      <c r="MFZ144" s="453"/>
      <c r="MGA144" s="453"/>
      <c r="MGB144" s="453"/>
      <c r="MGC144" s="461"/>
      <c r="MGD144" s="461"/>
      <c r="MGE144" s="461"/>
      <c r="MGF144" s="609"/>
      <c r="MGG144" s="607"/>
      <c r="MGH144" s="607"/>
      <c r="MGI144" s="607"/>
      <c r="MGJ144" s="463"/>
      <c r="MGK144" s="454"/>
      <c r="MGL144" s="607"/>
      <c r="MGM144" s="607"/>
      <c r="MGN144" s="607"/>
      <c r="MGO144" s="607"/>
      <c r="MGP144" s="607"/>
      <c r="MGQ144" s="453"/>
      <c r="MGR144" s="289"/>
      <c r="MGS144" s="453"/>
      <c r="MGT144" s="453"/>
      <c r="MGU144" s="453"/>
      <c r="MGV144" s="453"/>
      <c r="MGW144" s="453"/>
      <c r="MGX144" s="461"/>
      <c r="MGY144" s="461"/>
      <c r="MGZ144" s="461"/>
      <c r="MHA144" s="609"/>
      <c r="MHB144" s="607"/>
      <c r="MHC144" s="607"/>
      <c r="MHD144" s="607"/>
      <c r="MHE144" s="463"/>
      <c r="MHF144" s="454"/>
      <c r="MHG144" s="607"/>
      <c r="MHH144" s="607"/>
      <c r="MHI144" s="607"/>
      <c r="MHJ144" s="607"/>
      <c r="MHK144" s="607"/>
      <c r="MHL144" s="453"/>
      <c r="MHM144" s="289"/>
      <c r="MHN144" s="453"/>
      <c r="MHO144" s="453"/>
      <c r="MHP144" s="453"/>
      <c r="MHQ144" s="453"/>
      <c r="MHR144" s="453"/>
      <c r="MHS144" s="461"/>
      <c r="MHT144" s="461"/>
      <c r="MHU144" s="461"/>
      <c r="MHV144" s="609"/>
      <c r="MHW144" s="607"/>
      <c r="MHX144" s="607"/>
      <c r="MHY144" s="607"/>
      <c r="MHZ144" s="463"/>
      <c r="MIA144" s="454"/>
      <c r="MIB144" s="607"/>
      <c r="MIC144" s="607"/>
      <c r="MID144" s="607"/>
      <c r="MIE144" s="607"/>
      <c r="MIF144" s="607"/>
      <c r="MIG144" s="453"/>
      <c r="MIH144" s="289"/>
      <c r="MII144" s="453"/>
      <c r="MIJ144" s="453"/>
      <c r="MIK144" s="453"/>
      <c r="MIL144" s="453"/>
      <c r="MIM144" s="453"/>
      <c r="MIN144" s="461"/>
      <c r="MIO144" s="461"/>
      <c r="MIP144" s="461"/>
      <c r="MIQ144" s="609"/>
      <c r="MIR144" s="607"/>
      <c r="MIS144" s="607"/>
      <c r="MIT144" s="607"/>
      <c r="MIU144" s="463"/>
      <c r="MIV144" s="454"/>
      <c r="MIW144" s="607"/>
      <c r="MIX144" s="607"/>
      <c r="MIY144" s="607"/>
      <c r="MIZ144" s="607"/>
      <c r="MJA144" s="607"/>
      <c r="MJB144" s="453"/>
      <c r="MJC144" s="289"/>
      <c r="MJD144" s="453"/>
      <c r="MJE144" s="453"/>
      <c r="MJF144" s="453"/>
      <c r="MJG144" s="453"/>
      <c r="MJH144" s="453"/>
      <c r="MJI144" s="461"/>
      <c r="MJJ144" s="461"/>
      <c r="MJK144" s="461"/>
      <c r="MJL144" s="609"/>
      <c r="MJM144" s="607"/>
      <c r="MJN144" s="607"/>
      <c r="MJO144" s="607"/>
      <c r="MJP144" s="463"/>
      <c r="MJQ144" s="454"/>
      <c r="MJR144" s="607"/>
      <c r="MJS144" s="607"/>
      <c r="MJT144" s="607"/>
      <c r="MJU144" s="607"/>
      <c r="MJV144" s="607"/>
      <c r="MJW144" s="453"/>
      <c r="MJX144" s="289"/>
      <c r="MJY144" s="453"/>
      <c r="MJZ144" s="453"/>
      <c r="MKA144" s="453"/>
      <c r="MKB144" s="453"/>
      <c r="MKC144" s="453"/>
      <c r="MKD144" s="461"/>
      <c r="MKE144" s="461"/>
      <c r="MKF144" s="461"/>
      <c r="MKG144" s="609"/>
      <c r="MKH144" s="607"/>
      <c r="MKI144" s="607"/>
      <c r="MKJ144" s="607"/>
      <c r="MKK144" s="463"/>
      <c r="MKL144" s="454"/>
      <c r="MKM144" s="607"/>
      <c r="MKN144" s="607"/>
      <c r="MKO144" s="607"/>
      <c r="MKP144" s="607"/>
      <c r="MKQ144" s="607"/>
      <c r="MKR144" s="453"/>
      <c r="MKS144" s="289"/>
      <c r="MKT144" s="453"/>
      <c r="MKU144" s="453"/>
      <c r="MKV144" s="453"/>
      <c r="MKW144" s="453"/>
      <c r="MKX144" s="453"/>
      <c r="MKY144" s="461"/>
      <c r="MKZ144" s="461"/>
      <c r="MLA144" s="461"/>
      <c r="MLB144" s="609"/>
      <c r="MLC144" s="607"/>
      <c r="MLD144" s="607"/>
      <c r="MLE144" s="607"/>
      <c r="MLF144" s="463"/>
      <c r="MLG144" s="454"/>
      <c r="MLH144" s="607"/>
      <c r="MLI144" s="607"/>
      <c r="MLJ144" s="607"/>
      <c r="MLK144" s="607"/>
      <c r="MLL144" s="607"/>
      <c r="MLM144" s="453"/>
      <c r="MLN144" s="289"/>
      <c r="MLO144" s="453"/>
      <c r="MLP144" s="453"/>
      <c r="MLQ144" s="453"/>
      <c r="MLR144" s="453"/>
      <c r="MLS144" s="453"/>
      <c r="MLT144" s="461"/>
      <c r="MLU144" s="461"/>
      <c r="MLV144" s="461"/>
      <c r="MLW144" s="609"/>
      <c r="MLX144" s="607"/>
      <c r="MLY144" s="607"/>
      <c r="MLZ144" s="607"/>
      <c r="MMA144" s="463"/>
      <c r="MMB144" s="454"/>
      <c r="MMC144" s="607"/>
      <c r="MMD144" s="607"/>
      <c r="MME144" s="607"/>
      <c r="MMF144" s="607"/>
      <c r="MMG144" s="607"/>
      <c r="MMH144" s="453"/>
      <c r="MMI144" s="289"/>
      <c r="MMJ144" s="453"/>
      <c r="MMK144" s="453"/>
      <c r="MML144" s="453"/>
      <c r="MMM144" s="453"/>
      <c r="MMN144" s="453"/>
      <c r="MMO144" s="461"/>
      <c r="MMP144" s="461"/>
      <c r="MMQ144" s="461"/>
      <c r="MMR144" s="609"/>
      <c r="MMS144" s="607"/>
      <c r="MMT144" s="607"/>
      <c r="MMU144" s="607"/>
      <c r="MMV144" s="463"/>
      <c r="MMW144" s="454"/>
      <c r="MMX144" s="607"/>
      <c r="MMY144" s="607"/>
      <c r="MMZ144" s="607"/>
      <c r="MNA144" s="607"/>
      <c r="MNB144" s="607"/>
      <c r="MNC144" s="453"/>
      <c r="MND144" s="289"/>
      <c r="MNE144" s="453"/>
      <c r="MNF144" s="453"/>
      <c r="MNG144" s="453"/>
      <c r="MNH144" s="453"/>
      <c r="MNI144" s="453"/>
      <c r="MNJ144" s="461"/>
      <c r="MNK144" s="461"/>
      <c r="MNL144" s="461"/>
      <c r="MNM144" s="609"/>
      <c r="MNN144" s="607"/>
      <c r="MNO144" s="607"/>
      <c r="MNP144" s="607"/>
      <c r="MNQ144" s="463"/>
      <c r="MNR144" s="454"/>
      <c r="MNS144" s="607"/>
      <c r="MNT144" s="607"/>
      <c r="MNU144" s="607"/>
      <c r="MNV144" s="607"/>
      <c r="MNW144" s="607"/>
      <c r="MNX144" s="453"/>
      <c r="MNY144" s="289"/>
      <c r="MNZ144" s="453"/>
      <c r="MOA144" s="453"/>
      <c r="MOB144" s="453"/>
      <c r="MOC144" s="453"/>
      <c r="MOD144" s="453"/>
      <c r="MOE144" s="461"/>
      <c r="MOF144" s="461"/>
      <c r="MOG144" s="461"/>
      <c r="MOH144" s="609"/>
      <c r="MOI144" s="607"/>
      <c r="MOJ144" s="607"/>
      <c r="MOK144" s="607"/>
      <c r="MOL144" s="463"/>
      <c r="MOM144" s="454"/>
      <c r="MON144" s="607"/>
      <c r="MOO144" s="607"/>
      <c r="MOP144" s="607"/>
      <c r="MOQ144" s="607"/>
      <c r="MOR144" s="607"/>
      <c r="MOS144" s="453"/>
      <c r="MOT144" s="289"/>
      <c r="MOU144" s="453"/>
      <c r="MOV144" s="453"/>
      <c r="MOW144" s="453"/>
      <c r="MOX144" s="453"/>
      <c r="MOY144" s="453"/>
      <c r="MOZ144" s="461"/>
      <c r="MPA144" s="461"/>
      <c r="MPB144" s="461"/>
      <c r="MPC144" s="609"/>
      <c r="MPD144" s="607"/>
      <c r="MPE144" s="607"/>
      <c r="MPF144" s="607"/>
      <c r="MPG144" s="463"/>
      <c r="MPH144" s="454"/>
      <c r="MPI144" s="607"/>
      <c r="MPJ144" s="607"/>
      <c r="MPK144" s="607"/>
      <c r="MPL144" s="607"/>
      <c r="MPM144" s="607"/>
      <c r="MPN144" s="453"/>
      <c r="MPO144" s="289"/>
      <c r="MPP144" s="453"/>
      <c r="MPQ144" s="453"/>
      <c r="MPR144" s="453"/>
      <c r="MPS144" s="453"/>
      <c r="MPT144" s="453"/>
      <c r="MPU144" s="461"/>
      <c r="MPV144" s="461"/>
      <c r="MPW144" s="461"/>
      <c r="MPX144" s="609"/>
      <c r="MPY144" s="607"/>
      <c r="MPZ144" s="607"/>
      <c r="MQA144" s="607"/>
      <c r="MQB144" s="463"/>
      <c r="MQC144" s="454"/>
      <c r="MQD144" s="607"/>
      <c r="MQE144" s="607"/>
      <c r="MQF144" s="607"/>
      <c r="MQG144" s="607"/>
      <c r="MQH144" s="607"/>
      <c r="MQI144" s="453"/>
      <c r="MQJ144" s="289"/>
      <c r="MQK144" s="453"/>
      <c r="MQL144" s="453"/>
      <c r="MQM144" s="453"/>
      <c r="MQN144" s="453"/>
      <c r="MQO144" s="453"/>
      <c r="MQP144" s="461"/>
      <c r="MQQ144" s="461"/>
      <c r="MQR144" s="461"/>
      <c r="MQS144" s="609"/>
      <c r="MQT144" s="607"/>
      <c r="MQU144" s="607"/>
      <c r="MQV144" s="607"/>
      <c r="MQW144" s="463"/>
      <c r="MQX144" s="454"/>
      <c r="MQY144" s="607"/>
      <c r="MQZ144" s="607"/>
      <c r="MRA144" s="607"/>
      <c r="MRB144" s="607"/>
      <c r="MRC144" s="607"/>
      <c r="MRD144" s="453"/>
      <c r="MRE144" s="289"/>
      <c r="MRF144" s="453"/>
      <c r="MRG144" s="453"/>
      <c r="MRH144" s="453"/>
      <c r="MRI144" s="453"/>
      <c r="MRJ144" s="453"/>
      <c r="MRK144" s="461"/>
      <c r="MRL144" s="461"/>
      <c r="MRM144" s="461"/>
      <c r="MRN144" s="609"/>
      <c r="MRO144" s="607"/>
      <c r="MRP144" s="607"/>
      <c r="MRQ144" s="607"/>
      <c r="MRR144" s="463"/>
      <c r="MRS144" s="454"/>
      <c r="MRT144" s="607"/>
      <c r="MRU144" s="607"/>
      <c r="MRV144" s="607"/>
      <c r="MRW144" s="607"/>
      <c r="MRX144" s="607"/>
      <c r="MRY144" s="453"/>
      <c r="MRZ144" s="289"/>
      <c r="MSA144" s="453"/>
      <c r="MSB144" s="453"/>
      <c r="MSC144" s="453"/>
      <c r="MSD144" s="453"/>
      <c r="MSE144" s="453"/>
      <c r="MSF144" s="461"/>
      <c r="MSG144" s="461"/>
      <c r="MSH144" s="461"/>
      <c r="MSI144" s="609"/>
      <c r="MSJ144" s="607"/>
      <c r="MSK144" s="607"/>
      <c r="MSL144" s="607"/>
      <c r="MSM144" s="463"/>
      <c r="MSN144" s="454"/>
      <c r="MSO144" s="607"/>
      <c r="MSP144" s="607"/>
      <c r="MSQ144" s="607"/>
      <c r="MSR144" s="607"/>
      <c r="MSS144" s="607"/>
      <c r="MST144" s="453"/>
      <c r="MSU144" s="289"/>
      <c r="MSV144" s="453"/>
      <c r="MSW144" s="453"/>
      <c r="MSX144" s="453"/>
      <c r="MSY144" s="453"/>
      <c r="MSZ144" s="453"/>
      <c r="MTA144" s="461"/>
      <c r="MTB144" s="461"/>
      <c r="MTC144" s="461"/>
      <c r="MTD144" s="609"/>
      <c r="MTE144" s="607"/>
      <c r="MTF144" s="607"/>
      <c r="MTG144" s="607"/>
      <c r="MTH144" s="463"/>
      <c r="MTI144" s="454"/>
      <c r="MTJ144" s="607"/>
      <c r="MTK144" s="607"/>
      <c r="MTL144" s="607"/>
      <c r="MTM144" s="607"/>
      <c r="MTN144" s="607"/>
      <c r="MTO144" s="453"/>
      <c r="MTP144" s="289"/>
      <c r="MTQ144" s="453"/>
      <c r="MTR144" s="453"/>
      <c r="MTS144" s="453"/>
      <c r="MTT144" s="453"/>
      <c r="MTU144" s="453"/>
      <c r="MTV144" s="461"/>
      <c r="MTW144" s="461"/>
      <c r="MTX144" s="461"/>
      <c r="MTY144" s="609"/>
      <c r="MTZ144" s="607"/>
      <c r="MUA144" s="607"/>
      <c r="MUB144" s="607"/>
      <c r="MUC144" s="463"/>
      <c r="MUD144" s="454"/>
      <c r="MUE144" s="607"/>
      <c r="MUF144" s="607"/>
      <c r="MUG144" s="607"/>
      <c r="MUH144" s="607"/>
      <c r="MUI144" s="607"/>
      <c r="MUJ144" s="453"/>
      <c r="MUK144" s="289"/>
      <c r="MUL144" s="453"/>
      <c r="MUM144" s="453"/>
      <c r="MUN144" s="453"/>
      <c r="MUO144" s="453"/>
      <c r="MUP144" s="453"/>
      <c r="MUQ144" s="461"/>
      <c r="MUR144" s="461"/>
      <c r="MUS144" s="461"/>
      <c r="MUT144" s="609"/>
      <c r="MUU144" s="607"/>
      <c r="MUV144" s="607"/>
      <c r="MUW144" s="607"/>
      <c r="MUX144" s="463"/>
      <c r="MUY144" s="454"/>
      <c r="MUZ144" s="607"/>
      <c r="MVA144" s="607"/>
      <c r="MVB144" s="607"/>
      <c r="MVC144" s="607"/>
      <c r="MVD144" s="607"/>
      <c r="MVE144" s="453"/>
      <c r="MVF144" s="289"/>
      <c r="MVG144" s="453"/>
      <c r="MVH144" s="453"/>
      <c r="MVI144" s="453"/>
      <c r="MVJ144" s="453"/>
      <c r="MVK144" s="453"/>
      <c r="MVL144" s="461"/>
      <c r="MVM144" s="461"/>
      <c r="MVN144" s="461"/>
      <c r="MVO144" s="609"/>
      <c r="MVP144" s="607"/>
      <c r="MVQ144" s="607"/>
      <c r="MVR144" s="607"/>
      <c r="MVS144" s="463"/>
      <c r="MVT144" s="454"/>
      <c r="MVU144" s="607"/>
      <c r="MVV144" s="607"/>
      <c r="MVW144" s="607"/>
      <c r="MVX144" s="607"/>
      <c r="MVY144" s="607"/>
      <c r="MVZ144" s="453"/>
      <c r="MWA144" s="289"/>
      <c r="MWB144" s="453"/>
      <c r="MWC144" s="453"/>
      <c r="MWD144" s="453"/>
      <c r="MWE144" s="453"/>
      <c r="MWF144" s="453"/>
      <c r="MWG144" s="461"/>
      <c r="MWH144" s="461"/>
      <c r="MWI144" s="461"/>
      <c r="MWJ144" s="609"/>
      <c r="MWK144" s="607"/>
      <c r="MWL144" s="607"/>
      <c r="MWM144" s="607"/>
      <c r="MWN144" s="463"/>
      <c r="MWO144" s="454"/>
      <c r="MWP144" s="607"/>
      <c r="MWQ144" s="607"/>
      <c r="MWR144" s="607"/>
      <c r="MWS144" s="607"/>
      <c r="MWT144" s="607"/>
      <c r="MWU144" s="453"/>
      <c r="MWV144" s="289"/>
      <c r="MWW144" s="453"/>
      <c r="MWX144" s="453"/>
      <c r="MWY144" s="453"/>
      <c r="MWZ144" s="453"/>
      <c r="MXA144" s="453"/>
      <c r="MXB144" s="461"/>
      <c r="MXC144" s="461"/>
      <c r="MXD144" s="461"/>
      <c r="MXE144" s="609"/>
      <c r="MXF144" s="607"/>
      <c r="MXG144" s="607"/>
      <c r="MXH144" s="607"/>
      <c r="MXI144" s="463"/>
      <c r="MXJ144" s="454"/>
      <c r="MXK144" s="607"/>
      <c r="MXL144" s="607"/>
      <c r="MXM144" s="607"/>
      <c r="MXN144" s="607"/>
      <c r="MXO144" s="607"/>
      <c r="MXP144" s="453"/>
      <c r="MXQ144" s="289"/>
      <c r="MXR144" s="453"/>
      <c r="MXS144" s="453"/>
      <c r="MXT144" s="453"/>
      <c r="MXU144" s="453"/>
      <c r="MXV144" s="453"/>
      <c r="MXW144" s="461"/>
      <c r="MXX144" s="461"/>
      <c r="MXY144" s="461"/>
      <c r="MXZ144" s="609"/>
      <c r="MYA144" s="607"/>
      <c r="MYB144" s="607"/>
      <c r="MYC144" s="607"/>
      <c r="MYD144" s="463"/>
      <c r="MYE144" s="454"/>
      <c r="MYF144" s="607"/>
      <c r="MYG144" s="607"/>
      <c r="MYH144" s="607"/>
      <c r="MYI144" s="607"/>
      <c r="MYJ144" s="607"/>
      <c r="MYK144" s="453"/>
      <c r="MYL144" s="289"/>
      <c r="MYM144" s="453"/>
      <c r="MYN144" s="453"/>
      <c r="MYO144" s="453"/>
      <c r="MYP144" s="453"/>
      <c r="MYQ144" s="453"/>
      <c r="MYR144" s="461"/>
      <c r="MYS144" s="461"/>
      <c r="MYT144" s="461"/>
      <c r="MYU144" s="609"/>
      <c r="MYV144" s="607"/>
      <c r="MYW144" s="607"/>
      <c r="MYX144" s="607"/>
      <c r="MYY144" s="463"/>
      <c r="MYZ144" s="454"/>
      <c r="MZA144" s="607"/>
      <c r="MZB144" s="607"/>
      <c r="MZC144" s="607"/>
      <c r="MZD144" s="607"/>
      <c r="MZE144" s="607"/>
      <c r="MZF144" s="453"/>
      <c r="MZG144" s="289"/>
      <c r="MZH144" s="453"/>
      <c r="MZI144" s="453"/>
      <c r="MZJ144" s="453"/>
      <c r="MZK144" s="453"/>
      <c r="MZL144" s="453"/>
      <c r="MZM144" s="461"/>
      <c r="MZN144" s="461"/>
      <c r="MZO144" s="461"/>
      <c r="MZP144" s="609"/>
      <c r="MZQ144" s="607"/>
      <c r="MZR144" s="607"/>
      <c r="MZS144" s="607"/>
      <c r="MZT144" s="463"/>
      <c r="MZU144" s="454"/>
      <c r="MZV144" s="607"/>
      <c r="MZW144" s="607"/>
      <c r="MZX144" s="607"/>
      <c r="MZY144" s="607"/>
      <c r="MZZ144" s="607"/>
      <c r="NAA144" s="453"/>
      <c r="NAB144" s="289"/>
      <c r="NAC144" s="453"/>
      <c r="NAD144" s="453"/>
      <c r="NAE144" s="453"/>
      <c r="NAF144" s="453"/>
      <c r="NAG144" s="453"/>
      <c r="NAH144" s="461"/>
      <c r="NAI144" s="461"/>
      <c r="NAJ144" s="461"/>
      <c r="NAK144" s="609"/>
      <c r="NAL144" s="607"/>
      <c r="NAM144" s="607"/>
      <c r="NAN144" s="607"/>
      <c r="NAO144" s="463"/>
      <c r="NAP144" s="454"/>
      <c r="NAQ144" s="607"/>
      <c r="NAR144" s="607"/>
      <c r="NAS144" s="607"/>
      <c r="NAT144" s="607"/>
      <c r="NAU144" s="607"/>
      <c r="NAV144" s="453"/>
      <c r="NAW144" s="289"/>
      <c r="NAX144" s="453"/>
      <c r="NAY144" s="453"/>
      <c r="NAZ144" s="453"/>
      <c r="NBA144" s="453"/>
      <c r="NBB144" s="453"/>
      <c r="NBC144" s="461"/>
      <c r="NBD144" s="461"/>
      <c r="NBE144" s="461"/>
      <c r="NBF144" s="609"/>
      <c r="NBG144" s="607"/>
      <c r="NBH144" s="607"/>
      <c r="NBI144" s="607"/>
      <c r="NBJ144" s="463"/>
      <c r="NBK144" s="454"/>
      <c r="NBL144" s="607"/>
      <c r="NBM144" s="607"/>
      <c r="NBN144" s="607"/>
      <c r="NBO144" s="607"/>
      <c r="NBP144" s="607"/>
      <c r="NBQ144" s="453"/>
      <c r="NBR144" s="289"/>
      <c r="NBS144" s="453"/>
      <c r="NBT144" s="453"/>
      <c r="NBU144" s="453"/>
      <c r="NBV144" s="453"/>
      <c r="NBW144" s="453"/>
      <c r="NBX144" s="461"/>
      <c r="NBY144" s="461"/>
      <c r="NBZ144" s="461"/>
      <c r="NCA144" s="609"/>
      <c r="NCB144" s="607"/>
      <c r="NCC144" s="607"/>
      <c r="NCD144" s="607"/>
      <c r="NCE144" s="463"/>
      <c r="NCF144" s="454"/>
      <c r="NCG144" s="607"/>
      <c r="NCH144" s="607"/>
      <c r="NCI144" s="607"/>
      <c r="NCJ144" s="607"/>
      <c r="NCK144" s="607"/>
      <c r="NCL144" s="453"/>
      <c r="NCM144" s="289"/>
      <c r="NCN144" s="453"/>
      <c r="NCO144" s="453"/>
      <c r="NCP144" s="453"/>
      <c r="NCQ144" s="453"/>
      <c r="NCR144" s="453"/>
      <c r="NCS144" s="461"/>
      <c r="NCT144" s="461"/>
      <c r="NCU144" s="461"/>
      <c r="NCV144" s="609"/>
      <c r="NCW144" s="607"/>
      <c r="NCX144" s="607"/>
      <c r="NCY144" s="607"/>
      <c r="NCZ144" s="463"/>
      <c r="NDA144" s="454"/>
      <c r="NDB144" s="607"/>
      <c r="NDC144" s="607"/>
      <c r="NDD144" s="607"/>
      <c r="NDE144" s="607"/>
      <c r="NDF144" s="607"/>
      <c r="NDG144" s="453"/>
      <c r="NDH144" s="289"/>
      <c r="NDI144" s="453"/>
      <c r="NDJ144" s="453"/>
      <c r="NDK144" s="453"/>
      <c r="NDL144" s="453"/>
      <c r="NDM144" s="453"/>
      <c r="NDN144" s="461"/>
      <c r="NDO144" s="461"/>
      <c r="NDP144" s="461"/>
      <c r="NDQ144" s="609"/>
      <c r="NDR144" s="607"/>
      <c r="NDS144" s="607"/>
      <c r="NDT144" s="607"/>
      <c r="NDU144" s="463"/>
      <c r="NDV144" s="454"/>
      <c r="NDW144" s="607"/>
      <c r="NDX144" s="607"/>
      <c r="NDY144" s="607"/>
      <c r="NDZ144" s="607"/>
      <c r="NEA144" s="607"/>
      <c r="NEB144" s="453"/>
      <c r="NEC144" s="289"/>
      <c r="NED144" s="453"/>
      <c r="NEE144" s="453"/>
      <c r="NEF144" s="453"/>
      <c r="NEG144" s="453"/>
      <c r="NEH144" s="453"/>
      <c r="NEI144" s="461"/>
      <c r="NEJ144" s="461"/>
      <c r="NEK144" s="461"/>
      <c r="NEL144" s="609"/>
      <c r="NEM144" s="607"/>
      <c r="NEN144" s="607"/>
      <c r="NEO144" s="607"/>
      <c r="NEP144" s="463"/>
      <c r="NEQ144" s="454"/>
      <c r="NER144" s="607"/>
      <c r="NES144" s="607"/>
      <c r="NET144" s="607"/>
      <c r="NEU144" s="607"/>
      <c r="NEV144" s="607"/>
      <c r="NEW144" s="453"/>
      <c r="NEX144" s="289"/>
      <c r="NEY144" s="453"/>
      <c r="NEZ144" s="453"/>
      <c r="NFA144" s="453"/>
      <c r="NFB144" s="453"/>
      <c r="NFC144" s="453"/>
      <c r="NFD144" s="461"/>
      <c r="NFE144" s="461"/>
      <c r="NFF144" s="461"/>
      <c r="NFG144" s="609"/>
      <c r="NFH144" s="607"/>
      <c r="NFI144" s="607"/>
      <c r="NFJ144" s="607"/>
      <c r="NFK144" s="463"/>
      <c r="NFL144" s="454"/>
      <c r="NFM144" s="607"/>
      <c r="NFN144" s="607"/>
      <c r="NFO144" s="607"/>
      <c r="NFP144" s="607"/>
      <c r="NFQ144" s="607"/>
      <c r="NFR144" s="453"/>
      <c r="NFS144" s="289"/>
      <c r="NFT144" s="453"/>
      <c r="NFU144" s="453"/>
      <c r="NFV144" s="453"/>
      <c r="NFW144" s="453"/>
      <c r="NFX144" s="453"/>
      <c r="NFY144" s="461"/>
      <c r="NFZ144" s="461"/>
      <c r="NGA144" s="461"/>
      <c r="NGB144" s="609"/>
      <c r="NGC144" s="607"/>
      <c r="NGD144" s="607"/>
      <c r="NGE144" s="607"/>
      <c r="NGF144" s="463"/>
      <c r="NGG144" s="454"/>
      <c r="NGH144" s="607"/>
      <c r="NGI144" s="607"/>
      <c r="NGJ144" s="607"/>
      <c r="NGK144" s="607"/>
      <c r="NGL144" s="607"/>
      <c r="NGM144" s="453"/>
      <c r="NGN144" s="289"/>
      <c r="NGO144" s="453"/>
      <c r="NGP144" s="453"/>
      <c r="NGQ144" s="453"/>
      <c r="NGR144" s="453"/>
      <c r="NGS144" s="453"/>
      <c r="NGT144" s="461"/>
      <c r="NGU144" s="461"/>
      <c r="NGV144" s="461"/>
      <c r="NGW144" s="609"/>
      <c r="NGX144" s="607"/>
      <c r="NGY144" s="607"/>
      <c r="NGZ144" s="607"/>
      <c r="NHA144" s="463"/>
      <c r="NHB144" s="454"/>
      <c r="NHC144" s="607"/>
      <c r="NHD144" s="607"/>
      <c r="NHE144" s="607"/>
      <c r="NHF144" s="607"/>
      <c r="NHG144" s="607"/>
      <c r="NHH144" s="453"/>
      <c r="NHI144" s="289"/>
      <c r="NHJ144" s="453"/>
      <c r="NHK144" s="453"/>
      <c r="NHL144" s="453"/>
      <c r="NHM144" s="453"/>
      <c r="NHN144" s="453"/>
      <c r="NHO144" s="461"/>
      <c r="NHP144" s="461"/>
      <c r="NHQ144" s="461"/>
      <c r="NHR144" s="609"/>
      <c r="NHS144" s="607"/>
      <c r="NHT144" s="607"/>
      <c r="NHU144" s="607"/>
      <c r="NHV144" s="463"/>
      <c r="NHW144" s="454"/>
      <c r="NHX144" s="607"/>
      <c r="NHY144" s="607"/>
      <c r="NHZ144" s="607"/>
      <c r="NIA144" s="607"/>
      <c r="NIB144" s="607"/>
      <c r="NIC144" s="453"/>
      <c r="NID144" s="289"/>
      <c r="NIE144" s="453"/>
      <c r="NIF144" s="453"/>
      <c r="NIG144" s="453"/>
      <c r="NIH144" s="453"/>
      <c r="NII144" s="453"/>
      <c r="NIJ144" s="461"/>
      <c r="NIK144" s="461"/>
      <c r="NIL144" s="461"/>
      <c r="NIM144" s="609"/>
      <c r="NIN144" s="607"/>
      <c r="NIO144" s="607"/>
      <c r="NIP144" s="607"/>
      <c r="NIQ144" s="463"/>
      <c r="NIR144" s="454"/>
      <c r="NIS144" s="607"/>
      <c r="NIT144" s="607"/>
      <c r="NIU144" s="607"/>
      <c r="NIV144" s="607"/>
      <c r="NIW144" s="607"/>
      <c r="NIX144" s="453"/>
      <c r="NIY144" s="289"/>
      <c r="NIZ144" s="453"/>
      <c r="NJA144" s="453"/>
      <c r="NJB144" s="453"/>
      <c r="NJC144" s="453"/>
      <c r="NJD144" s="453"/>
      <c r="NJE144" s="461"/>
      <c r="NJF144" s="461"/>
      <c r="NJG144" s="461"/>
      <c r="NJH144" s="609"/>
      <c r="NJI144" s="607"/>
      <c r="NJJ144" s="607"/>
      <c r="NJK144" s="607"/>
      <c r="NJL144" s="463"/>
      <c r="NJM144" s="454"/>
      <c r="NJN144" s="607"/>
      <c r="NJO144" s="607"/>
      <c r="NJP144" s="607"/>
      <c r="NJQ144" s="607"/>
      <c r="NJR144" s="607"/>
      <c r="NJS144" s="453"/>
      <c r="NJT144" s="289"/>
      <c r="NJU144" s="453"/>
      <c r="NJV144" s="453"/>
      <c r="NJW144" s="453"/>
      <c r="NJX144" s="453"/>
      <c r="NJY144" s="453"/>
      <c r="NJZ144" s="461"/>
      <c r="NKA144" s="461"/>
      <c r="NKB144" s="461"/>
      <c r="NKC144" s="609"/>
      <c r="NKD144" s="607"/>
      <c r="NKE144" s="607"/>
      <c r="NKF144" s="607"/>
      <c r="NKG144" s="463"/>
      <c r="NKH144" s="454"/>
      <c r="NKI144" s="607"/>
      <c r="NKJ144" s="607"/>
      <c r="NKK144" s="607"/>
      <c r="NKL144" s="607"/>
      <c r="NKM144" s="607"/>
      <c r="NKN144" s="453"/>
      <c r="NKO144" s="289"/>
      <c r="NKP144" s="453"/>
      <c r="NKQ144" s="453"/>
      <c r="NKR144" s="453"/>
      <c r="NKS144" s="453"/>
      <c r="NKT144" s="453"/>
      <c r="NKU144" s="461"/>
      <c r="NKV144" s="461"/>
      <c r="NKW144" s="461"/>
      <c r="NKX144" s="609"/>
      <c r="NKY144" s="607"/>
      <c r="NKZ144" s="607"/>
      <c r="NLA144" s="607"/>
      <c r="NLB144" s="463"/>
      <c r="NLC144" s="454"/>
      <c r="NLD144" s="607"/>
      <c r="NLE144" s="607"/>
      <c r="NLF144" s="607"/>
      <c r="NLG144" s="607"/>
      <c r="NLH144" s="607"/>
      <c r="NLI144" s="453"/>
      <c r="NLJ144" s="289"/>
      <c r="NLK144" s="453"/>
      <c r="NLL144" s="453"/>
      <c r="NLM144" s="453"/>
      <c r="NLN144" s="453"/>
      <c r="NLO144" s="453"/>
      <c r="NLP144" s="461"/>
      <c r="NLQ144" s="461"/>
      <c r="NLR144" s="461"/>
      <c r="NLS144" s="609"/>
      <c r="NLT144" s="607"/>
      <c r="NLU144" s="607"/>
      <c r="NLV144" s="607"/>
      <c r="NLW144" s="463"/>
      <c r="NLX144" s="454"/>
      <c r="NLY144" s="607"/>
      <c r="NLZ144" s="607"/>
      <c r="NMA144" s="607"/>
      <c r="NMB144" s="607"/>
      <c r="NMC144" s="607"/>
      <c r="NMD144" s="453"/>
      <c r="NME144" s="289"/>
      <c r="NMF144" s="453"/>
      <c r="NMG144" s="453"/>
      <c r="NMH144" s="453"/>
      <c r="NMI144" s="453"/>
      <c r="NMJ144" s="453"/>
      <c r="NMK144" s="461"/>
      <c r="NML144" s="461"/>
      <c r="NMM144" s="461"/>
      <c r="NMN144" s="609"/>
      <c r="NMO144" s="607"/>
      <c r="NMP144" s="607"/>
      <c r="NMQ144" s="607"/>
      <c r="NMR144" s="463"/>
      <c r="NMS144" s="454"/>
      <c r="NMT144" s="607"/>
      <c r="NMU144" s="607"/>
      <c r="NMV144" s="607"/>
      <c r="NMW144" s="607"/>
      <c r="NMX144" s="607"/>
      <c r="NMY144" s="453"/>
      <c r="NMZ144" s="289"/>
      <c r="NNA144" s="453"/>
      <c r="NNB144" s="453"/>
      <c r="NNC144" s="453"/>
      <c r="NND144" s="453"/>
      <c r="NNE144" s="453"/>
      <c r="NNF144" s="461"/>
      <c r="NNG144" s="461"/>
      <c r="NNH144" s="461"/>
      <c r="NNI144" s="609"/>
      <c r="NNJ144" s="607"/>
      <c r="NNK144" s="607"/>
      <c r="NNL144" s="607"/>
      <c r="NNM144" s="463"/>
      <c r="NNN144" s="454"/>
      <c r="NNO144" s="607"/>
      <c r="NNP144" s="607"/>
      <c r="NNQ144" s="607"/>
      <c r="NNR144" s="607"/>
      <c r="NNS144" s="607"/>
      <c r="NNT144" s="453"/>
      <c r="NNU144" s="289"/>
      <c r="NNV144" s="453"/>
      <c r="NNW144" s="453"/>
      <c r="NNX144" s="453"/>
      <c r="NNY144" s="453"/>
      <c r="NNZ144" s="453"/>
      <c r="NOA144" s="461"/>
      <c r="NOB144" s="461"/>
      <c r="NOC144" s="461"/>
      <c r="NOD144" s="609"/>
      <c r="NOE144" s="607"/>
      <c r="NOF144" s="607"/>
      <c r="NOG144" s="607"/>
      <c r="NOH144" s="463"/>
      <c r="NOI144" s="454"/>
      <c r="NOJ144" s="607"/>
      <c r="NOK144" s="607"/>
      <c r="NOL144" s="607"/>
      <c r="NOM144" s="607"/>
      <c r="NON144" s="607"/>
      <c r="NOO144" s="453"/>
      <c r="NOP144" s="289"/>
      <c r="NOQ144" s="453"/>
      <c r="NOR144" s="453"/>
      <c r="NOS144" s="453"/>
      <c r="NOT144" s="453"/>
      <c r="NOU144" s="453"/>
      <c r="NOV144" s="461"/>
      <c r="NOW144" s="461"/>
      <c r="NOX144" s="461"/>
      <c r="NOY144" s="609"/>
      <c r="NOZ144" s="607"/>
      <c r="NPA144" s="607"/>
      <c r="NPB144" s="607"/>
      <c r="NPC144" s="463"/>
      <c r="NPD144" s="454"/>
      <c r="NPE144" s="607"/>
      <c r="NPF144" s="607"/>
      <c r="NPG144" s="607"/>
      <c r="NPH144" s="607"/>
      <c r="NPI144" s="607"/>
      <c r="NPJ144" s="453"/>
      <c r="NPK144" s="289"/>
      <c r="NPL144" s="453"/>
      <c r="NPM144" s="453"/>
      <c r="NPN144" s="453"/>
      <c r="NPO144" s="453"/>
      <c r="NPP144" s="453"/>
      <c r="NPQ144" s="461"/>
      <c r="NPR144" s="461"/>
      <c r="NPS144" s="461"/>
      <c r="NPT144" s="609"/>
      <c r="NPU144" s="607"/>
      <c r="NPV144" s="607"/>
      <c r="NPW144" s="607"/>
      <c r="NPX144" s="463"/>
      <c r="NPY144" s="454"/>
      <c r="NPZ144" s="607"/>
      <c r="NQA144" s="607"/>
      <c r="NQB144" s="607"/>
      <c r="NQC144" s="607"/>
      <c r="NQD144" s="607"/>
      <c r="NQE144" s="453"/>
      <c r="NQF144" s="289"/>
      <c r="NQG144" s="453"/>
      <c r="NQH144" s="453"/>
      <c r="NQI144" s="453"/>
      <c r="NQJ144" s="453"/>
      <c r="NQK144" s="453"/>
      <c r="NQL144" s="461"/>
      <c r="NQM144" s="461"/>
      <c r="NQN144" s="461"/>
      <c r="NQO144" s="609"/>
      <c r="NQP144" s="607"/>
      <c r="NQQ144" s="607"/>
      <c r="NQR144" s="607"/>
      <c r="NQS144" s="463"/>
      <c r="NQT144" s="454"/>
      <c r="NQU144" s="607"/>
      <c r="NQV144" s="607"/>
      <c r="NQW144" s="607"/>
      <c r="NQX144" s="607"/>
      <c r="NQY144" s="607"/>
      <c r="NQZ144" s="453"/>
      <c r="NRA144" s="289"/>
      <c r="NRB144" s="453"/>
      <c r="NRC144" s="453"/>
      <c r="NRD144" s="453"/>
      <c r="NRE144" s="453"/>
      <c r="NRF144" s="453"/>
      <c r="NRG144" s="461"/>
      <c r="NRH144" s="461"/>
      <c r="NRI144" s="461"/>
      <c r="NRJ144" s="609"/>
      <c r="NRK144" s="607"/>
      <c r="NRL144" s="607"/>
      <c r="NRM144" s="607"/>
      <c r="NRN144" s="463"/>
      <c r="NRO144" s="454"/>
      <c r="NRP144" s="607"/>
      <c r="NRQ144" s="607"/>
      <c r="NRR144" s="607"/>
      <c r="NRS144" s="607"/>
      <c r="NRT144" s="607"/>
      <c r="NRU144" s="453"/>
      <c r="NRV144" s="289"/>
      <c r="NRW144" s="453"/>
      <c r="NRX144" s="453"/>
      <c r="NRY144" s="453"/>
      <c r="NRZ144" s="453"/>
      <c r="NSA144" s="453"/>
      <c r="NSB144" s="461"/>
      <c r="NSC144" s="461"/>
      <c r="NSD144" s="461"/>
      <c r="NSE144" s="609"/>
      <c r="NSF144" s="607"/>
      <c r="NSG144" s="607"/>
      <c r="NSH144" s="607"/>
      <c r="NSI144" s="463"/>
      <c r="NSJ144" s="454"/>
      <c r="NSK144" s="607"/>
      <c r="NSL144" s="607"/>
      <c r="NSM144" s="607"/>
      <c r="NSN144" s="607"/>
      <c r="NSO144" s="607"/>
      <c r="NSP144" s="453"/>
      <c r="NSQ144" s="289"/>
      <c r="NSR144" s="453"/>
      <c r="NSS144" s="453"/>
      <c r="NST144" s="453"/>
      <c r="NSU144" s="453"/>
      <c r="NSV144" s="453"/>
      <c r="NSW144" s="461"/>
      <c r="NSX144" s="461"/>
      <c r="NSY144" s="461"/>
      <c r="NSZ144" s="609"/>
      <c r="NTA144" s="607"/>
      <c r="NTB144" s="607"/>
      <c r="NTC144" s="607"/>
      <c r="NTD144" s="463"/>
      <c r="NTE144" s="454"/>
      <c r="NTF144" s="607"/>
      <c r="NTG144" s="607"/>
      <c r="NTH144" s="607"/>
      <c r="NTI144" s="607"/>
      <c r="NTJ144" s="607"/>
      <c r="NTK144" s="453"/>
      <c r="NTL144" s="289"/>
      <c r="NTM144" s="453"/>
      <c r="NTN144" s="453"/>
      <c r="NTO144" s="453"/>
      <c r="NTP144" s="453"/>
      <c r="NTQ144" s="453"/>
      <c r="NTR144" s="461"/>
      <c r="NTS144" s="461"/>
      <c r="NTT144" s="461"/>
      <c r="NTU144" s="609"/>
      <c r="NTV144" s="607"/>
      <c r="NTW144" s="607"/>
      <c r="NTX144" s="607"/>
      <c r="NTY144" s="463"/>
      <c r="NTZ144" s="454"/>
      <c r="NUA144" s="607"/>
      <c r="NUB144" s="607"/>
      <c r="NUC144" s="607"/>
      <c r="NUD144" s="607"/>
      <c r="NUE144" s="607"/>
      <c r="NUF144" s="453"/>
      <c r="NUG144" s="289"/>
      <c r="NUH144" s="453"/>
      <c r="NUI144" s="453"/>
      <c r="NUJ144" s="453"/>
      <c r="NUK144" s="453"/>
      <c r="NUL144" s="453"/>
      <c r="NUM144" s="461"/>
      <c r="NUN144" s="461"/>
      <c r="NUO144" s="461"/>
      <c r="NUP144" s="609"/>
      <c r="NUQ144" s="607"/>
      <c r="NUR144" s="607"/>
      <c r="NUS144" s="607"/>
      <c r="NUT144" s="463"/>
      <c r="NUU144" s="454"/>
      <c r="NUV144" s="607"/>
      <c r="NUW144" s="607"/>
      <c r="NUX144" s="607"/>
      <c r="NUY144" s="607"/>
      <c r="NUZ144" s="607"/>
      <c r="NVA144" s="453"/>
      <c r="NVB144" s="289"/>
      <c r="NVC144" s="453"/>
      <c r="NVD144" s="453"/>
      <c r="NVE144" s="453"/>
      <c r="NVF144" s="453"/>
      <c r="NVG144" s="453"/>
      <c r="NVH144" s="461"/>
      <c r="NVI144" s="461"/>
      <c r="NVJ144" s="461"/>
      <c r="NVK144" s="609"/>
      <c r="NVL144" s="607"/>
      <c r="NVM144" s="607"/>
      <c r="NVN144" s="607"/>
      <c r="NVO144" s="463"/>
      <c r="NVP144" s="454"/>
      <c r="NVQ144" s="607"/>
      <c r="NVR144" s="607"/>
      <c r="NVS144" s="607"/>
      <c r="NVT144" s="607"/>
      <c r="NVU144" s="607"/>
      <c r="NVV144" s="453"/>
      <c r="NVW144" s="289"/>
      <c r="NVX144" s="453"/>
      <c r="NVY144" s="453"/>
      <c r="NVZ144" s="453"/>
      <c r="NWA144" s="453"/>
      <c r="NWB144" s="453"/>
      <c r="NWC144" s="461"/>
      <c r="NWD144" s="461"/>
      <c r="NWE144" s="461"/>
      <c r="NWF144" s="609"/>
      <c r="NWG144" s="607"/>
      <c r="NWH144" s="607"/>
      <c r="NWI144" s="607"/>
      <c r="NWJ144" s="463"/>
      <c r="NWK144" s="454"/>
      <c r="NWL144" s="607"/>
      <c r="NWM144" s="607"/>
      <c r="NWN144" s="607"/>
      <c r="NWO144" s="607"/>
      <c r="NWP144" s="607"/>
      <c r="NWQ144" s="453"/>
      <c r="NWR144" s="289"/>
      <c r="NWS144" s="453"/>
      <c r="NWT144" s="453"/>
      <c r="NWU144" s="453"/>
      <c r="NWV144" s="453"/>
      <c r="NWW144" s="453"/>
      <c r="NWX144" s="461"/>
      <c r="NWY144" s="461"/>
      <c r="NWZ144" s="461"/>
      <c r="NXA144" s="609"/>
      <c r="NXB144" s="607"/>
      <c r="NXC144" s="607"/>
      <c r="NXD144" s="607"/>
      <c r="NXE144" s="463"/>
      <c r="NXF144" s="454"/>
      <c r="NXG144" s="607"/>
      <c r="NXH144" s="607"/>
      <c r="NXI144" s="607"/>
      <c r="NXJ144" s="607"/>
      <c r="NXK144" s="607"/>
      <c r="NXL144" s="453"/>
      <c r="NXM144" s="289"/>
      <c r="NXN144" s="453"/>
      <c r="NXO144" s="453"/>
      <c r="NXP144" s="453"/>
      <c r="NXQ144" s="453"/>
      <c r="NXR144" s="453"/>
      <c r="NXS144" s="461"/>
      <c r="NXT144" s="461"/>
      <c r="NXU144" s="461"/>
      <c r="NXV144" s="609"/>
      <c r="NXW144" s="607"/>
      <c r="NXX144" s="607"/>
      <c r="NXY144" s="607"/>
      <c r="NXZ144" s="463"/>
      <c r="NYA144" s="454"/>
      <c r="NYB144" s="607"/>
      <c r="NYC144" s="607"/>
      <c r="NYD144" s="607"/>
      <c r="NYE144" s="607"/>
      <c r="NYF144" s="607"/>
      <c r="NYG144" s="453"/>
      <c r="NYH144" s="289"/>
      <c r="NYI144" s="453"/>
      <c r="NYJ144" s="453"/>
      <c r="NYK144" s="453"/>
      <c r="NYL144" s="453"/>
      <c r="NYM144" s="453"/>
      <c r="NYN144" s="461"/>
      <c r="NYO144" s="461"/>
      <c r="NYP144" s="461"/>
      <c r="NYQ144" s="609"/>
      <c r="NYR144" s="607"/>
      <c r="NYS144" s="607"/>
      <c r="NYT144" s="607"/>
      <c r="NYU144" s="463"/>
      <c r="NYV144" s="454"/>
      <c r="NYW144" s="607"/>
      <c r="NYX144" s="607"/>
      <c r="NYY144" s="607"/>
      <c r="NYZ144" s="607"/>
      <c r="NZA144" s="607"/>
      <c r="NZB144" s="453"/>
      <c r="NZC144" s="289"/>
      <c r="NZD144" s="453"/>
      <c r="NZE144" s="453"/>
      <c r="NZF144" s="453"/>
      <c r="NZG144" s="453"/>
      <c r="NZH144" s="453"/>
      <c r="NZI144" s="461"/>
      <c r="NZJ144" s="461"/>
      <c r="NZK144" s="461"/>
      <c r="NZL144" s="609"/>
      <c r="NZM144" s="607"/>
      <c r="NZN144" s="607"/>
      <c r="NZO144" s="607"/>
      <c r="NZP144" s="463"/>
      <c r="NZQ144" s="454"/>
      <c r="NZR144" s="607"/>
      <c r="NZS144" s="607"/>
      <c r="NZT144" s="607"/>
      <c r="NZU144" s="607"/>
      <c r="NZV144" s="607"/>
      <c r="NZW144" s="453"/>
      <c r="NZX144" s="289"/>
      <c r="NZY144" s="453"/>
      <c r="NZZ144" s="453"/>
      <c r="OAA144" s="453"/>
      <c r="OAB144" s="453"/>
      <c r="OAC144" s="453"/>
      <c r="OAD144" s="461"/>
      <c r="OAE144" s="461"/>
      <c r="OAF144" s="461"/>
      <c r="OAG144" s="609"/>
      <c r="OAH144" s="607"/>
      <c r="OAI144" s="607"/>
      <c r="OAJ144" s="607"/>
      <c r="OAK144" s="463"/>
      <c r="OAL144" s="454"/>
      <c r="OAM144" s="607"/>
      <c r="OAN144" s="607"/>
      <c r="OAO144" s="607"/>
      <c r="OAP144" s="607"/>
      <c r="OAQ144" s="607"/>
      <c r="OAR144" s="453"/>
      <c r="OAS144" s="289"/>
      <c r="OAT144" s="453"/>
      <c r="OAU144" s="453"/>
      <c r="OAV144" s="453"/>
      <c r="OAW144" s="453"/>
      <c r="OAX144" s="453"/>
      <c r="OAY144" s="461"/>
      <c r="OAZ144" s="461"/>
      <c r="OBA144" s="461"/>
      <c r="OBB144" s="609"/>
      <c r="OBC144" s="607"/>
      <c r="OBD144" s="607"/>
      <c r="OBE144" s="607"/>
      <c r="OBF144" s="463"/>
      <c r="OBG144" s="454"/>
      <c r="OBH144" s="607"/>
      <c r="OBI144" s="607"/>
      <c r="OBJ144" s="607"/>
      <c r="OBK144" s="607"/>
      <c r="OBL144" s="607"/>
      <c r="OBM144" s="453"/>
      <c r="OBN144" s="289"/>
      <c r="OBO144" s="453"/>
      <c r="OBP144" s="453"/>
      <c r="OBQ144" s="453"/>
      <c r="OBR144" s="453"/>
      <c r="OBS144" s="453"/>
      <c r="OBT144" s="461"/>
      <c r="OBU144" s="461"/>
      <c r="OBV144" s="461"/>
      <c r="OBW144" s="609"/>
      <c r="OBX144" s="607"/>
      <c r="OBY144" s="607"/>
      <c r="OBZ144" s="607"/>
      <c r="OCA144" s="463"/>
      <c r="OCB144" s="454"/>
      <c r="OCC144" s="607"/>
      <c r="OCD144" s="607"/>
      <c r="OCE144" s="607"/>
      <c r="OCF144" s="607"/>
      <c r="OCG144" s="607"/>
      <c r="OCH144" s="453"/>
      <c r="OCI144" s="289"/>
      <c r="OCJ144" s="453"/>
      <c r="OCK144" s="453"/>
      <c r="OCL144" s="453"/>
      <c r="OCM144" s="453"/>
      <c r="OCN144" s="453"/>
      <c r="OCO144" s="461"/>
      <c r="OCP144" s="461"/>
      <c r="OCQ144" s="461"/>
      <c r="OCR144" s="609"/>
      <c r="OCS144" s="607"/>
      <c r="OCT144" s="607"/>
      <c r="OCU144" s="607"/>
      <c r="OCV144" s="463"/>
      <c r="OCW144" s="454"/>
      <c r="OCX144" s="607"/>
      <c r="OCY144" s="607"/>
      <c r="OCZ144" s="607"/>
      <c r="ODA144" s="607"/>
      <c r="ODB144" s="607"/>
      <c r="ODC144" s="453"/>
      <c r="ODD144" s="289"/>
      <c r="ODE144" s="453"/>
      <c r="ODF144" s="453"/>
      <c r="ODG144" s="453"/>
      <c r="ODH144" s="453"/>
      <c r="ODI144" s="453"/>
      <c r="ODJ144" s="461"/>
      <c r="ODK144" s="461"/>
      <c r="ODL144" s="461"/>
      <c r="ODM144" s="609"/>
      <c r="ODN144" s="607"/>
      <c r="ODO144" s="607"/>
      <c r="ODP144" s="607"/>
      <c r="ODQ144" s="463"/>
      <c r="ODR144" s="454"/>
      <c r="ODS144" s="607"/>
      <c r="ODT144" s="607"/>
      <c r="ODU144" s="607"/>
      <c r="ODV144" s="607"/>
      <c r="ODW144" s="607"/>
      <c r="ODX144" s="453"/>
      <c r="ODY144" s="289"/>
      <c r="ODZ144" s="453"/>
      <c r="OEA144" s="453"/>
      <c r="OEB144" s="453"/>
      <c r="OEC144" s="453"/>
      <c r="OED144" s="453"/>
      <c r="OEE144" s="461"/>
      <c r="OEF144" s="461"/>
      <c r="OEG144" s="461"/>
      <c r="OEH144" s="609"/>
      <c r="OEI144" s="607"/>
      <c r="OEJ144" s="607"/>
      <c r="OEK144" s="607"/>
      <c r="OEL144" s="463"/>
      <c r="OEM144" s="454"/>
      <c r="OEN144" s="607"/>
      <c r="OEO144" s="607"/>
      <c r="OEP144" s="607"/>
      <c r="OEQ144" s="607"/>
      <c r="OER144" s="607"/>
      <c r="OES144" s="453"/>
      <c r="OET144" s="289"/>
      <c r="OEU144" s="453"/>
      <c r="OEV144" s="453"/>
      <c r="OEW144" s="453"/>
      <c r="OEX144" s="453"/>
      <c r="OEY144" s="453"/>
      <c r="OEZ144" s="461"/>
      <c r="OFA144" s="461"/>
      <c r="OFB144" s="461"/>
      <c r="OFC144" s="609"/>
      <c r="OFD144" s="607"/>
      <c r="OFE144" s="607"/>
      <c r="OFF144" s="607"/>
      <c r="OFG144" s="463"/>
      <c r="OFH144" s="454"/>
      <c r="OFI144" s="607"/>
      <c r="OFJ144" s="607"/>
      <c r="OFK144" s="607"/>
      <c r="OFL144" s="607"/>
      <c r="OFM144" s="607"/>
      <c r="OFN144" s="453"/>
      <c r="OFO144" s="289"/>
      <c r="OFP144" s="453"/>
      <c r="OFQ144" s="453"/>
      <c r="OFR144" s="453"/>
      <c r="OFS144" s="453"/>
      <c r="OFT144" s="453"/>
      <c r="OFU144" s="461"/>
      <c r="OFV144" s="461"/>
      <c r="OFW144" s="461"/>
      <c r="OFX144" s="609"/>
      <c r="OFY144" s="607"/>
      <c r="OFZ144" s="607"/>
      <c r="OGA144" s="607"/>
      <c r="OGB144" s="463"/>
      <c r="OGC144" s="454"/>
      <c r="OGD144" s="607"/>
      <c r="OGE144" s="607"/>
      <c r="OGF144" s="607"/>
      <c r="OGG144" s="607"/>
      <c r="OGH144" s="607"/>
      <c r="OGI144" s="453"/>
      <c r="OGJ144" s="289"/>
      <c r="OGK144" s="453"/>
      <c r="OGL144" s="453"/>
      <c r="OGM144" s="453"/>
      <c r="OGN144" s="453"/>
      <c r="OGO144" s="453"/>
      <c r="OGP144" s="461"/>
      <c r="OGQ144" s="461"/>
      <c r="OGR144" s="461"/>
      <c r="OGS144" s="609"/>
      <c r="OGT144" s="607"/>
      <c r="OGU144" s="607"/>
      <c r="OGV144" s="607"/>
      <c r="OGW144" s="463"/>
      <c r="OGX144" s="454"/>
      <c r="OGY144" s="607"/>
      <c r="OGZ144" s="607"/>
      <c r="OHA144" s="607"/>
      <c r="OHB144" s="607"/>
      <c r="OHC144" s="607"/>
      <c r="OHD144" s="453"/>
      <c r="OHE144" s="289"/>
      <c r="OHF144" s="453"/>
      <c r="OHG144" s="453"/>
      <c r="OHH144" s="453"/>
      <c r="OHI144" s="453"/>
      <c r="OHJ144" s="453"/>
      <c r="OHK144" s="461"/>
      <c r="OHL144" s="461"/>
      <c r="OHM144" s="461"/>
      <c r="OHN144" s="609"/>
      <c r="OHO144" s="607"/>
      <c r="OHP144" s="607"/>
      <c r="OHQ144" s="607"/>
      <c r="OHR144" s="463"/>
      <c r="OHS144" s="454"/>
      <c r="OHT144" s="607"/>
      <c r="OHU144" s="607"/>
      <c r="OHV144" s="607"/>
      <c r="OHW144" s="607"/>
      <c r="OHX144" s="607"/>
      <c r="OHY144" s="453"/>
      <c r="OHZ144" s="289"/>
      <c r="OIA144" s="453"/>
      <c r="OIB144" s="453"/>
      <c r="OIC144" s="453"/>
      <c r="OID144" s="453"/>
      <c r="OIE144" s="453"/>
      <c r="OIF144" s="461"/>
      <c r="OIG144" s="461"/>
      <c r="OIH144" s="461"/>
      <c r="OII144" s="609"/>
      <c r="OIJ144" s="607"/>
      <c r="OIK144" s="607"/>
      <c r="OIL144" s="607"/>
      <c r="OIM144" s="463"/>
      <c r="OIN144" s="454"/>
      <c r="OIO144" s="607"/>
      <c r="OIP144" s="607"/>
      <c r="OIQ144" s="607"/>
      <c r="OIR144" s="607"/>
      <c r="OIS144" s="607"/>
      <c r="OIT144" s="453"/>
      <c r="OIU144" s="289"/>
      <c r="OIV144" s="453"/>
      <c r="OIW144" s="453"/>
      <c r="OIX144" s="453"/>
      <c r="OIY144" s="453"/>
      <c r="OIZ144" s="453"/>
      <c r="OJA144" s="461"/>
      <c r="OJB144" s="461"/>
      <c r="OJC144" s="461"/>
      <c r="OJD144" s="609"/>
      <c r="OJE144" s="607"/>
      <c r="OJF144" s="607"/>
      <c r="OJG144" s="607"/>
      <c r="OJH144" s="463"/>
      <c r="OJI144" s="454"/>
      <c r="OJJ144" s="607"/>
      <c r="OJK144" s="607"/>
      <c r="OJL144" s="607"/>
      <c r="OJM144" s="607"/>
      <c r="OJN144" s="607"/>
      <c r="OJO144" s="453"/>
      <c r="OJP144" s="289"/>
      <c r="OJQ144" s="453"/>
      <c r="OJR144" s="453"/>
      <c r="OJS144" s="453"/>
      <c r="OJT144" s="453"/>
      <c r="OJU144" s="453"/>
      <c r="OJV144" s="461"/>
      <c r="OJW144" s="461"/>
      <c r="OJX144" s="461"/>
      <c r="OJY144" s="609"/>
      <c r="OJZ144" s="607"/>
      <c r="OKA144" s="607"/>
      <c r="OKB144" s="607"/>
      <c r="OKC144" s="463"/>
      <c r="OKD144" s="454"/>
      <c r="OKE144" s="607"/>
      <c r="OKF144" s="607"/>
      <c r="OKG144" s="607"/>
      <c r="OKH144" s="607"/>
      <c r="OKI144" s="607"/>
      <c r="OKJ144" s="453"/>
      <c r="OKK144" s="289"/>
      <c r="OKL144" s="453"/>
      <c r="OKM144" s="453"/>
      <c r="OKN144" s="453"/>
      <c r="OKO144" s="453"/>
      <c r="OKP144" s="453"/>
      <c r="OKQ144" s="461"/>
      <c r="OKR144" s="461"/>
      <c r="OKS144" s="461"/>
      <c r="OKT144" s="609"/>
      <c r="OKU144" s="607"/>
      <c r="OKV144" s="607"/>
      <c r="OKW144" s="607"/>
      <c r="OKX144" s="463"/>
      <c r="OKY144" s="454"/>
      <c r="OKZ144" s="607"/>
      <c r="OLA144" s="607"/>
      <c r="OLB144" s="607"/>
      <c r="OLC144" s="607"/>
      <c r="OLD144" s="607"/>
      <c r="OLE144" s="453"/>
      <c r="OLF144" s="289"/>
      <c r="OLG144" s="453"/>
      <c r="OLH144" s="453"/>
      <c r="OLI144" s="453"/>
      <c r="OLJ144" s="453"/>
      <c r="OLK144" s="453"/>
      <c r="OLL144" s="461"/>
      <c r="OLM144" s="461"/>
      <c r="OLN144" s="461"/>
      <c r="OLO144" s="609"/>
      <c r="OLP144" s="607"/>
      <c r="OLQ144" s="607"/>
      <c r="OLR144" s="607"/>
      <c r="OLS144" s="463"/>
      <c r="OLT144" s="454"/>
      <c r="OLU144" s="607"/>
      <c r="OLV144" s="607"/>
      <c r="OLW144" s="607"/>
      <c r="OLX144" s="607"/>
      <c r="OLY144" s="607"/>
      <c r="OLZ144" s="453"/>
      <c r="OMA144" s="289"/>
      <c r="OMB144" s="453"/>
      <c r="OMC144" s="453"/>
      <c r="OMD144" s="453"/>
      <c r="OME144" s="453"/>
      <c r="OMF144" s="453"/>
      <c r="OMG144" s="461"/>
      <c r="OMH144" s="461"/>
      <c r="OMI144" s="461"/>
      <c r="OMJ144" s="609"/>
      <c r="OMK144" s="607"/>
      <c r="OML144" s="607"/>
      <c r="OMM144" s="607"/>
      <c r="OMN144" s="463"/>
      <c r="OMO144" s="454"/>
      <c r="OMP144" s="607"/>
      <c r="OMQ144" s="607"/>
      <c r="OMR144" s="607"/>
      <c r="OMS144" s="607"/>
      <c r="OMT144" s="607"/>
      <c r="OMU144" s="453"/>
      <c r="OMV144" s="289"/>
      <c r="OMW144" s="453"/>
      <c r="OMX144" s="453"/>
      <c r="OMY144" s="453"/>
      <c r="OMZ144" s="453"/>
      <c r="ONA144" s="453"/>
      <c r="ONB144" s="461"/>
      <c r="ONC144" s="461"/>
      <c r="OND144" s="461"/>
      <c r="ONE144" s="609"/>
      <c r="ONF144" s="607"/>
      <c r="ONG144" s="607"/>
      <c r="ONH144" s="607"/>
      <c r="ONI144" s="463"/>
      <c r="ONJ144" s="454"/>
      <c r="ONK144" s="607"/>
      <c r="ONL144" s="607"/>
      <c r="ONM144" s="607"/>
      <c r="ONN144" s="607"/>
      <c r="ONO144" s="607"/>
      <c r="ONP144" s="453"/>
      <c r="ONQ144" s="289"/>
      <c r="ONR144" s="453"/>
      <c r="ONS144" s="453"/>
      <c r="ONT144" s="453"/>
      <c r="ONU144" s="453"/>
      <c r="ONV144" s="453"/>
      <c r="ONW144" s="461"/>
      <c r="ONX144" s="461"/>
      <c r="ONY144" s="461"/>
      <c r="ONZ144" s="609"/>
      <c r="OOA144" s="607"/>
      <c r="OOB144" s="607"/>
      <c r="OOC144" s="607"/>
      <c r="OOD144" s="463"/>
      <c r="OOE144" s="454"/>
      <c r="OOF144" s="607"/>
      <c r="OOG144" s="607"/>
      <c r="OOH144" s="607"/>
      <c r="OOI144" s="607"/>
      <c r="OOJ144" s="607"/>
      <c r="OOK144" s="453"/>
      <c r="OOL144" s="289"/>
      <c r="OOM144" s="453"/>
      <c r="OON144" s="453"/>
      <c r="OOO144" s="453"/>
      <c r="OOP144" s="453"/>
      <c r="OOQ144" s="453"/>
      <c r="OOR144" s="461"/>
      <c r="OOS144" s="461"/>
      <c r="OOT144" s="461"/>
      <c r="OOU144" s="609"/>
      <c r="OOV144" s="607"/>
      <c r="OOW144" s="607"/>
      <c r="OOX144" s="607"/>
      <c r="OOY144" s="463"/>
      <c r="OOZ144" s="454"/>
      <c r="OPA144" s="607"/>
      <c r="OPB144" s="607"/>
      <c r="OPC144" s="607"/>
      <c r="OPD144" s="607"/>
      <c r="OPE144" s="607"/>
      <c r="OPF144" s="453"/>
      <c r="OPG144" s="289"/>
      <c r="OPH144" s="453"/>
      <c r="OPI144" s="453"/>
      <c r="OPJ144" s="453"/>
      <c r="OPK144" s="453"/>
      <c r="OPL144" s="453"/>
      <c r="OPM144" s="461"/>
      <c r="OPN144" s="461"/>
      <c r="OPO144" s="461"/>
      <c r="OPP144" s="609"/>
      <c r="OPQ144" s="607"/>
      <c r="OPR144" s="607"/>
      <c r="OPS144" s="607"/>
      <c r="OPT144" s="463"/>
      <c r="OPU144" s="454"/>
      <c r="OPV144" s="607"/>
      <c r="OPW144" s="607"/>
      <c r="OPX144" s="607"/>
      <c r="OPY144" s="607"/>
      <c r="OPZ144" s="607"/>
      <c r="OQA144" s="453"/>
      <c r="OQB144" s="289"/>
      <c r="OQC144" s="453"/>
      <c r="OQD144" s="453"/>
      <c r="OQE144" s="453"/>
      <c r="OQF144" s="453"/>
      <c r="OQG144" s="453"/>
      <c r="OQH144" s="461"/>
      <c r="OQI144" s="461"/>
      <c r="OQJ144" s="461"/>
      <c r="OQK144" s="609"/>
      <c r="OQL144" s="607"/>
      <c r="OQM144" s="607"/>
      <c r="OQN144" s="607"/>
      <c r="OQO144" s="463"/>
      <c r="OQP144" s="454"/>
      <c r="OQQ144" s="607"/>
      <c r="OQR144" s="607"/>
      <c r="OQS144" s="607"/>
      <c r="OQT144" s="607"/>
      <c r="OQU144" s="607"/>
      <c r="OQV144" s="453"/>
      <c r="OQW144" s="289"/>
      <c r="OQX144" s="453"/>
      <c r="OQY144" s="453"/>
      <c r="OQZ144" s="453"/>
      <c r="ORA144" s="453"/>
      <c r="ORB144" s="453"/>
      <c r="ORC144" s="461"/>
      <c r="ORD144" s="461"/>
      <c r="ORE144" s="461"/>
      <c r="ORF144" s="609"/>
      <c r="ORG144" s="607"/>
      <c r="ORH144" s="607"/>
      <c r="ORI144" s="607"/>
      <c r="ORJ144" s="463"/>
      <c r="ORK144" s="454"/>
      <c r="ORL144" s="607"/>
      <c r="ORM144" s="607"/>
      <c r="ORN144" s="607"/>
      <c r="ORO144" s="607"/>
      <c r="ORP144" s="607"/>
      <c r="ORQ144" s="453"/>
      <c r="ORR144" s="289"/>
      <c r="ORS144" s="453"/>
      <c r="ORT144" s="453"/>
      <c r="ORU144" s="453"/>
      <c r="ORV144" s="453"/>
      <c r="ORW144" s="453"/>
      <c r="ORX144" s="461"/>
      <c r="ORY144" s="461"/>
      <c r="ORZ144" s="461"/>
      <c r="OSA144" s="609"/>
      <c r="OSB144" s="607"/>
      <c r="OSC144" s="607"/>
      <c r="OSD144" s="607"/>
      <c r="OSE144" s="463"/>
      <c r="OSF144" s="454"/>
      <c r="OSG144" s="607"/>
      <c r="OSH144" s="607"/>
      <c r="OSI144" s="607"/>
      <c r="OSJ144" s="607"/>
      <c r="OSK144" s="607"/>
      <c r="OSL144" s="453"/>
      <c r="OSM144" s="289"/>
      <c r="OSN144" s="453"/>
      <c r="OSO144" s="453"/>
      <c r="OSP144" s="453"/>
      <c r="OSQ144" s="453"/>
      <c r="OSR144" s="453"/>
      <c r="OSS144" s="461"/>
      <c r="OST144" s="461"/>
      <c r="OSU144" s="461"/>
      <c r="OSV144" s="609"/>
      <c r="OSW144" s="607"/>
      <c r="OSX144" s="607"/>
      <c r="OSY144" s="607"/>
      <c r="OSZ144" s="463"/>
      <c r="OTA144" s="454"/>
      <c r="OTB144" s="607"/>
      <c r="OTC144" s="607"/>
      <c r="OTD144" s="607"/>
      <c r="OTE144" s="607"/>
      <c r="OTF144" s="607"/>
      <c r="OTG144" s="453"/>
      <c r="OTH144" s="289"/>
      <c r="OTI144" s="453"/>
      <c r="OTJ144" s="453"/>
      <c r="OTK144" s="453"/>
      <c r="OTL144" s="453"/>
      <c r="OTM144" s="453"/>
      <c r="OTN144" s="461"/>
      <c r="OTO144" s="461"/>
      <c r="OTP144" s="461"/>
      <c r="OTQ144" s="609"/>
      <c r="OTR144" s="607"/>
      <c r="OTS144" s="607"/>
      <c r="OTT144" s="607"/>
      <c r="OTU144" s="463"/>
      <c r="OTV144" s="454"/>
      <c r="OTW144" s="607"/>
      <c r="OTX144" s="607"/>
      <c r="OTY144" s="607"/>
      <c r="OTZ144" s="607"/>
      <c r="OUA144" s="607"/>
      <c r="OUB144" s="453"/>
      <c r="OUC144" s="289"/>
      <c r="OUD144" s="453"/>
      <c r="OUE144" s="453"/>
      <c r="OUF144" s="453"/>
      <c r="OUG144" s="453"/>
      <c r="OUH144" s="453"/>
      <c r="OUI144" s="461"/>
      <c r="OUJ144" s="461"/>
      <c r="OUK144" s="461"/>
      <c r="OUL144" s="609"/>
      <c r="OUM144" s="607"/>
      <c r="OUN144" s="607"/>
      <c r="OUO144" s="607"/>
      <c r="OUP144" s="463"/>
      <c r="OUQ144" s="454"/>
      <c r="OUR144" s="607"/>
      <c r="OUS144" s="607"/>
      <c r="OUT144" s="607"/>
      <c r="OUU144" s="607"/>
      <c r="OUV144" s="607"/>
      <c r="OUW144" s="453"/>
      <c r="OUX144" s="289"/>
      <c r="OUY144" s="453"/>
      <c r="OUZ144" s="453"/>
      <c r="OVA144" s="453"/>
      <c r="OVB144" s="453"/>
      <c r="OVC144" s="453"/>
      <c r="OVD144" s="461"/>
      <c r="OVE144" s="461"/>
      <c r="OVF144" s="461"/>
      <c r="OVG144" s="609"/>
      <c r="OVH144" s="607"/>
      <c r="OVI144" s="607"/>
      <c r="OVJ144" s="607"/>
      <c r="OVK144" s="463"/>
      <c r="OVL144" s="454"/>
      <c r="OVM144" s="607"/>
      <c r="OVN144" s="607"/>
      <c r="OVO144" s="607"/>
      <c r="OVP144" s="607"/>
      <c r="OVQ144" s="607"/>
      <c r="OVR144" s="453"/>
      <c r="OVS144" s="289"/>
      <c r="OVT144" s="453"/>
      <c r="OVU144" s="453"/>
      <c r="OVV144" s="453"/>
      <c r="OVW144" s="453"/>
      <c r="OVX144" s="453"/>
      <c r="OVY144" s="461"/>
      <c r="OVZ144" s="461"/>
      <c r="OWA144" s="461"/>
      <c r="OWB144" s="609"/>
      <c r="OWC144" s="607"/>
      <c r="OWD144" s="607"/>
      <c r="OWE144" s="607"/>
      <c r="OWF144" s="463"/>
      <c r="OWG144" s="454"/>
      <c r="OWH144" s="607"/>
      <c r="OWI144" s="607"/>
      <c r="OWJ144" s="607"/>
      <c r="OWK144" s="607"/>
      <c r="OWL144" s="607"/>
      <c r="OWM144" s="453"/>
      <c r="OWN144" s="289"/>
      <c r="OWO144" s="453"/>
      <c r="OWP144" s="453"/>
      <c r="OWQ144" s="453"/>
      <c r="OWR144" s="453"/>
      <c r="OWS144" s="453"/>
      <c r="OWT144" s="461"/>
      <c r="OWU144" s="461"/>
      <c r="OWV144" s="461"/>
      <c r="OWW144" s="609"/>
      <c r="OWX144" s="607"/>
      <c r="OWY144" s="607"/>
      <c r="OWZ144" s="607"/>
      <c r="OXA144" s="463"/>
      <c r="OXB144" s="454"/>
      <c r="OXC144" s="607"/>
      <c r="OXD144" s="607"/>
      <c r="OXE144" s="607"/>
      <c r="OXF144" s="607"/>
      <c r="OXG144" s="607"/>
      <c r="OXH144" s="453"/>
      <c r="OXI144" s="289"/>
      <c r="OXJ144" s="453"/>
      <c r="OXK144" s="453"/>
      <c r="OXL144" s="453"/>
      <c r="OXM144" s="453"/>
      <c r="OXN144" s="453"/>
      <c r="OXO144" s="461"/>
      <c r="OXP144" s="461"/>
      <c r="OXQ144" s="461"/>
      <c r="OXR144" s="609"/>
      <c r="OXS144" s="607"/>
      <c r="OXT144" s="607"/>
      <c r="OXU144" s="607"/>
      <c r="OXV144" s="463"/>
      <c r="OXW144" s="454"/>
      <c r="OXX144" s="607"/>
      <c r="OXY144" s="607"/>
      <c r="OXZ144" s="607"/>
      <c r="OYA144" s="607"/>
      <c r="OYB144" s="607"/>
      <c r="OYC144" s="453"/>
      <c r="OYD144" s="289"/>
      <c r="OYE144" s="453"/>
      <c r="OYF144" s="453"/>
      <c r="OYG144" s="453"/>
      <c r="OYH144" s="453"/>
      <c r="OYI144" s="453"/>
      <c r="OYJ144" s="461"/>
      <c r="OYK144" s="461"/>
      <c r="OYL144" s="461"/>
      <c r="OYM144" s="609"/>
      <c r="OYN144" s="607"/>
      <c r="OYO144" s="607"/>
      <c r="OYP144" s="607"/>
      <c r="OYQ144" s="463"/>
      <c r="OYR144" s="454"/>
      <c r="OYS144" s="607"/>
      <c r="OYT144" s="607"/>
      <c r="OYU144" s="607"/>
      <c r="OYV144" s="607"/>
      <c r="OYW144" s="607"/>
      <c r="OYX144" s="453"/>
      <c r="OYY144" s="289"/>
      <c r="OYZ144" s="453"/>
      <c r="OZA144" s="453"/>
      <c r="OZB144" s="453"/>
      <c r="OZC144" s="453"/>
      <c r="OZD144" s="453"/>
      <c r="OZE144" s="461"/>
      <c r="OZF144" s="461"/>
      <c r="OZG144" s="461"/>
      <c r="OZH144" s="609"/>
      <c r="OZI144" s="607"/>
      <c r="OZJ144" s="607"/>
      <c r="OZK144" s="607"/>
      <c r="OZL144" s="463"/>
      <c r="OZM144" s="454"/>
      <c r="OZN144" s="607"/>
      <c r="OZO144" s="607"/>
      <c r="OZP144" s="607"/>
      <c r="OZQ144" s="607"/>
      <c r="OZR144" s="607"/>
      <c r="OZS144" s="453"/>
      <c r="OZT144" s="289"/>
      <c r="OZU144" s="453"/>
      <c r="OZV144" s="453"/>
      <c r="OZW144" s="453"/>
      <c r="OZX144" s="453"/>
      <c r="OZY144" s="453"/>
      <c r="OZZ144" s="461"/>
      <c r="PAA144" s="461"/>
      <c r="PAB144" s="461"/>
      <c r="PAC144" s="609"/>
      <c r="PAD144" s="607"/>
      <c r="PAE144" s="607"/>
      <c r="PAF144" s="607"/>
      <c r="PAG144" s="463"/>
      <c r="PAH144" s="454"/>
      <c r="PAI144" s="607"/>
      <c r="PAJ144" s="607"/>
      <c r="PAK144" s="607"/>
      <c r="PAL144" s="607"/>
      <c r="PAM144" s="607"/>
      <c r="PAN144" s="453"/>
      <c r="PAO144" s="289"/>
      <c r="PAP144" s="453"/>
      <c r="PAQ144" s="453"/>
      <c r="PAR144" s="453"/>
      <c r="PAS144" s="453"/>
      <c r="PAT144" s="453"/>
      <c r="PAU144" s="461"/>
      <c r="PAV144" s="461"/>
      <c r="PAW144" s="461"/>
      <c r="PAX144" s="609"/>
      <c r="PAY144" s="607"/>
      <c r="PAZ144" s="607"/>
      <c r="PBA144" s="607"/>
      <c r="PBB144" s="463"/>
      <c r="PBC144" s="454"/>
      <c r="PBD144" s="607"/>
      <c r="PBE144" s="607"/>
      <c r="PBF144" s="607"/>
      <c r="PBG144" s="607"/>
      <c r="PBH144" s="607"/>
      <c r="PBI144" s="453"/>
      <c r="PBJ144" s="289"/>
      <c r="PBK144" s="453"/>
      <c r="PBL144" s="453"/>
      <c r="PBM144" s="453"/>
      <c r="PBN144" s="453"/>
      <c r="PBO144" s="453"/>
      <c r="PBP144" s="461"/>
      <c r="PBQ144" s="461"/>
      <c r="PBR144" s="461"/>
      <c r="PBS144" s="609"/>
      <c r="PBT144" s="607"/>
      <c r="PBU144" s="607"/>
      <c r="PBV144" s="607"/>
      <c r="PBW144" s="463"/>
      <c r="PBX144" s="454"/>
      <c r="PBY144" s="607"/>
      <c r="PBZ144" s="607"/>
      <c r="PCA144" s="607"/>
      <c r="PCB144" s="607"/>
      <c r="PCC144" s="607"/>
      <c r="PCD144" s="453"/>
      <c r="PCE144" s="289"/>
      <c r="PCF144" s="453"/>
      <c r="PCG144" s="453"/>
      <c r="PCH144" s="453"/>
      <c r="PCI144" s="453"/>
      <c r="PCJ144" s="453"/>
      <c r="PCK144" s="461"/>
      <c r="PCL144" s="461"/>
      <c r="PCM144" s="461"/>
      <c r="PCN144" s="609"/>
      <c r="PCO144" s="607"/>
      <c r="PCP144" s="607"/>
      <c r="PCQ144" s="607"/>
      <c r="PCR144" s="463"/>
      <c r="PCS144" s="454"/>
      <c r="PCT144" s="607"/>
      <c r="PCU144" s="607"/>
      <c r="PCV144" s="607"/>
      <c r="PCW144" s="607"/>
      <c r="PCX144" s="607"/>
      <c r="PCY144" s="453"/>
      <c r="PCZ144" s="289"/>
      <c r="PDA144" s="453"/>
      <c r="PDB144" s="453"/>
      <c r="PDC144" s="453"/>
      <c r="PDD144" s="453"/>
      <c r="PDE144" s="453"/>
      <c r="PDF144" s="461"/>
      <c r="PDG144" s="461"/>
      <c r="PDH144" s="461"/>
      <c r="PDI144" s="609"/>
      <c r="PDJ144" s="607"/>
      <c r="PDK144" s="607"/>
      <c r="PDL144" s="607"/>
      <c r="PDM144" s="463"/>
      <c r="PDN144" s="454"/>
      <c r="PDO144" s="607"/>
      <c r="PDP144" s="607"/>
      <c r="PDQ144" s="607"/>
      <c r="PDR144" s="607"/>
      <c r="PDS144" s="607"/>
      <c r="PDT144" s="453"/>
      <c r="PDU144" s="289"/>
      <c r="PDV144" s="453"/>
      <c r="PDW144" s="453"/>
      <c r="PDX144" s="453"/>
      <c r="PDY144" s="453"/>
      <c r="PDZ144" s="453"/>
      <c r="PEA144" s="461"/>
      <c r="PEB144" s="461"/>
      <c r="PEC144" s="461"/>
      <c r="PED144" s="609"/>
      <c r="PEE144" s="607"/>
      <c r="PEF144" s="607"/>
      <c r="PEG144" s="607"/>
      <c r="PEH144" s="463"/>
      <c r="PEI144" s="454"/>
      <c r="PEJ144" s="607"/>
      <c r="PEK144" s="607"/>
      <c r="PEL144" s="607"/>
      <c r="PEM144" s="607"/>
      <c r="PEN144" s="607"/>
      <c r="PEO144" s="453"/>
      <c r="PEP144" s="289"/>
      <c r="PEQ144" s="453"/>
      <c r="PER144" s="453"/>
      <c r="PES144" s="453"/>
      <c r="PET144" s="453"/>
      <c r="PEU144" s="453"/>
      <c r="PEV144" s="461"/>
      <c r="PEW144" s="461"/>
      <c r="PEX144" s="461"/>
      <c r="PEY144" s="609"/>
      <c r="PEZ144" s="607"/>
      <c r="PFA144" s="607"/>
      <c r="PFB144" s="607"/>
      <c r="PFC144" s="463"/>
      <c r="PFD144" s="454"/>
      <c r="PFE144" s="607"/>
      <c r="PFF144" s="607"/>
      <c r="PFG144" s="607"/>
      <c r="PFH144" s="607"/>
      <c r="PFI144" s="607"/>
      <c r="PFJ144" s="453"/>
      <c r="PFK144" s="289"/>
      <c r="PFL144" s="453"/>
      <c r="PFM144" s="453"/>
      <c r="PFN144" s="453"/>
      <c r="PFO144" s="453"/>
      <c r="PFP144" s="453"/>
      <c r="PFQ144" s="461"/>
      <c r="PFR144" s="461"/>
      <c r="PFS144" s="461"/>
      <c r="PFT144" s="609"/>
      <c r="PFU144" s="607"/>
      <c r="PFV144" s="607"/>
      <c r="PFW144" s="607"/>
      <c r="PFX144" s="463"/>
      <c r="PFY144" s="454"/>
      <c r="PFZ144" s="607"/>
      <c r="PGA144" s="607"/>
      <c r="PGB144" s="607"/>
      <c r="PGC144" s="607"/>
      <c r="PGD144" s="607"/>
      <c r="PGE144" s="453"/>
      <c r="PGF144" s="289"/>
      <c r="PGG144" s="453"/>
      <c r="PGH144" s="453"/>
      <c r="PGI144" s="453"/>
      <c r="PGJ144" s="453"/>
      <c r="PGK144" s="453"/>
      <c r="PGL144" s="461"/>
      <c r="PGM144" s="461"/>
      <c r="PGN144" s="461"/>
      <c r="PGO144" s="609"/>
      <c r="PGP144" s="607"/>
      <c r="PGQ144" s="607"/>
      <c r="PGR144" s="607"/>
      <c r="PGS144" s="463"/>
      <c r="PGT144" s="454"/>
      <c r="PGU144" s="607"/>
      <c r="PGV144" s="607"/>
      <c r="PGW144" s="607"/>
      <c r="PGX144" s="607"/>
      <c r="PGY144" s="607"/>
      <c r="PGZ144" s="453"/>
      <c r="PHA144" s="289"/>
      <c r="PHB144" s="453"/>
      <c r="PHC144" s="453"/>
      <c r="PHD144" s="453"/>
      <c r="PHE144" s="453"/>
      <c r="PHF144" s="453"/>
      <c r="PHG144" s="461"/>
      <c r="PHH144" s="461"/>
      <c r="PHI144" s="461"/>
      <c r="PHJ144" s="609"/>
      <c r="PHK144" s="607"/>
      <c r="PHL144" s="607"/>
      <c r="PHM144" s="607"/>
      <c r="PHN144" s="463"/>
      <c r="PHO144" s="454"/>
      <c r="PHP144" s="607"/>
      <c r="PHQ144" s="607"/>
      <c r="PHR144" s="607"/>
      <c r="PHS144" s="607"/>
      <c r="PHT144" s="607"/>
      <c r="PHU144" s="453"/>
      <c r="PHV144" s="289"/>
      <c r="PHW144" s="453"/>
      <c r="PHX144" s="453"/>
      <c r="PHY144" s="453"/>
      <c r="PHZ144" s="453"/>
      <c r="PIA144" s="453"/>
      <c r="PIB144" s="461"/>
      <c r="PIC144" s="461"/>
      <c r="PID144" s="461"/>
      <c r="PIE144" s="609"/>
      <c r="PIF144" s="607"/>
      <c r="PIG144" s="607"/>
      <c r="PIH144" s="607"/>
      <c r="PII144" s="463"/>
      <c r="PIJ144" s="454"/>
      <c r="PIK144" s="607"/>
      <c r="PIL144" s="607"/>
      <c r="PIM144" s="607"/>
      <c r="PIN144" s="607"/>
      <c r="PIO144" s="607"/>
      <c r="PIP144" s="453"/>
      <c r="PIQ144" s="289"/>
      <c r="PIR144" s="453"/>
      <c r="PIS144" s="453"/>
      <c r="PIT144" s="453"/>
      <c r="PIU144" s="453"/>
      <c r="PIV144" s="453"/>
      <c r="PIW144" s="461"/>
      <c r="PIX144" s="461"/>
      <c r="PIY144" s="461"/>
      <c r="PIZ144" s="609"/>
      <c r="PJA144" s="607"/>
      <c r="PJB144" s="607"/>
      <c r="PJC144" s="607"/>
      <c r="PJD144" s="463"/>
      <c r="PJE144" s="454"/>
      <c r="PJF144" s="607"/>
      <c r="PJG144" s="607"/>
      <c r="PJH144" s="607"/>
      <c r="PJI144" s="607"/>
      <c r="PJJ144" s="607"/>
      <c r="PJK144" s="453"/>
      <c r="PJL144" s="289"/>
      <c r="PJM144" s="453"/>
      <c r="PJN144" s="453"/>
      <c r="PJO144" s="453"/>
      <c r="PJP144" s="453"/>
      <c r="PJQ144" s="453"/>
      <c r="PJR144" s="461"/>
      <c r="PJS144" s="461"/>
      <c r="PJT144" s="461"/>
      <c r="PJU144" s="609"/>
      <c r="PJV144" s="607"/>
      <c r="PJW144" s="607"/>
      <c r="PJX144" s="607"/>
      <c r="PJY144" s="463"/>
      <c r="PJZ144" s="454"/>
      <c r="PKA144" s="607"/>
      <c r="PKB144" s="607"/>
      <c r="PKC144" s="607"/>
      <c r="PKD144" s="607"/>
      <c r="PKE144" s="607"/>
      <c r="PKF144" s="453"/>
      <c r="PKG144" s="289"/>
      <c r="PKH144" s="453"/>
      <c r="PKI144" s="453"/>
      <c r="PKJ144" s="453"/>
      <c r="PKK144" s="453"/>
      <c r="PKL144" s="453"/>
      <c r="PKM144" s="461"/>
      <c r="PKN144" s="461"/>
      <c r="PKO144" s="461"/>
      <c r="PKP144" s="609"/>
      <c r="PKQ144" s="607"/>
      <c r="PKR144" s="607"/>
      <c r="PKS144" s="607"/>
      <c r="PKT144" s="463"/>
      <c r="PKU144" s="454"/>
      <c r="PKV144" s="607"/>
      <c r="PKW144" s="607"/>
      <c r="PKX144" s="607"/>
      <c r="PKY144" s="607"/>
      <c r="PKZ144" s="607"/>
      <c r="PLA144" s="453"/>
      <c r="PLB144" s="289"/>
      <c r="PLC144" s="453"/>
      <c r="PLD144" s="453"/>
      <c r="PLE144" s="453"/>
      <c r="PLF144" s="453"/>
      <c r="PLG144" s="453"/>
      <c r="PLH144" s="461"/>
      <c r="PLI144" s="461"/>
      <c r="PLJ144" s="461"/>
      <c r="PLK144" s="609"/>
      <c r="PLL144" s="607"/>
      <c r="PLM144" s="607"/>
      <c r="PLN144" s="607"/>
      <c r="PLO144" s="463"/>
      <c r="PLP144" s="454"/>
      <c r="PLQ144" s="607"/>
      <c r="PLR144" s="607"/>
      <c r="PLS144" s="607"/>
      <c r="PLT144" s="607"/>
      <c r="PLU144" s="607"/>
      <c r="PLV144" s="453"/>
      <c r="PLW144" s="289"/>
      <c r="PLX144" s="453"/>
      <c r="PLY144" s="453"/>
      <c r="PLZ144" s="453"/>
      <c r="PMA144" s="453"/>
      <c r="PMB144" s="453"/>
      <c r="PMC144" s="461"/>
      <c r="PMD144" s="461"/>
      <c r="PME144" s="461"/>
      <c r="PMF144" s="609"/>
      <c r="PMG144" s="607"/>
      <c r="PMH144" s="607"/>
      <c r="PMI144" s="607"/>
      <c r="PMJ144" s="463"/>
      <c r="PMK144" s="454"/>
      <c r="PML144" s="607"/>
      <c r="PMM144" s="607"/>
      <c r="PMN144" s="607"/>
      <c r="PMO144" s="607"/>
      <c r="PMP144" s="607"/>
      <c r="PMQ144" s="453"/>
      <c r="PMR144" s="289"/>
      <c r="PMS144" s="453"/>
      <c r="PMT144" s="453"/>
      <c r="PMU144" s="453"/>
      <c r="PMV144" s="453"/>
      <c r="PMW144" s="453"/>
      <c r="PMX144" s="461"/>
      <c r="PMY144" s="461"/>
      <c r="PMZ144" s="461"/>
      <c r="PNA144" s="609"/>
      <c r="PNB144" s="607"/>
      <c r="PNC144" s="607"/>
      <c r="PND144" s="607"/>
      <c r="PNE144" s="463"/>
      <c r="PNF144" s="454"/>
      <c r="PNG144" s="607"/>
      <c r="PNH144" s="607"/>
      <c r="PNI144" s="607"/>
      <c r="PNJ144" s="607"/>
      <c r="PNK144" s="607"/>
      <c r="PNL144" s="453"/>
      <c r="PNM144" s="289"/>
      <c r="PNN144" s="453"/>
      <c r="PNO144" s="453"/>
      <c r="PNP144" s="453"/>
      <c r="PNQ144" s="453"/>
      <c r="PNR144" s="453"/>
      <c r="PNS144" s="461"/>
      <c r="PNT144" s="461"/>
      <c r="PNU144" s="461"/>
      <c r="PNV144" s="609"/>
      <c r="PNW144" s="607"/>
      <c r="PNX144" s="607"/>
      <c r="PNY144" s="607"/>
      <c r="PNZ144" s="463"/>
      <c r="POA144" s="454"/>
      <c r="POB144" s="607"/>
      <c r="POC144" s="607"/>
      <c r="POD144" s="607"/>
      <c r="POE144" s="607"/>
      <c r="POF144" s="607"/>
      <c r="POG144" s="453"/>
      <c r="POH144" s="289"/>
      <c r="POI144" s="453"/>
      <c r="POJ144" s="453"/>
      <c r="POK144" s="453"/>
      <c r="POL144" s="453"/>
      <c r="POM144" s="453"/>
      <c r="PON144" s="461"/>
      <c r="POO144" s="461"/>
      <c r="POP144" s="461"/>
      <c r="POQ144" s="609"/>
      <c r="POR144" s="607"/>
      <c r="POS144" s="607"/>
      <c r="POT144" s="607"/>
      <c r="POU144" s="463"/>
      <c r="POV144" s="454"/>
      <c r="POW144" s="607"/>
      <c r="POX144" s="607"/>
      <c r="POY144" s="607"/>
      <c r="POZ144" s="607"/>
      <c r="PPA144" s="607"/>
      <c r="PPB144" s="453"/>
      <c r="PPC144" s="289"/>
      <c r="PPD144" s="453"/>
      <c r="PPE144" s="453"/>
      <c r="PPF144" s="453"/>
      <c r="PPG144" s="453"/>
      <c r="PPH144" s="453"/>
      <c r="PPI144" s="461"/>
      <c r="PPJ144" s="461"/>
      <c r="PPK144" s="461"/>
      <c r="PPL144" s="609"/>
      <c r="PPM144" s="607"/>
      <c r="PPN144" s="607"/>
      <c r="PPO144" s="607"/>
      <c r="PPP144" s="463"/>
      <c r="PPQ144" s="454"/>
      <c r="PPR144" s="607"/>
      <c r="PPS144" s="607"/>
      <c r="PPT144" s="607"/>
      <c r="PPU144" s="607"/>
      <c r="PPV144" s="607"/>
      <c r="PPW144" s="453"/>
      <c r="PPX144" s="289"/>
      <c r="PPY144" s="453"/>
      <c r="PPZ144" s="453"/>
      <c r="PQA144" s="453"/>
      <c r="PQB144" s="453"/>
      <c r="PQC144" s="453"/>
      <c r="PQD144" s="461"/>
      <c r="PQE144" s="461"/>
      <c r="PQF144" s="461"/>
      <c r="PQG144" s="609"/>
      <c r="PQH144" s="607"/>
      <c r="PQI144" s="607"/>
      <c r="PQJ144" s="607"/>
      <c r="PQK144" s="463"/>
      <c r="PQL144" s="454"/>
      <c r="PQM144" s="607"/>
      <c r="PQN144" s="607"/>
      <c r="PQO144" s="607"/>
      <c r="PQP144" s="607"/>
      <c r="PQQ144" s="607"/>
      <c r="PQR144" s="453"/>
      <c r="PQS144" s="289"/>
      <c r="PQT144" s="453"/>
      <c r="PQU144" s="453"/>
      <c r="PQV144" s="453"/>
      <c r="PQW144" s="453"/>
      <c r="PQX144" s="453"/>
      <c r="PQY144" s="461"/>
      <c r="PQZ144" s="461"/>
      <c r="PRA144" s="461"/>
      <c r="PRB144" s="609"/>
      <c r="PRC144" s="607"/>
      <c r="PRD144" s="607"/>
      <c r="PRE144" s="607"/>
      <c r="PRF144" s="463"/>
      <c r="PRG144" s="454"/>
      <c r="PRH144" s="607"/>
      <c r="PRI144" s="607"/>
      <c r="PRJ144" s="607"/>
      <c r="PRK144" s="607"/>
      <c r="PRL144" s="607"/>
      <c r="PRM144" s="453"/>
      <c r="PRN144" s="289"/>
      <c r="PRO144" s="453"/>
      <c r="PRP144" s="453"/>
      <c r="PRQ144" s="453"/>
      <c r="PRR144" s="453"/>
      <c r="PRS144" s="453"/>
      <c r="PRT144" s="461"/>
      <c r="PRU144" s="461"/>
      <c r="PRV144" s="461"/>
      <c r="PRW144" s="609"/>
      <c r="PRX144" s="607"/>
      <c r="PRY144" s="607"/>
      <c r="PRZ144" s="607"/>
      <c r="PSA144" s="463"/>
      <c r="PSB144" s="454"/>
      <c r="PSC144" s="607"/>
      <c r="PSD144" s="607"/>
      <c r="PSE144" s="607"/>
      <c r="PSF144" s="607"/>
      <c r="PSG144" s="607"/>
      <c r="PSH144" s="453"/>
      <c r="PSI144" s="289"/>
      <c r="PSJ144" s="453"/>
      <c r="PSK144" s="453"/>
      <c r="PSL144" s="453"/>
      <c r="PSM144" s="453"/>
      <c r="PSN144" s="453"/>
      <c r="PSO144" s="461"/>
      <c r="PSP144" s="461"/>
      <c r="PSQ144" s="461"/>
      <c r="PSR144" s="609"/>
      <c r="PSS144" s="607"/>
      <c r="PST144" s="607"/>
      <c r="PSU144" s="607"/>
      <c r="PSV144" s="463"/>
      <c r="PSW144" s="454"/>
      <c r="PSX144" s="607"/>
      <c r="PSY144" s="607"/>
      <c r="PSZ144" s="607"/>
      <c r="PTA144" s="607"/>
      <c r="PTB144" s="607"/>
      <c r="PTC144" s="453"/>
      <c r="PTD144" s="289"/>
      <c r="PTE144" s="453"/>
      <c r="PTF144" s="453"/>
      <c r="PTG144" s="453"/>
      <c r="PTH144" s="453"/>
      <c r="PTI144" s="453"/>
      <c r="PTJ144" s="461"/>
      <c r="PTK144" s="461"/>
      <c r="PTL144" s="461"/>
      <c r="PTM144" s="609"/>
      <c r="PTN144" s="607"/>
      <c r="PTO144" s="607"/>
      <c r="PTP144" s="607"/>
      <c r="PTQ144" s="463"/>
      <c r="PTR144" s="454"/>
      <c r="PTS144" s="607"/>
      <c r="PTT144" s="607"/>
      <c r="PTU144" s="607"/>
      <c r="PTV144" s="607"/>
      <c r="PTW144" s="607"/>
      <c r="PTX144" s="453"/>
      <c r="PTY144" s="289"/>
      <c r="PTZ144" s="453"/>
      <c r="PUA144" s="453"/>
      <c r="PUB144" s="453"/>
      <c r="PUC144" s="453"/>
      <c r="PUD144" s="453"/>
      <c r="PUE144" s="461"/>
      <c r="PUF144" s="461"/>
      <c r="PUG144" s="461"/>
      <c r="PUH144" s="609"/>
      <c r="PUI144" s="607"/>
      <c r="PUJ144" s="607"/>
      <c r="PUK144" s="607"/>
      <c r="PUL144" s="463"/>
      <c r="PUM144" s="454"/>
      <c r="PUN144" s="607"/>
      <c r="PUO144" s="607"/>
      <c r="PUP144" s="607"/>
      <c r="PUQ144" s="607"/>
      <c r="PUR144" s="607"/>
      <c r="PUS144" s="453"/>
      <c r="PUT144" s="289"/>
      <c r="PUU144" s="453"/>
      <c r="PUV144" s="453"/>
      <c r="PUW144" s="453"/>
      <c r="PUX144" s="453"/>
      <c r="PUY144" s="453"/>
      <c r="PUZ144" s="461"/>
      <c r="PVA144" s="461"/>
      <c r="PVB144" s="461"/>
      <c r="PVC144" s="609"/>
      <c r="PVD144" s="607"/>
      <c r="PVE144" s="607"/>
      <c r="PVF144" s="607"/>
      <c r="PVG144" s="463"/>
      <c r="PVH144" s="454"/>
      <c r="PVI144" s="607"/>
      <c r="PVJ144" s="607"/>
      <c r="PVK144" s="607"/>
      <c r="PVL144" s="607"/>
      <c r="PVM144" s="607"/>
      <c r="PVN144" s="453"/>
      <c r="PVO144" s="289"/>
      <c r="PVP144" s="453"/>
      <c r="PVQ144" s="453"/>
      <c r="PVR144" s="453"/>
      <c r="PVS144" s="453"/>
      <c r="PVT144" s="453"/>
      <c r="PVU144" s="461"/>
      <c r="PVV144" s="461"/>
      <c r="PVW144" s="461"/>
      <c r="PVX144" s="609"/>
      <c r="PVY144" s="607"/>
      <c r="PVZ144" s="607"/>
      <c r="PWA144" s="607"/>
      <c r="PWB144" s="463"/>
      <c r="PWC144" s="454"/>
      <c r="PWD144" s="607"/>
      <c r="PWE144" s="607"/>
      <c r="PWF144" s="607"/>
      <c r="PWG144" s="607"/>
      <c r="PWH144" s="607"/>
      <c r="PWI144" s="453"/>
      <c r="PWJ144" s="289"/>
      <c r="PWK144" s="453"/>
      <c r="PWL144" s="453"/>
      <c r="PWM144" s="453"/>
      <c r="PWN144" s="453"/>
      <c r="PWO144" s="453"/>
      <c r="PWP144" s="461"/>
      <c r="PWQ144" s="461"/>
      <c r="PWR144" s="461"/>
      <c r="PWS144" s="609"/>
      <c r="PWT144" s="607"/>
      <c r="PWU144" s="607"/>
      <c r="PWV144" s="607"/>
      <c r="PWW144" s="463"/>
      <c r="PWX144" s="454"/>
      <c r="PWY144" s="607"/>
      <c r="PWZ144" s="607"/>
      <c r="PXA144" s="607"/>
      <c r="PXB144" s="607"/>
      <c r="PXC144" s="607"/>
      <c r="PXD144" s="453"/>
      <c r="PXE144" s="289"/>
      <c r="PXF144" s="453"/>
      <c r="PXG144" s="453"/>
      <c r="PXH144" s="453"/>
      <c r="PXI144" s="453"/>
      <c r="PXJ144" s="453"/>
      <c r="PXK144" s="461"/>
      <c r="PXL144" s="461"/>
      <c r="PXM144" s="461"/>
      <c r="PXN144" s="609"/>
      <c r="PXO144" s="607"/>
      <c r="PXP144" s="607"/>
      <c r="PXQ144" s="607"/>
      <c r="PXR144" s="463"/>
      <c r="PXS144" s="454"/>
      <c r="PXT144" s="607"/>
      <c r="PXU144" s="607"/>
      <c r="PXV144" s="607"/>
      <c r="PXW144" s="607"/>
      <c r="PXX144" s="607"/>
      <c r="PXY144" s="453"/>
      <c r="PXZ144" s="289"/>
      <c r="PYA144" s="453"/>
      <c r="PYB144" s="453"/>
      <c r="PYC144" s="453"/>
      <c r="PYD144" s="453"/>
      <c r="PYE144" s="453"/>
      <c r="PYF144" s="461"/>
      <c r="PYG144" s="461"/>
      <c r="PYH144" s="461"/>
      <c r="PYI144" s="609"/>
      <c r="PYJ144" s="607"/>
      <c r="PYK144" s="607"/>
      <c r="PYL144" s="607"/>
      <c r="PYM144" s="463"/>
      <c r="PYN144" s="454"/>
      <c r="PYO144" s="607"/>
      <c r="PYP144" s="607"/>
      <c r="PYQ144" s="607"/>
      <c r="PYR144" s="607"/>
      <c r="PYS144" s="607"/>
      <c r="PYT144" s="453"/>
      <c r="PYU144" s="289"/>
      <c r="PYV144" s="453"/>
      <c r="PYW144" s="453"/>
      <c r="PYX144" s="453"/>
      <c r="PYY144" s="453"/>
      <c r="PYZ144" s="453"/>
      <c r="PZA144" s="461"/>
      <c r="PZB144" s="461"/>
      <c r="PZC144" s="461"/>
      <c r="PZD144" s="609"/>
      <c r="PZE144" s="607"/>
      <c r="PZF144" s="607"/>
      <c r="PZG144" s="607"/>
      <c r="PZH144" s="463"/>
      <c r="PZI144" s="454"/>
      <c r="PZJ144" s="607"/>
      <c r="PZK144" s="607"/>
      <c r="PZL144" s="607"/>
      <c r="PZM144" s="607"/>
      <c r="PZN144" s="607"/>
      <c r="PZO144" s="453"/>
      <c r="PZP144" s="289"/>
      <c r="PZQ144" s="453"/>
      <c r="PZR144" s="453"/>
      <c r="PZS144" s="453"/>
      <c r="PZT144" s="453"/>
      <c r="PZU144" s="453"/>
      <c r="PZV144" s="461"/>
      <c r="PZW144" s="461"/>
      <c r="PZX144" s="461"/>
      <c r="PZY144" s="609"/>
      <c r="PZZ144" s="607"/>
      <c r="QAA144" s="607"/>
      <c r="QAB144" s="607"/>
      <c r="QAC144" s="463"/>
      <c r="QAD144" s="454"/>
      <c r="QAE144" s="607"/>
      <c r="QAF144" s="607"/>
      <c r="QAG144" s="607"/>
      <c r="QAH144" s="607"/>
      <c r="QAI144" s="607"/>
      <c r="QAJ144" s="453"/>
      <c r="QAK144" s="289"/>
      <c r="QAL144" s="453"/>
      <c r="QAM144" s="453"/>
      <c r="QAN144" s="453"/>
      <c r="QAO144" s="453"/>
      <c r="QAP144" s="453"/>
      <c r="QAQ144" s="461"/>
      <c r="QAR144" s="461"/>
      <c r="QAS144" s="461"/>
      <c r="QAT144" s="609"/>
      <c r="QAU144" s="607"/>
      <c r="QAV144" s="607"/>
      <c r="QAW144" s="607"/>
      <c r="QAX144" s="463"/>
      <c r="QAY144" s="454"/>
      <c r="QAZ144" s="607"/>
      <c r="QBA144" s="607"/>
      <c r="QBB144" s="607"/>
      <c r="QBC144" s="607"/>
      <c r="QBD144" s="607"/>
      <c r="QBE144" s="453"/>
      <c r="QBF144" s="289"/>
      <c r="QBG144" s="453"/>
      <c r="QBH144" s="453"/>
      <c r="QBI144" s="453"/>
      <c r="QBJ144" s="453"/>
      <c r="QBK144" s="453"/>
      <c r="QBL144" s="461"/>
      <c r="QBM144" s="461"/>
      <c r="QBN144" s="461"/>
      <c r="QBO144" s="609"/>
      <c r="QBP144" s="607"/>
      <c r="QBQ144" s="607"/>
      <c r="QBR144" s="607"/>
      <c r="QBS144" s="463"/>
      <c r="QBT144" s="454"/>
      <c r="QBU144" s="607"/>
      <c r="QBV144" s="607"/>
      <c r="QBW144" s="607"/>
      <c r="QBX144" s="607"/>
      <c r="QBY144" s="607"/>
      <c r="QBZ144" s="453"/>
      <c r="QCA144" s="289"/>
      <c r="QCB144" s="453"/>
      <c r="QCC144" s="453"/>
      <c r="QCD144" s="453"/>
      <c r="QCE144" s="453"/>
      <c r="QCF144" s="453"/>
      <c r="QCG144" s="461"/>
      <c r="QCH144" s="461"/>
      <c r="QCI144" s="461"/>
      <c r="QCJ144" s="609"/>
      <c r="QCK144" s="607"/>
      <c r="QCL144" s="607"/>
      <c r="QCM144" s="607"/>
      <c r="QCN144" s="463"/>
      <c r="QCO144" s="454"/>
      <c r="QCP144" s="607"/>
      <c r="QCQ144" s="607"/>
      <c r="QCR144" s="607"/>
      <c r="QCS144" s="607"/>
      <c r="QCT144" s="607"/>
      <c r="QCU144" s="453"/>
      <c r="QCV144" s="289"/>
      <c r="QCW144" s="453"/>
      <c r="QCX144" s="453"/>
      <c r="QCY144" s="453"/>
      <c r="QCZ144" s="453"/>
      <c r="QDA144" s="453"/>
      <c r="QDB144" s="461"/>
      <c r="QDC144" s="461"/>
      <c r="QDD144" s="461"/>
      <c r="QDE144" s="609"/>
      <c r="QDF144" s="607"/>
      <c r="QDG144" s="607"/>
      <c r="QDH144" s="607"/>
      <c r="QDI144" s="463"/>
      <c r="QDJ144" s="454"/>
      <c r="QDK144" s="607"/>
      <c r="QDL144" s="607"/>
      <c r="QDM144" s="607"/>
      <c r="QDN144" s="607"/>
      <c r="QDO144" s="607"/>
      <c r="QDP144" s="453"/>
      <c r="QDQ144" s="289"/>
      <c r="QDR144" s="453"/>
      <c r="QDS144" s="453"/>
      <c r="QDT144" s="453"/>
      <c r="QDU144" s="453"/>
      <c r="QDV144" s="453"/>
      <c r="QDW144" s="461"/>
      <c r="QDX144" s="461"/>
      <c r="QDY144" s="461"/>
      <c r="QDZ144" s="609"/>
      <c r="QEA144" s="607"/>
      <c r="QEB144" s="607"/>
      <c r="QEC144" s="607"/>
      <c r="QED144" s="463"/>
      <c r="QEE144" s="454"/>
      <c r="QEF144" s="607"/>
      <c r="QEG144" s="607"/>
      <c r="QEH144" s="607"/>
      <c r="QEI144" s="607"/>
      <c r="QEJ144" s="607"/>
      <c r="QEK144" s="453"/>
      <c r="QEL144" s="289"/>
      <c r="QEM144" s="453"/>
      <c r="QEN144" s="453"/>
      <c r="QEO144" s="453"/>
      <c r="QEP144" s="453"/>
      <c r="QEQ144" s="453"/>
      <c r="QER144" s="461"/>
      <c r="QES144" s="461"/>
      <c r="QET144" s="461"/>
      <c r="QEU144" s="609"/>
      <c r="QEV144" s="607"/>
      <c r="QEW144" s="607"/>
      <c r="QEX144" s="607"/>
      <c r="QEY144" s="463"/>
      <c r="QEZ144" s="454"/>
      <c r="QFA144" s="607"/>
      <c r="QFB144" s="607"/>
      <c r="QFC144" s="607"/>
      <c r="QFD144" s="607"/>
      <c r="QFE144" s="607"/>
      <c r="QFF144" s="453"/>
      <c r="QFG144" s="289"/>
      <c r="QFH144" s="453"/>
      <c r="QFI144" s="453"/>
      <c r="QFJ144" s="453"/>
      <c r="QFK144" s="453"/>
      <c r="QFL144" s="453"/>
      <c r="QFM144" s="461"/>
      <c r="QFN144" s="461"/>
      <c r="QFO144" s="461"/>
      <c r="QFP144" s="609"/>
      <c r="QFQ144" s="607"/>
      <c r="QFR144" s="607"/>
      <c r="QFS144" s="607"/>
      <c r="QFT144" s="463"/>
      <c r="QFU144" s="454"/>
      <c r="QFV144" s="607"/>
      <c r="QFW144" s="607"/>
      <c r="QFX144" s="607"/>
      <c r="QFY144" s="607"/>
      <c r="QFZ144" s="607"/>
      <c r="QGA144" s="453"/>
      <c r="QGB144" s="289"/>
      <c r="QGC144" s="453"/>
      <c r="QGD144" s="453"/>
      <c r="QGE144" s="453"/>
      <c r="QGF144" s="453"/>
      <c r="QGG144" s="453"/>
      <c r="QGH144" s="461"/>
      <c r="QGI144" s="461"/>
      <c r="QGJ144" s="461"/>
      <c r="QGK144" s="609"/>
      <c r="QGL144" s="607"/>
      <c r="QGM144" s="607"/>
      <c r="QGN144" s="607"/>
      <c r="QGO144" s="463"/>
      <c r="QGP144" s="454"/>
      <c r="QGQ144" s="607"/>
      <c r="QGR144" s="607"/>
      <c r="QGS144" s="607"/>
      <c r="QGT144" s="607"/>
      <c r="QGU144" s="607"/>
      <c r="QGV144" s="453"/>
      <c r="QGW144" s="289"/>
      <c r="QGX144" s="453"/>
      <c r="QGY144" s="453"/>
      <c r="QGZ144" s="453"/>
      <c r="QHA144" s="453"/>
      <c r="QHB144" s="453"/>
      <c r="QHC144" s="461"/>
      <c r="QHD144" s="461"/>
      <c r="QHE144" s="461"/>
      <c r="QHF144" s="609"/>
      <c r="QHG144" s="607"/>
      <c r="QHH144" s="607"/>
      <c r="QHI144" s="607"/>
      <c r="QHJ144" s="463"/>
      <c r="QHK144" s="454"/>
      <c r="QHL144" s="607"/>
      <c r="QHM144" s="607"/>
      <c r="QHN144" s="607"/>
      <c r="QHO144" s="607"/>
      <c r="QHP144" s="607"/>
      <c r="QHQ144" s="453"/>
      <c r="QHR144" s="289"/>
      <c r="QHS144" s="453"/>
      <c r="QHT144" s="453"/>
      <c r="QHU144" s="453"/>
      <c r="QHV144" s="453"/>
      <c r="QHW144" s="453"/>
      <c r="QHX144" s="461"/>
      <c r="QHY144" s="461"/>
      <c r="QHZ144" s="461"/>
      <c r="QIA144" s="609"/>
      <c r="QIB144" s="607"/>
      <c r="QIC144" s="607"/>
      <c r="QID144" s="607"/>
      <c r="QIE144" s="463"/>
      <c r="QIF144" s="454"/>
      <c r="QIG144" s="607"/>
      <c r="QIH144" s="607"/>
      <c r="QII144" s="607"/>
      <c r="QIJ144" s="607"/>
      <c r="QIK144" s="607"/>
      <c r="QIL144" s="453"/>
      <c r="QIM144" s="289"/>
      <c r="QIN144" s="453"/>
      <c r="QIO144" s="453"/>
      <c r="QIP144" s="453"/>
      <c r="QIQ144" s="453"/>
      <c r="QIR144" s="453"/>
      <c r="QIS144" s="461"/>
      <c r="QIT144" s="461"/>
      <c r="QIU144" s="461"/>
      <c r="QIV144" s="609"/>
      <c r="QIW144" s="607"/>
      <c r="QIX144" s="607"/>
      <c r="QIY144" s="607"/>
      <c r="QIZ144" s="463"/>
      <c r="QJA144" s="454"/>
      <c r="QJB144" s="607"/>
      <c r="QJC144" s="607"/>
      <c r="QJD144" s="607"/>
      <c r="QJE144" s="607"/>
      <c r="QJF144" s="607"/>
      <c r="QJG144" s="453"/>
      <c r="QJH144" s="289"/>
      <c r="QJI144" s="453"/>
      <c r="QJJ144" s="453"/>
      <c r="QJK144" s="453"/>
      <c r="QJL144" s="453"/>
      <c r="QJM144" s="453"/>
      <c r="QJN144" s="461"/>
      <c r="QJO144" s="461"/>
      <c r="QJP144" s="461"/>
      <c r="QJQ144" s="609"/>
      <c r="QJR144" s="607"/>
      <c r="QJS144" s="607"/>
      <c r="QJT144" s="607"/>
      <c r="QJU144" s="463"/>
      <c r="QJV144" s="454"/>
      <c r="QJW144" s="607"/>
      <c r="QJX144" s="607"/>
      <c r="QJY144" s="607"/>
      <c r="QJZ144" s="607"/>
      <c r="QKA144" s="607"/>
      <c r="QKB144" s="453"/>
      <c r="QKC144" s="289"/>
      <c r="QKD144" s="453"/>
      <c r="QKE144" s="453"/>
      <c r="QKF144" s="453"/>
      <c r="QKG144" s="453"/>
      <c r="QKH144" s="453"/>
      <c r="QKI144" s="461"/>
      <c r="QKJ144" s="461"/>
      <c r="QKK144" s="461"/>
      <c r="QKL144" s="609"/>
      <c r="QKM144" s="607"/>
      <c r="QKN144" s="607"/>
      <c r="QKO144" s="607"/>
      <c r="QKP144" s="463"/>
      <c r="QKQ144" s="454"/>
      <c r="QKR144" s="607"/>
      <c r="QKS144" s="607"/>
      <c r="QKT144" s="607"/>
      <c r="QKU144" s="607"/>
      <c r="QKV144" s="607"/>
      <c r="QKW144" s="453"/>
      <c r="QKX144" s="289"/>
      <c r="QKY144" s="453"/>
      <c r="QKZ144" s="453"/>
      <c r="QLA144" s="453"/>
      <c r="QLB144" s="453"/>
      <c r="QLC144" s="453"/>
      <c r="QLD144" s="461"/>
      <c r="QLE144" s="461"/>
      <c r="QLF144" s="461"/>
      <c r="QLG144" s="609"/>
      <c r="QLH144" s="607"/>
      <c r="QLI144" s="607"/>
      <c r="QLJ144" s="607"/>
      <c r="QLK144" s="463"/>
      <c r="QLL144" s="454"/>
      <c r="QLM144" s="607"/>
      <c r="QLN144" s="607"/>
      <c r="QLO144" s="607"/>
      <c r="QLP144" s="607"/>
      <c r="QLQ144" s="607"/>
      <c r="QLR144" s="453"/>
      <c r="QLS144" s="289"/>
      <c r="QLT144" s="453"/>
      <c r="QLU144" s="453"/>
      <c r="QLV144" s="453"/>
      <c r="QLW144" s="453"/>
      <c r="QLX144" s="453"/>
      <c r="QLY144" s="461"/>
      <c r="QLZ144" s="461"/>
      <c r="QMA144" s="461"/>
      <c r="QMB144" s="609"/>
      <c r="QMC144" s="607"/>
      <c r="QMD144" s="607"/>
      <c r="QME144" s="607"/>
      <c r="QMF144" s="463"/>
      <c r="QMG144" s="454"/>
      <c r="QMH144" s="607"/>
      <c r="QMI144" s="607"/>
      <c r="QMJ144" s="607"/>
      <c r="QMK144" s="607"/>
      <c r="QML144" s="607"/>
      <c r="QMM144" s="453"/>
      <c r="QMN144" s="289"/>
      <c r="QMO144" s="453"/>
      <c r="QMP144" s="453"/>
      <c r="QMQ144" s="453"/>
      <c r="QMR144" s="453"/>
      <c r="QMS144" s="453"/>
      <c r="QMT144" s="461"/>
      <c r="QMU144" s="461"/>
      <c r="QMV144" s="461"/>
      <c r="QMW144" s="609"/>
      <c r="QMX144" s="607"/>
      <c r="QMY144" s="607"/>
      <c r="QMZ144" s="607"/>
      <c r="QNA144" s="463"/>
      <c r="QNB144" s="454"/>
      <c r="QNC144" s="607"/>
      <c r="QND144" s="607"/>
      <c r="QNE144" s="607"/>
      <c r="QNF144" s="607"/>
      <c r="QNG144" s="607"/>
      <c r="QNH144" s="453"/>
      <c r="QNI144" s="289"/>
      <c r="QNJ144" s="453"/>
      <c r="QNK144" s="453"/>
      <c r="QNL144" s="453"/>
      <c r="QNM144" s="453"/>
      <c r="QNN144" s="453"/>
      <c r="QNO144" s="461"/>
      <c r="QNP144" s="461"/>
      <c r="QNQ144" s="461"/>
      <c r="QNR144" s="609"/>
      <c r="QNS144" s="607"/>
      <c r="QNT144" s="607"/>
      <c r="QNU144" s="607"/>
      <c r="QNV144" s="463"/>
      <c r="QNW144" s="454"/>
      <c r="QNX144" s="607"/>
      <c r="QNY144" s="607"/>
      <c r="QNZ144" s="607"/>
      <c r="QOA144" s="607"/>
      <c r="QOB144" s="607"/>
      <c r="QOC144" s="453"/>
      <c r="QOD144" s="289"/>
      <c r="QOE144" s="453"/>
      <c r="QOF144" s="453"/>
      <c r="QOG144" s="453"/>
      <c r="QOH144" s="453"/>
      <c r="QOI144" s="453"/>
      <c r="QOJ144" s="461"/>
      <c r="QOK144" s="461"/>
      <c r="QOL144" s="461"/>
      <c r="QOM144" s="609"/>
      <c r="QON144" s="607"/>
      <c r="QOO144" s="607"/>
      <c r="QOP144" s="607"/>
      <c r="QOQ144" s="463"/>
      <c r="QOR144" s="454"/>
      <c r="QOS144" s="607"/>
      <c r="QOT144" s="607"/>
      <c r="QOU144" s="607"/>
      <c r="QOV144" s="607"/>
      <c r="QOW144" s="607"/>
      <c r="QOX144" s="453"/>
      <c r="QOY144" s="289"/>
      <c r="QOZ144" s="453"/>
      <c r="QPA144" s="453"/>
      <c r="QPB144" s="453"/>
      <c r="QPC144" s="453"/>
      <c r="QPD144" s="453"/>
      <c r="QPE144" s="461"/>
      <c r="QPF144" s="461"/>
      <c r="QPG144" s="461"/>
      <c r="QPH144" s="609"/>
      <c r="QPI144" s="607"/>
      <c r="QPJ144" s="607"/>
      <c r="QPK144" s="607"/>
      <c r="QPL144" s="463"/>
      <c r="QPM144" s="454"/>
      <c r="QPN144" s="607"/>
      <c r="QPO144" s="607"/>
      <c r="QPP144" s="607"/>
      <c r="QPQ144" s="607"/>
      <c r="QPR144" s="607"/>
      <c r="QPS144" s="453"/>
      <c r="QPT144" s="289"/>
      <c r="QPU144" s="453"/>
      <c r="QPV144" s="453"/>
      <c r="QPW144" s="453"/>
      <c r="QPX144" s="453"/>
      <c r="QPY144" s="453"/>
      <c r="QPZ144" s="461"/>
      <c r="QQA144" s="461"/>
      <c r="QQB144" s="461"/>
      <c r="QQC144" s="609"/>
      <c r="QQD144" s="607"/>
      <c r="QQE144" s="607"/>
      <c r="QQF144" s="607"/>
      <c r="QQG144" s="463"/>
      <c r="QQH144" s="454"/>
      <c r="QQI144" s="607"/>
      <c r="QQJ144" s="607"/>
      <c r="QQK144" s="607"/>
      <c r="QQL144" s="607"/>
      <c r="QQM144" s="607"/>
      <c r="QQN144" s="453"/>
      <c r="QQO144" s="289"/>
      <c r="QQP144" s="453"/>
      <c r="QQQ144" s="453"/>
      <c r="QQR144" s="453"/>
      <c r="QQS144" s="453"/>
      <c r="QQT144" s="453"/>
      <c r="QQU144" s="461"/>
      <c r="QQV144" s="461"/>
      <c r="QQW144" s="461"/>
      <c r="QQX144" s="609"/>
      <c r="QQY144" s="607"/>
      <c r="QQZ144" s="607"/>
      <c r="QRA144" s="607"/>
      <c r="QRB144" s="463"/>
      <c r="QRC144" s="454"/>
      <c r="QRD144" s="607"/>
      <c r="QRE144" s="607"/>
      <c r="QRF144" s="607"/>
      <c r="QRG144" s="607"/>
      <c r="QRH144" s="607"/>
      <c r="QRI144" s="453"/>
      <c r="QRJ144" s="289"/>
      <c r="QRK144" s="453"/>
      <c r="QRL144" s="453"/>
      <c r="QRM144" s="453"/>
      <c r="QRN144" s="453"/>
      <c r="QRO144" s="453"/>
      <c r="QRP144" s="461"/>
      <c r="QRQ144" s="461"/>
      <c r="QRR144" s="461"/>
      <c r="QRS144" s="609"/>
      <c r="QRT144" s="607"/>
      <c r="QRU144" s="607"/>
      <c r="QRV144" s="607"/>
      <c r="QRW144" s="463"/>
      <c r="QRX144" s="454"/>
      <c r="QRY144" s="607"/>
      <c r="QRZ144" s="607"/>
      <c r="QSA144" s="607"/>
      <c r="QSB144" s="607"/>
      <c r="QSC144" s="607"/>
      <c r="QSD144" s="453"/>
      <c r="QSE144" s="289"/>
      <c r="QSF144" s="453"/>
      <c r="QSG144" s="453"/>
      <c r="QSH144" s="453"/>
      <c r="QSI144" s="453"/>
      <c r="QSJ144" s="453"/>
      <c r="QSK144" s="461"/>
      <c r="QSL144" s="461"/>
      <c r="QSM144" s="461"/>
      <c r="QSN144" s="609"/>
      <c r="QSO144" s="607"/>
      <c r="QSP144" s="607"/>
      <c r="QSQ144" s="607"/>
      <c r="QSR144" s="463"/>
      <c r="QSS144" s="454"/>
      <c r="QST144" s="607"/>
      <c r="QSU144" s="607"/>
      <c r="QSV144" s="607"/>
      <c r="QSW144" s="607"/>
      <c r="QSX144" s="607"/>
      <c r="QSY144" s="453"/>
      <c r="QSZ144" s="289"/>
      <c r="QTA144" s="453"/>
      <c r="QTB144" s="453"/>
      <c r="QTC144" s="453"/>
      <c r="QTD144" s="453"/>
      <c r="QTE144" s="453"/>
      <c r="QTF144" s="461"/>
      <c r="QTG144" s="461"/>
      <c r="QTH144" s="461"/>
      <c r="QTI144" s="609"/>
      <c r="QTJ144" s="607"/>
      <c r="QTK144" s="607"/>
      <c r="QTL144" s="607"/>
      <c r="QTM144" s="463"/>
      <c r="QTN144" s="454"/>
      <c r="QTO144" s="607"/>
      <c r="QTP144" s="607"/>
      <c r="QTQ144" s="607"/>
      <c r="QTR144" s="607"/>
      <c r="QTS144" s="607"/>
      <c r="QTT144" s="453"/>
      <c r="QTU144" s="289"/>
      <c r="QTV144" s="453"/>
      <c r="QTW144" s="453"/>
      <c r="QTX144" s="453"/>
      <c r="QTY144" s="453"/>
      <c r="QTZ144" s="453"/>
      <c r="QUA144" s="461"/>
      <c r="QUB144" s="461"/>
      <c r="QUC144" s="461"/>
      <c r="QUD144" s="609"/>
      <c r="QUE144" s="607"/>
      <c r="QUF144" s="607"/>
      <c r="QUG144" s="607"/>
      <c r="QUH144" s="463"/>
      <c r="QUI144" s="454"/>
      <c r="QUJ144" s="607"/>
      <c r="QUK144" s="607"/>
      <c r="QUL144" s="607"/>
      <c r="QUM144" s="607"/>
      <c r="QUN144" s="607"/>
      <c r="QUO144" s="453"/>
      <c r="QUP144" s="289"/>
      <c r="QUQ144" s="453"/>
      <c r="QUR144" s="453"/>
      <c r="QUS144" s="453"/>
      <c r="QUT144" s="453"/>
      <c r="QUU144" s="453"/>
      <c r="QUV144" s="461"/>
      <c r="QUW144" s="461"/>
      <c r="QUX144" s="461"/>
      <c r="QUY144" s="609"/>
      <c r="QUZ144" s="607"/>
      <c r="QVA144" s="607"/>
      <c r="QVB144" s="607"/>
      <c r="QVC144" s="463"/>
      <c r="QVD144" s="454"/>
      <c r="QVE144" s="607"/>
      <c r="QVF144" s="607"/>
      <c r="QVG144" s="607"/>
      <c r="QVH144" s="607"/>
      <c r="QVI144" s="607"/>
      <c r="QVJ144" s="453"/>
      <c r="QVK144" s="289"/>
      <c r="QVL144" s="453"/>
      <c r="QVM144" s="453"/>
      <c r="QVN144" s="453"/>
      <c r="QVO144" s="453"/>
      <c r="QVP144" s="453"/>
      <c r="QVQ144" s="461"/>
      <c r="QVR144" s="461"/>
      <c r="QVS144" s="461"/>
      <c r="QVT144" s="609"/>
      <c r="QVU144" s="607"/>
      <c r="QVV144" s="607"/>
      <c r="QVW144" s="607"/>
      <c r="QVX144" s="463"/>
      <c r="QVY144" s="454"/>
      <c r="QVZ144" s="607"/>
      <c r="QWA144" s="607"/>
      <c r="QWB144" s="607"/>
      <c r="QWC144" s="607"/>
      <c r="QWD144" s="607"/>
      <c r="QWE144" s="453"/>
      <c r="QWF144" s="289"/>
      <c r="QWG144" s="453"/>
      <c r="QWH144" s="453"/>
      <c r="QWI144" s="453"/>
      <c r="QWJ144" s="453"/>
      <c r="QWK144" s="453"/>
      <c r="QWL144" s="461"/>
      <c r="QWM144" s="461"/>
      <c r="QWN144" s="461"/>
      <c r="QWO144" s="609"/>
      <c r="QWP144" s="607"/>
      <c r="QWQ144" s="607"/>
      <c r="QWR144" s="607"/>
      <c r="QWS144" s="463"/>
      <c r="QWT144" s="454"/>
      <c r="QWU144" s="607"/>
      <c r="QWV144" s="607"/>
      <c r="QWW144" s="607"/>
      <c r="QWX144" s="607"/>
      <c r="QWY144" s="607"/>
      <c r="QWZ144" s="453"/>
      <c r="QXA144" s="289"/>
      <c r="QXB144" s="453"/>
      <c r="QXC144" s="453"/>
      <c r="QXD144" s="453"/>
      <c r="QXE144" s="453"/>
      <c r="QXF144" s="453"/>
      <c r="QXG144" s="461"/>
      <c r="QXH144" s="461"/>
      <c r="QXI144" s="461"/>
      <c r="QXJ144" s="609"/>
      <c r="QXK144" s="607"/>
      <c r="QXL144" s="607"/>
      <c r="QXM144" s="607"/>
      <c r="QXN144" s="463"/>
      <c r="QXO144" s="454"/>
      <c r="QXP144" s="607"/>
      <c r="QXQ144" s="607"/>
      <c r="QXR144" s="607"/>
      <c r="QXS144" s="607"/>
      <c r="QXT144" s="607"/>
      <c r="QXU144" s="453"/>
      <c r="QXV144" s="289"/>
      <c r="QXW144" s="453"/>
      <c r="QXX144" s="453"/>
      <c r="QXY144" s="453"/>
      <c r="QXZ144" s="453"/>
      <c r="QYA144" s="453"/>
      <c r="QYB144" s="461"/>
      <c r="QYC144" s="461"/>
      <c r="QYD144" s="461"/>
      <c r="QYE144" s="609"/>
      <c r="QYF144" s="607"/>
      <c r="QYG144" s="607"/>
      <c r="QYH144" s="607"/>
      <c r="QYI144" s="463"/>
      <c r="QYJ144" s="454"/>
      <c r="QYK144" s="607"/>
      <c r="QYL144" s="607"/>
      <c r="QYM144" s="607"/>
      <c r="QYN144" s="607"/>
      <c r="QYO144" s="607"/>
      <c r="QYP144" s="453"/>
      <c r="QYQ144" s="289"/>
      <c r="QYR144" s="453"/>
      <c r="QYS144" s="453"/>
      <c r="QYT144" s="453"/>
      <c r="QYU144" s="453"/>
      <c r="QYV144" s="453"/>
      <c r="QYW144" s="461"/>
      <c r="QYX144" s="461"/>
      <c r="QYY144" s="461"/>
      <c r="QYZ144" s="609"/>
      <c r="QZA144" s="607"/>
      <c r="QZB144" s="607"/>
      <c r="QZC144" s="607"/>
      <c r="QZD144" s="463"/>
      <c r="QZE144" s="454"/>
      <c r="QZF144" s="607"/>
      <c r="QZG144" s="607"/>
      <c r="QZH144" s="607"/>
      <c r="QZI144" s="607"/>
      <c r="QZJ144" s="607"/>
      <c r="QZK144" s="453"/>
      <c r="QZL144" s="289"/>
      <c r="QZM144" s="453"/>
      <c r="QZN144" s="453"/>
      <c r="QZO144" s="453"/>
      <c r="QZP144" s="453"/>
      <c r="QZQ144" s="453"/>
      <c r="QZR144" s="461"/>
      <c r="QZS144" s="461"/>
      <c r="QZT144" s="461"/>
      <c r="QZU144" s="609"/>
      <c r="QZV144" s="607"/>
      <c r="QZW144" s="607"/>
      <c r="QZX144" s="607"/>
      <c r="QZY144" s="463"/>
      <c r="QZZ144" s="454"/>
      <c r="RAA144" s="607"/>
      <c r="RAB144" s="607"/>
      <c r="RAC144" s="607"/>
      <c r="RAD144" s="607"/>
      <c r="RAE144" s="607"/>
      <c r="RAF144" s="453"/>
      <c r="RAG144" s="289"/>
      <c r="RAH144" s="453"/>
      <c r="RAI144" s="453"/>
      <c r="RAJ144" s="453"/>
      <c r="RAK144" s="453"/>
      <c r="RAL144" s="453"/>
      <c r="RAM144" s="461"/>
      <c r="RAN144" s="461"/>
      <c r="RAO144" s="461"/>
      <c r="RAP144" s="609"/>
      <c r="RAQ144" s="607"/>
      <c r="RAR144" s="607"/>
      <c r="RAS144" s="607"/>
      <c r="RAT144" s="463"/>
      <c r="RAU144" s="454"/>
      <c r="RAV144" s="607"/>
      <c r="RAW144" s="607"/>
      <c r="RAX144" s="607"/>
      <c r="RAY144" s="607"/>
      <c r="RAZ144" s="607"/>
      <c r="RBA144" s="453"/>
      <c r="RBB144" s="289"/>
      <c r="RBC144" s="453"/>
      <c r="RBD144" s="453"/>
      <c r="RBE144" s="453"/>
      <c r="RBF144" s="453"/>
      <c r="RBG144" s="453"/>
      <c r="RBH144" s="461"/>
      <c r="RBI144" s="461"/>
      <c r="RBJ144" s="461"/>
      <c r="RBK144" s="609"/>
      <c r="RBL144" s="607"/>
      <c r="RBM144" s="607"/>
      <c r="RBN144" s="607"/>
      <c r="RBO144" s="463"/>
      <c r="RBP144" s="454"/>
      <c r="RBQ144" s="607"/>
      <c r="RBR144" s="607"/>
      <c r="RBS144" s="607"/>
      <c r="RBT144" s="607"/>
      <c r="RBU144" s="607"/>
      <c r="RBV144" s="453"/>
      <c r="RBW144" s="289"/>
      <c r="RBX144" s="453"/>
      <c r="RBY144" s="453"/>
      <c r="RBZ144" s="453"/>
      <c r="RCA144" s="453"/>
      <c r="RCB144" s="453"/>
      <c r="RCC144" s="461"/>
      <c r="RCD144" s="461"/>
      <c r="RCE144" s="461"/>
      <c r="RCF144" s="609"/>
      <c r="RCG144" s="607"/>
      <c r="RCH144" s="607"/>
      <c r="RCI144" s="607"/>
      <c r="RCJ144" s="463"/>
      <c r="RCK144" s="454"/>
      <c r="RCL144" s="607"/>
      <c r="RCM144" s="607"/>
      <c r="RCN144" s="607"/>
      <c r="RCO144" s="607"/>
      <c r="RCP144" s="607"/>
      <c r="RCQ144" s="453"/>
      <c r="RCR144" s="289"/>
      <c r="RCS144" s="453"/>
      <c r="RCT144" s="453"/>
      <c r="RCU144" s="453"/>
      <c r="RCV144" s="453"/>
      <c r="RCW144" s="453"/>
      <c r="RCX144" s="461"/>
      <c r="RCY144" s="461"/>
      <c r="RCZ144" s="461"/>
      <c r="RDA144" s="609"/>
      <c r="RDB144" s="607"/>
      <c r="RDC144" s="607"/>
      <c r="RDD144" s="607"/>
      <c r="RDE144" s="463"/>
      <c r="RDF144" s="454"/>
      <c r="RDG144" s="607"/>
      <c r="RDH144" s="607"/>
      <c r="RDI144" s="607"/>
      <c r="RDJ144" s="607"/>
      <c r="RDK144" s="607"/>
      <c r="RDL144" s="453"/>
      <c r="RDM144" s="289"/>
      <c r="RDN144" s="453"/>
      <c r="RDO144" s="453"/>
      <c r="RDP144" s="453"/>
      <c r="RDQ144" s="453"/>
      <c r="RDR144" s="453"/>
      <c r="RDS144" s="461"/>
      <c r="RDT144" s="461"/>
      <c r="RDU144" s="461"/>
      <c r="RDV144" s="609"/>
      <c r="RDW144" s="607"/>
      <c r="RDX144" s="607"/>
      <c r="RDY144" s="607"/>
      <c r="RDZ144" s="463"/>
      <c r="REA144" s="454"/>
      <c r="REB144" s="607"/>
      <c r="REC144" s="607"/>
      <c r="RED144" s="607"/>
      <c r="REE144" s="607"/>
      <c r="REF144" s="607"/>
      <c r="REG144" s="453"/>
      <c r="REH144" s="289"/>
      <c r="REI144" s="453"/>
      <c r="REJ144" s="453"/>
      <c r="REK144" s="453"/>
      <c r="REL144" s="453"/>
      <c r="REM144" s="453"/>
      <c r="REN144" s="461"/>
      <c r="REO144" s="461"/>
      <c r="REP144" s="461"/>
      <c r="REQ144" s="609"/>
      <c r="RER144" s="607"/>
      <c r="RES144" s="607"/>
      <c r="RET144" s="607"/>
      <c r="REU144" s="463"/>
      <c r="REV144" s="454"/>
      <c r="REW144" s="607"/>
      <c r="REX144" s="607"/>
      <c r="REY144" s="607"/>
      <c r="REZ144" s="607"/>
      <c r="RFA144" s="607"/>
      <c r="RFB144" s="453"/>
      <c r="RFC144" s="289"/>
      <c r="RFD144" s="453"/>
      <c r="RFE144" s="453"/>
      <c r="RFF144" s="453"/>
      <c r="RFG144" s="453"/>
      <c r="RFH144" s="453"/>
      <c r="RFI144" s="461"/>
      <c r="RFJ144" s="461"/>
      <c r="RFK144" s="461"/>
      <c r="RFL144" s="609"/>
      <c r="RFM144" s="607"/>
      <c r="RFN144" s="607"/>
      <c r="RFO144" s="607"/>
      <c r="RFP144" s="463"/>
      <c r="RFQ144" s="454"/>
      <c r="RFR144" s="607"/>
      <c r="RFS144" s="607"/>
      <c r="RFT144" s="607"/>
      <c r="RFU144" s="607"/>
      <c r="RFV144" s="607"/>
      <c r="RFW144" s="453"/>
      <c r="RFX144" s="289"/>
      <c r="RFY144" s="453"/>
      <c r="RFZ144" s="453"/>
      <c r="RGA144" s="453"/>
      <c r="RGB144" s="453"/>
      <c r="RGC144" s="453"/>
      <c r="RGD144" s="461"/>
      <c r="RGE144" s="461"/>
      <c r="RGF144" s="461"/>
      <c r="RGG144" s="609"/>
      <c r="RGH144" s="607"/>
      <c r="RGI144" s="607"/>
      <c r="RGJ144" s="607"/>
      <c r="RGK144" s="463"/>
      <c r="RGL144" s="454"/>
      <c r="RGM144" s="607"/>
      <c r="RGN144" s="607"/>
      <c r="RGO144" s="607"/>
      <c r="RGP144" s="607"/>
      <c r="RGQ144" s="607"/>
      <c r="RGR144" s="453"/>
      <c r="RGS144" s="289"/>
      <c r="RGT144" s="453"/>
      <c r="RGU144" s="453"/>
      <c r="RGV144" s="453"/>
      <c r="RGW144" s="453"/>
      <c r="RGX144" s="453"/>
      <c r="RGY144" s="461"/>
      <c r="RGZ144" s="461"/>
      <c r="RHA144" s="461"/>
      <c r="RHB144" s="609"/>
      <c r="RHC144" s="607"/>
      <c r="RHD144" s="607"/>
      <c r="RHE144" s="607"/>
      <c r="RHF144" s="463"/>
      <c r="RHG144" s="454"/>
      <c r="RHH144" s="607"/>
      <c r="RHI144" s="607"/>
      <c r="RHJ144" s="607"/>
      <c r="RHK144" s="607"/>
      <c r="RHL144" s="607"/>
      <c r="RHM144" s="453"/>
      <c r="RHN144" s="289"/>
      <c r="RHO144" s="453"/>
      <c r="RHP144" s="453"/>
      <c r="RHQ144" s="453"/>
      <c r="RHR144" s="453"/>
      <c r="RHS144" s="453"/>
      <c r="RHT144" s="461"/>
      <c r="RHU144" s="461"/>
      <c r="RHV144" s="461"/>
      <c r="RHW144" s="609"/>
      <c r="RHX144" s="607"/>
      <c r="RHY144" s="607"/>
      <c r="RHZ144" s="607"/>
      <c r="RIA144" s="463"/>
      <c r="RIB144" s="454"/>
      <c r="RIC144" s="607"/>
      <c r="RID144" s="607"/>
      <c r="RIE144" s="607"/>
      <c r="RIF144" s="607"/>
      <c r="RIG144" s="607"/>
      <c r="RIH144" s="453"/>
      <c r="RII144" s="289"/>
      <c r="RIJ144" s="453"/>
      <c r="RIK144" s="453"/>
      <c r="RIL144" s="453"/>
      <c r="RIM144" s="453"/>
      <c r="RIN144" s="453"/>
      <c r="RIO144" s="461"/>
      <c r="RIP144" s="461"/>
      <c r="RIQ144" s="461"/>
      <c r="RIR144" s="609"/>
      <c r="RIS144" s="607"/>
      <c r="RIT144" s="607"/>
      <c r="RIU144" s="607"/>
      <c r="RIV144" s="463"/>
      <c r="RIW144" s="454"/>
      <c r="RIX144" s="607"/>
      <c r="RIY144" s="607"/>
      <c r="RIZ144" s="607"/>
      <c r="RJA144" s="607"/>
      <c r="RJB144" s="607"/>
      <c r="RJC144" s="453"/>
      <c r="RJD144" s="289"/>
      <c r="RJE144" s="453"/>
      <c r="RJF144" s="453"/>
      <c r="RJG144" s="453"/>
      <c r="RJH144" s="453"/>
      <c r="RJI144" s="453"/>
      <c r="RJJ144" s="461"/>
      <c r="RJK144" s="461"/>
      <c r="RJL144" s="461"/>
      <c r="RJM144" s="609"/>
      <c r="RJN144" s="607"/>
      <c r="RJO144" s="607"/>
      <c r="RJP144" s="607"/>
      <c r="RJQ144" s="463"/>
      <c r="RJR144" s="454"/>
      <c r="RJS144" s="607"/>
      <c r="RJT144" s="607"/>
      <c r="RJU144" s="607"/>
      <c r="RJV144" s="607"/>
      <c r="RJW144" s="607"/>
      <c r="RJX144" s="453"/>
      <c r="RJY144" s="289"/>
      <c r="RJZ144" s="453"/>
      <c r="RKA144" s="453"/>
      <c r="RKB144" s="453"/>
      <c r="RKC144" s="453"/>
      <c r="RKD144" s="453"/>
      <c r="RKE144" s="461"/>
      <c r="RKF144" s="461"/>
      <c r="RKG144" s="461"/>
      <c r="RKH144" s="609"/>
      <c r="RKI144" s="607"/>
      <c r="RKJ144" s="607"/>
      <c r="RKK144" s="607"/>
      <c r="RKL144" s="463"/>
      <c r="RKM144" s="454"/>
      <c r="RKN144" s="607"/>
      <c r="RKO144" s="607"/>
      <c r="RKP144" s="607"/>
      <c r="RKQ144" s="607"/>
      <c r="RKR144" s="607"/>
      <c r="RKS144" s="453"/>
      <c r="RKT144" s="289"/>
      <c r="RKU144" s="453"/>
      <c r="RKV144" s="453"/>
      <c r="RKW144" s="453"/>
      <c r="RKX144" s="453"/>
      <c r="RKY144" s="453"/>
      <c r="RKZ144" s="461"/>
      <c r="RLA144" s="461"/>
      <c r="RLB144" s="461"/>
      <c r="RLC144" s="609"/>
      <c r="RLD144" s="607"/>
      <c r="RLE144" s="607"/>
      <c r="RLF144" s="607"/>
      <c r="RLG144" s="463"/>
      <c r="RLH144" s="454"/>
      <c r="RLI144" s="607"/>
      <c r="RLJ144" s="607"/>
      <c r="RLK144" s="607"/>
      <c r="RLL144" s="607"/>
      <c r="RLM144" s="607"/>
      <c r="RLN144" s="453"/>
      <c r="RLO144" s="289"/>
      <c r="RLP144" s="453"/>
      <c r="RLQ144" s="453"/>
      <c r="RLR144" s="453"/>
      <c r="RLS144" s="453"/>
      <c r="RLT144" s="453"/>
      <c r="RLU144" s="461"/>
      <c r="RLV144" s="461"/>
      <c r="RLW144" s="461"/>
      <c r="RLX144" s="609"/>
      <c r="RLY144" s="607"/>
      <c r="RLZ144" s="607"/>
      <c r="RMA144" s="607"/>
      <c r="RMB144" s="463"/>
      <c r="RMC144" s="454"/>
      <c r="RMD144" s="607"/>
      <c r="RME144" s="607"/>
      <c r="RMF144" s="607"/>
      <c r="RMG144" s="607"/>
      <c r="RMH144" s="607"/>
      <c r="RMI144" s="453"/>
      <c r="RMJ144" s="289"/>
      <c r="RMK144" s="453"/>
      <c r="RML144" s="453"/>
      <c r="RMM144" s="453"/>
      <c r="RMN144" s="453"/>
      <c r="RMO144" s="453"/>
      <c r="RMP144" s="461"/>
      <c r="RMQ144" s="461"/>
      <c r="RMR144" s="461"/>
      <c r="RMS144" s="609"/>
      <c r="RMT144" s="607"/>
      <c r="RMU144" s="607"/>
      <c r="RMV144" s="607"/>
      <c r="RMW144" s="463"/>
      <c r="RMX144" s="454"/>
      <c r="RMY144" s="607"/>
      <c r="RMZ144" s="607"/>
      <c r="RNA144" s="607"/>
      <c r="RNB144" s="607"/>
      <c r="RNC144" s="607"/>
      <c r="RND144" s="453"/>
      <c r="RNE144" s="289"/>
      <c r="RNF144" s="453"/>
      <c r="RNG144" s="453"/>
      <c r="RNH144" s="453"/>
      <c r="RNI144" s="453"/>
      <c r="RNJ144" s="453"/>
      <c r="RNK144" s="461"/>
      <c r="RNL144" s="461"/>
      <c r="RNM144" s="461"/>
      <c r="RNN144" s="609"/>
      <c r="RNO144" s="607"/>
      <c r="RNP144" s="607"/>
      <c r="RNQ144" s="607"/>
      <c r="RNR144" s="463"/>
      <c r="RNS144" s="454"/>
      <c r="RNT144" s="607"/>
      <c r="RNU144" s="607"/>
      <c r="RNV144" s="607"/>
      <c r="RNW144" s="607"/>
      <c r="RNX144" s="607"/>
      <c r="RNY144" s="453"/>
      <c r="RNZ144" s="289"/>
      <c r="ROA144" s="453"/>
      <c r="ROB144" s="453"/>
      <c r="ROC144" s="453"/>
      <c r="ROD144" s="453"/>
      <c r="ROE144" s="453"/>
      <c r="ROF144" s="461"/>
      <c r="ROG144" s="461"/>
      <c r="ROH144" s="461"/>
      <c r="ROI144" s="609"/>
      <c r="ROJ144" s="607"/>
      <c r="ROK144" s="607"/>
      <c r="ROL144" s="607"/>
      <c r="ROM144" s="463"/>
      <c r="RON144" s="454"/>
      <c r="ROO144" s="607"/>
      <c r="ROP144" s="607"/>
      <c r="ROQ144" s="607"/>
      <c r="ROR144" s="607"/>
      <c r="ROS144" s="607"/>
      <c r="ROT144" s="453"/>
      <c r="ROU144" s="289"/>
      <c r="ROV144" s="453"/>
      <c r="ROW144" s="453"/>
      <c r="ROX144" s="453"/>
      <c r="ROY144" s="453"/>
      <c r="ROZ144" s="453"/>
      <c r="RPA144" s="461"/>
      <c r="RPB144" s="461"/>
      <c r="RPC144" s="461"/>
      <c r="RPD144" s="609"/>
      <c r="RPE144" s="607"/>
      <c r="RPF144" s="607"/>
      <c r="RPG144" s="607"/>
      <c r="RPH144" s="463"/>
      <c r="RPI144" s="454"/>
      <c r="RPJ144" s="607"/>
      <c r="RPK144" s="607"/>
      <c r="RPL144" s="607"/>
      <c r="RPM144" s="607"/>
      <c r="RPN144" s="607"/>
      <c r="RPO144" s="453"/>
      <c r="RPP144" s="289"/>
      <c r="RPQ144" s="453"/>
      <c r="RPR144" s="453"/>
      <c r="RPS144" s="453"/>
      <c r="RPT144" s="453"/>
      <c r="RPU144" s="453"/>
      <c r="RPV144" s="461"/>
      <c r="RPW144" s="461"/>
      <c r="RPX144" s="461"/>
      <c r="RPY144" s="609"/>
      <c r="RPZ144" s="607"/>
      <c r="RQA144" s="607"/>
      <c r="RQB144" s="607"/>
      <c r="RQC144" s="463"/>
      <c r="RQD144" s="454"/>
      <c r="RQE144" s="607"/>
      <c r="RQF144" s="607"/>
      <c r="RQG144" s="607"/>
      <c r="RQH144" s="607"/>
      <c r="RQI144" s="607"/>
      <c r="RQJ144" s="453"/>
      <c r="RQK144" s="289"/>
      <c r="RQL144" s="453"/>
      <c r="RQM144" s="453"/>
      <c r="RQN144" s="453"/>
      <c r="RQO144" s="453"/>
      <c r="RQP144" s="453"/>
      <c r="RQQ144" s="461"/>
      <c r="RQR144" s="461"/>
      <c r="RQS144" s="461"/>
      <c r="RQT144" s="609"/>
      <c r="RQU144" s="607"/>
      <c r="RQV144" s="607"/>
      <c r="RQW144" s="607"/>
      <c r="RQX144" s="463"/>
      <c r="RQY144" s="454"/>
      <c r="RQZ144" s="607"/>
      <c r="RRA144" s="607"/>
      <c r="RRB144" s="607"/>
      <c r="RRC144" s="607"/>
      <c r="RRD144" s="607"/>
      <c r="RRE144" s="453"/>
      <c r="RRF144" s="289"/>
      <c r="RRG144" s="453"/>
      <c r="RRH144" s="453"/>
      <c r="RRI144" s="453"/>
      <c r="RRJ144" s="453"/>
      <c r="RRK144" s="453"/>
      <c r="RRL144" s="461"/>
      <c r="RRM144" s="461"/>
      <c r="RRN144" s="461"/>
      <c r="RRO144" s="609"/>
      <c r="RRP144" s="607"/>
      <c r="RRQ144" s="607"/>
      <c r="RRR144" s="607"/>
      <c r="RRS144" s="463"/>
      <c r="RRT144" s="454"/>
      <c r="RRU144" s="607"/>
      <c r="RRV144" s="607"/>
      <c r="RRW144" s="607"/>
      <c r="RRX144" s="607"/>
      <c r="RRY144" s="607"/>
      <c r="RRZ144" s="453"/>
      <c r="RSA144" s="289"/>
      <c r="RSB144" s="453"/>
      <c r="RSC144" s="453"/>
      <c r="RSD144" s="453"/>
      <c r="RSE144" s="453"/>
      <c r="RSF144" s="453"/>
      <c r="RSG144" s="461"/>
      <c r="RSH144" s="461"/>
      <c r="RSI144" s="461"/>
      <c r="RSJ144" s="609"/>
      <c r="RSK144" s="607"/>
      <c r="RSL144" s="607"/>
      <c r="RSM144" s="607"/>
      <c r="RSN144" s="463"/>
      <c r="RSO144" s="454"/>
      <c r="RSP144" s="607"/>
      <c r="RSQ144" s="607"/>
      <c r="RSR144" s="607"/>
      <c r="RSS144" s="607"/>
      <c r="RST144" s="607"/>
      <c r="RSU144" s="453"/>
      <c r="RSV144" s="289"/>
      <c r="RSW144" s="453"/>
      <c r="RSX144" s="453"/>
      <c r="RSY144" s="453"/>
      <c r="RSZ144" s="453"/>
      <c r="RTA144" s="453"/>
      <c r="RTB144" s="461"/>
      <c r="RTC144" s="461"/>
      <c r="RTD144" s="461"/>
      <c r="RTE144" s="609"/>
      <c r="RTF144" s="607"/>
      <c r="RTG144" s="607"/>
      <c r="RTH144" s="607"/>
      <c r="RTI144" s="463"/>
      <c r="RTJ144" s="454"/>
      <c r="RTK144" s="607"/>
      <c r="RTL144" s="607"/>
      <c r="RTM144" s="607"/>
      <c r="RTN144" s="607"/>
      <c r="RTO144" s="607"/>
      <c r="RTP144" s="453"/>
      <c r="RTQ144" s="289"/>
      <c r="RTR144" s="453"/>
      <c r="RTS144" s="453"/>
      <c r="RTT144" s="453"/>
      <c r="RTU144" s="453"/>
      <c r="RTV144" s="453"/>
      <c r="RTW144" s="461"/>
      <c r="RTX144" s="461"/>
      <c r="RTY144" s="461"/>
      <c r="RTZ144" s="609"/>
      <c r="RUA144" s="607"/>
      <c r="RUB144" s="607"/>
      <c r="RUC144" s="607"/>
      <c r="RUD144" s="463"/>
      <c r="RUE144" s="454"/>
      <c r="RUF144" s="607"/>
      <c r="RUG144" s="607"/>
      <c r="RUH144" s="607"/>
      <c r="RUI144" s="607"/>
      <c r="RUJ144" s="607"/>
      <c r="RUK144" s="453"/>
      <c r="RUL144" s="289"/>
      <c r="RUM144" s="453"/>
      <c r="RUN144" s="453"/>
      <c r="RUO144" s="453"/>
      <c r="RUP144" s="453"/>
      <c r="RUQ144" s="453"/>
      <c r="RUR144" s="461"/>
      <c r="RUS144" s="461"/>
      <c r="RUT144" s="461"/>
      <c r="RUU144" s="609"/>
      <c r="RUV144" s="607"/>
      <c r="RUW144" s="607"/>
      <c r="RUX144" s="607"/>
      <c r="RUY144" s="463"/>
      <c r="RUZ144" s="454"/>
      <c r="RVA144" s="607"/>
      <c r="RVB144" s="607"/>
      <c r="RVC144" s="607"/>
      <c r="RVD144" s="607"/>
      <c r="RVE144" s="607"/>
      <c r="RVF144" s="453"/>
      <c r="RVG144" s="289"/>
      <c r="RVH144" s="453"/>
      <c r="RVI144" s="453"/>
      <c r="RVJ144" s="453"/>
      <c r="RVK144" s="453"/>
      <c r="RVL144" s="453"/>
      <c r="RVM144" s="461"/>
      <c r="RVN144" s="461"/>
      <c r="RVO144" s="461"/>
      <c r="RVP144" s="609"/>
      <c r="RVQ144" s="607"/>
      <c r="RVR144" s="607"/>
      <c r="RVS144" s="607"/>
      <c r="RVT144" s="463"/>
      <c r="RVU144" s="454"/>
      <c r="RVV144" s="607"/>
      <c r="RVW144" s="607"/>
      <c r="RVX144" s="607"/>
      <c r="RVY144" s="607"/>
      <c r="RVZ144" s="607"/>
      <c r="RWA144" s="453"/>
      <c r="RWB144" s="289"/>
      <c r="RWC144" s="453"/>
      <c r="RWD144" s="453"/>
      <c r="RWE144" s="453"/>
      <c r="RWF144" s="453"/>
      <c r="RWG144" s="453"/>
      <c r="RWH144" s="461"/>
      <c r="RWI144" s="461"/>
      <c r="RWJ144" s="461"/>
      <c r="RWK144" s="609"/>
      <c r="RWL144" s="607"/>
      <c r="RWM144" s="607"/>
      <c r="RWN144" s="607"/>
      <c r="RWO144" s="463"/>
      <c r="RWP144" s="454"/>
      <c r="RWQ144" s="607"/>
      <c r="RWR144" s="607"/>
      <c r="RWS144" s="607"/>
      <c r="RWT144" s="607"/>
      <c r="RWU144" s="607"/>
      <c r="RWV144" s="453"/>
      <c r="RWW144" s="289"/>
      <c r="RWX144" s="453"/>
      <c r="RWY144" s="453"/>
      <c r="RWZ144" s="453"/>
      <c r="RXA144" s="453"/>
      <c r="RXB144" s="453"/>
      <c r="RXC144" s="461"/>
      <c r="RXD144" s="461"/>
      <c r="RXE144" s="461"/>
      <c r="RXF144" s="609"/>
      <c r="RXG144" s="607"/>
      <c r="RXH144" s="607"/>
      <c r="RXI144" s="607"/>
      <c r="RXJ144" s="463"/>
      <c r="RXK144" s="454"/>
      <c r="RXL144" s="607"/>
      <c r="RXM144" s="607"/>
      <c r="RXN144" s="607"/>
      <c r="RXO144" s="607"/>
      <c r="RXP144" s="607"/>
      <c r="RXQ144" s="453"/>
      <c r="RXR144" s="289"/>
      <c r="RXS144" s="453"/>
      <c r="RXT144" s="453"/>
      <c r="RXU144" s="453"/>
      <c r="RXV144" s="453"/>
      <c r="RXW144" s="453"/>
      <c r="RXX144" s="461"/>
      <c r="RXY144" s="461"/>
      <c r="RXZ144" s="461"/>
      <c r="RYA144" s="609"/>
      <c r="RYB144" s="607"/>
      <c r="RYC144" s="607"/>
      <c r="RYD144" s="607"/>
      <c r="RYE144" s="463"/>
      <c r="RYF144" s="454"/>
      <c r="RYG144" s="607"/>
      <c r="RYH144" s="607"/>
      <c r="RYI144" s="607"/>
      <c r="RYJ144" s="607"/>
      <c r="RYK144" s="607"/>
      <c r="RYL144" s="453"/>
      <c r="RYM144" s="289"/>
      <c r="RYN144" s="453"/>
      <c r="RYO144" s="453"/>
      <c r="RYP144" s="453"/>
      <c r="RYQ144" s="453"/>
      <c r="RYR144" s="453"/>
      <c r="RYS144" s="461"/>
      <c r="RYT144" s="461"/>
      <c r="RYU144" s="461"/>
      <c r="RYV144" s="609"/>
      <c r="RYW144" s="607"/>
      <c r="RYX144" s="607"/>
      <c r="RYY144" s="607"/>
      <c r="RYZ144" s="463"/>
      <c r="RZA144" s="454"/>
      <c r="RZB144" s="607"/>
      <c r="RZC144" s="607"/>
      <c r="RZD144" s="607"/>
      <c r="RZE144" s="607"/>
      <c r="RZF144" s="607"/>
      <c r="RZG144" s="453"/>
      <c r="RZH144" s="289"/>
      <c r="RZI144" s="453"/>
      <c r="RZJ144" s="453"/>
      <c r="RZK144" s="453"/>
      <c r="RZL144" s="453"/>
      <c r="RZM144" s="453"/>
      <c r="RZN144" s="461"/>
      <c r="RZO144" s="461"/>
      <c r="RZP144" s="461"/>
      <c r="RZQ144" s="609"/>
      <c r="RZR144" s="607"/>
      <c r="RZS144" s="607"/>
      <c r="RZT144" s="607"/>
      <c r="RZU144" s="463"/>
      <c r="RZV144" s="454"/>
      <c r="RZW144" s="607"/>
      <c r="RZX144" s="607"/>
      <c r="RZY144" s="607"/>
      <c r="RZZ144" s="607"/>
      <c r="SAA144" s="607"/>
      <c r="SAB144" s="453"/>
      <c r="SAC144" s="289"/>
      <c r="SAD144" s="453"/>
      <c r="SAE144" s="453"/>
      <c r="SAF144" s="453"/>
      <c r="SAG144" s="453"/>
      <c r="SAH144" s="453"/>
      <c r="SAI144" s="461"/>
      <c r="SAJ144" s="461"/>
      <c r="SAK144" s="461"/>
      <c r="SAL144" s="609"/>
      <c r="SAM144" s="607"/>
      <c r="SAN144" s="607"/>
      <c r="SAO144" s="607"/>
      <c r="SAP144" s="463"/>
      <c r="SAQ144" s="454"/>
      <c r="SAR144" s="607"/>
      <c r="SAS144" s="607"/>
      <c r="SAT144" s="607"/>
      <c r="SAU144" s="607"/>
      <c r="SAV144" s="607"/>
      <c r="SAW144" s="453"/>
      <c r="SAX144" s="289"/>
      <c r="SAY144" s="453"/>
      <c r="SAZ144" s="453"/>
      <c r="SBA144" s="453"/>
      <c r="SBB144" s="453"/>
      <c r="SBC144" s="453"/>
      <c r="SBD144" s="461"/>
      <c r="SBE144" s="461"/>
      <c r="SBF144" s="461"/>
      <c r="SBG144" s="609"/>
      <c r="SBH144" s="607"/>
      <c r="SBI144" s="607"/>
      <c r="SBJ144" s="607"/>
      <c r="SBK144" s="463"/>
      <c r="SBL144" s="454"/>
      <c r="SBM144" s="607"/>
      <c r="SBN144" s="607"/>
      <c r="SBO144" s="607"/>
      <c r="SBP144" s="607"/>
      <c r="SBQ144" s="607"/>
      <c r="SBR144" s="453"/>
      <c r="SBS144" s="289"/>
      <c r="SBT144" s="453"/>
      <c r="SBU144" s="453"/>
      <c r="SBV144" s="453"/>
      <c r="SBW144" s="453"/>
      <c r="SBX144" s="453"/>
      <c r="SBY144" s="461"/>
      <c r="SBZ144" s="461"/>
      <c r="SCA144" s="461"/>
      <c r="SCB144" s="609"/>
      <c r="SCC144" s="607"/>
      <c r="SCD144" s="607"/>
      <c r="SCE144" s="607"/>
      <c r="SCF144" s="463"/>
      <c r="SCG144" s="454"/>
      <c r="SCH144" s="607"/>
      <c r="SCI144" s="607"/>
      <c r="SCJ144" s="607"/>
      <c r="SCK144" s="607"/>
      <c r="SCL144" s="607"/>
      <c r="SCM144" s="453"/>
      <c r="SCN144" s="289"/>
      <c r="SCO144" s="453"/>
      <c r="SCP144" s="453"/>
      <c r="SCQ144" s="453"/>
      <c r="SCR144" s="453"/>
      <c r="SCS144" s="453"/>
      <c r="SCT144" s="461"/>
      <c r="SCU144" s="461"/>
      <c r="SCV144" s="461"/>
      <c r="SCW144" s="609"/>
      <c r="SCX144" s="607"/>
      <c r="SCY144" s="607"/>
      <c r="SCZ144" s="607"/>
      <c r="SDA144" s="463"/>
      <c r="SDB144" s="454"/>
      <c r="SDC144" s="607"/>
      <c r="SDD144" s="607"/>
      <c r="SDE144" s="607"/>
      <c r="SDF144" s="607"/>
      <c r="SDG144" s="607"/>
      <c r="SDH144" s="453"/>
      <c r="SDI144" s="289"/>
      <c r="SDJ144" s="453"/>
      <c r="SDK144" s="453"/>
      <c r="SDL144" s="453"/>
      <c r="SDM144" s="453"/>
      <c r="SDN144" s="453"/>
      <c r="SDO144" s="461"/>
      <c r="SDP144" s="461"/>
      <c r="SDQ144" s="461"/>
      <c r="SDR144" s="609"/>
      <c r="SDS144" s="607"/>
      <c r="SDT144" s="607"/>
      <c r="SDU144" s="607"/>
      <c r="SDV144" s="463"/>
      <c r="SDW144" s="454"/>
      <c r="SDX144" s="607"/>
      <c r="SDY144" s="607"/>
      <c r="SDZ144" s="607"/>
      <c r="SEA144" s="607"/>
      <c r="SEB144" s="607"/>
      <c r="SEC144" s="453"/>
      <c r="SED144" s="289"/>
      <c r="SEE144" s="453"/>
      <c r="SEF144" s="453"/>
      <c r="SEG144" s="453"/>
      <c r="SEH144" s="453"/>
      <c r="SEI144" s="453"/>
      <c r="SEJ144" s="461"/>
      <c r="SEK144" s="461"/>
      <c r="SEL144" s="461"/>
      <c r="SEM144" s="609"/>
      <c r="SEN144" s="607"/>
      <c r="SEO144" s="607"/>
      <c r="SEP144" s="607"/>
      <c r="SEQ144" s="463"/>
      <c r="SER144" s="454"/>
      <c r="SES144" s="607"/>
      <c r="SET144" s="607"/>
      <c r="SEU144" s="607"/>
      <c r="SEV144" s="607"/>
      <c r="SEW144" s="607"/>
      <c r="SEX144" s="453"/>
      <c r="SEY144" s="289"/>
      <c r="SEZ144" s="453"/>
      <c r="SFA144" s="453"/>
      <c r="SFB144" s="453"/>
      <c r="SFC144" s="453"/>
      <c r="SFD144" s="453"/>
      <c r="SFE144" s="461"/>
      <c r="SFF144" s="461"/>
      <c r="SFG144" s="461"/>
      <c r="SFH144" s="609"/>
      <c r="SFI144" s="607"/>
      <c r="SFJ144" s="607"/>
      <c r="SFK144" s="607"/>
      <c r="SFL144" s="463"/>
      <c r="SFM144" s="454"/>
      <c r="SFN144" s="607"/>
      <c r="SFO144" s="607"/>
      <c r="SFP144" s="607"/>
      <c r="SFQ144" s="607"/>
      <c r="SFR144" s="607"/>
      <c r="SFS144" s="453"/>
      <c r="SFT144" s="289"/>
      <c r="SFU144" s="453"/>
      <c r="SFV144" s="453"/>
      <c r="SFW144" s="453"/>
      <c r="SFX144" s="453"/>
      <c r="SFY144" s="453"/>
      <c r="SFZ144" s="461"/>
      <c r="SGA144" s="461"/>
      <c r="SGB144" s="461"/>
      <c r="SGC144" s="609"/>
      <c r="SGD144" s="607"/>
      <c r="SGE144" s="607"/>
      <c r="SGF144" s="607"/>
      <c r="SGG144" s="463"/>
      <c r="SGH144" s="454"/>
      <c r="SGI144" s="607"/>
      <c r="SGJ144" s="607"/>
      <c r="SGK144" s="607"/>
      <c r="SGL144" s="607"/>
      <c r="SGM144" s="607"/>
      <c r="SGN144" s="453"/>
      <c r="SGO144" s="289"/>
      <c r="SGP144" s="453"/>
      <c r="SGQ144" s="453"/>
      <c r="SGR144" s="453"/>
      <c r="SGS144" s="453"/>
      <c r="SGT144" s="453"/>
      <c r="SGU144" s="461"/>
      <c r="SGV144" s="461"/>
      <c r="SGW144" s="461"/>
      <c r="SGX144" s="609"/>
      <c r="SGY144" s="607"/>
      <c r="SGZ144" s="607"/>
      <c r="SHA144" s="607"/>
      <c r="SHB144" s="463"/>
      <c r="SHC144" s="454"/>
      <c r="SHD144" s="607"/>
      <c r="SHE144" s="607"/>
      <c r="SHF144" s="607"/>
      <c r="SHG144" s="607"/>
      <c r="SHH144" s="607"/>
      <c r="SHI144" s="453"/>
      <c r="SHJ144" s="289"/>
      <c r="SHK144" s="453"/>
      <c r="SHL144" s="453"/>
      <c r="SHM144" s="453"/>
      <c r="SHN144" s="453"/>
      <c r="SHO144" s="453"/>
      <c r="SHP144" s="461"/>
      <c r="SHQ144" s="461"/>
      <c r="SHR144" s="461"/>
      <c r="SHS144" s="609"/>
      <c r="SHT144" s="607"/>
      <c r="SHU144" s="607"/>
      <c r="SHV144" s="607"/>
      <c r="SHW144" s="463"/>
      <c r="SHX144" s="454"/>
      <c r="SHY144" s="607"/>
      <c r="SHZ144" s="607"/>
      <c r="SIA144" s="607"/>
      <c r="SIB144" s="607"/>
      <c r="SIC144" s="607"/>
      <c r="SID144" s="453"/>
      <c r="SIE144" s="289"/>
      <c r="SIF144" s="453"/>
      <c r="SIG144" s="453"/>
      <c r="SIH144" s="453"/>
      <c r="SII144" s="453"/>
      <c r="SIJ144" s="453"/>
      <c r="SIK144" s="461"/>
      <c r="SIL144" s="461"/>
      <c r="SIM144" s="461"/>
      <c r="SIN144" s="609"/>
      <c r="SIO144" s="607"/>
      <c r="SIP144" s="607"/>
      <c r="SIQ144" s="607"/>
      <c r="SIR144" s="463"/>
      <c r="SIS144" s="454"/>
      <c r="SIT144" s="607"/>
      <c r="SIU144" s="607"/>
      <c r="SIV144" s="607"/>
      <c r="SIW144" s="607"/>
      <c r="SIX144" s="607"/>
      <c r="SIY144" s="453"/>
      <c r="SIZ144" s="289"/>
      <c r="SJA144" s="453"/>
      <c r="SJB144" s="453"/>
      <c r="SJC144" s="453"/>
      <c r="SJD144" s="453"/>
      <c r="SJE144" s="453"/>
      <c r="SJF144" s="461"/>
      <c r="SJG144" s="461"/>
      <c r="SJH144" s="461"/>
      <c r="SJI144" s="609"/>
      <c r="SJJ144" s="607"/>
      <c r="SJK144" s="607"/>
      <c r="SJL144" s="607"/>
      <c r="SJM144" s="463"/>
      <c r="SJN144" s="454"/>
      <c r="SJO144" s="607"/>
      <c r="SJP144" s="607"/>
      <c r="SJQ144" s="607"/>
      <c r="SJR144" s="607"/>
      <c r="SJS144" s="607"/>
      <c r="SJT144" s="453"/>
      <c r="SJU144" s="289"/>
      <c r="SJV144" s="453"/>
      <c r="SJW144" s="453"/>
      <c r="SJX144" s="453"/>
      <c r="SJY144" s="453"/>
      <c r="SJZ144" s="453"/>
      <c r="SKA144" s="461"/>
      <c r="SKB144" s="461"/>
      <c r="SKC144" s="461"/>
      <c r="SKD144" s="609"/>
      <c r="SKE144" s="607"/>
      <c r="SKF144" s="607"/>
      <c r="SKG144" s="607"/>
      <c r="SKH144" s="463"/>
      <c r="SKI144" s="454"/>
      <c r="SKJ144" s="607"/>
      <c r="SKK144" s="607"/>
      <c r="SKL144" s="607"/>
      <c r="SKM144" s="607"/>
      <c r="SKN144" s="607"/>
      <c r="SKO144" s="453"/>
      <c r="SKP144" s="289"/>
      <c r="SKQ144" s="453"/>
      <c r="SKR144" s="453"/>
      <c r="SKS144" s="453"/>
      <c r="SKT144" s="453"/>
      <c r="SKU144" s="453"/>
      <c r="SKV144" s="461"/>
      <c r="SKW144" s="461"/>
      <c r="SKX144" s="461"/>
      <c r="SKY144" s="609"/>
      <c r="SKZ144" s="607"/>
      <c r="SLA144" s="607"/>
      <c r="SLB144" s="607"/>
      <c r="SLC144" s="463"/>
      <c r="SLD144" s="454"/>
      <c r="SLE144" s="607"/>
      <c r="SLF144" s="607"/>
      <c r="SLG144" s="607"/>
      <c r="SLH144" s="607"/>
      <c r="SLI144" s="607"/>
      <c r="SLJ144" s="453"/>
      <c r="SLK144" s="289"/>
      <c r="SLL144" s="453"/>
      <c r="SLM144" s="453"/>
      <c r="SLN144" s="453"/>
      <c r="SLO144" s="453"/>
      <c r="SLP144" s="453"/>
      <c r="SLQ144" s="461"/>
      <c r="SLR144" s="461"/>
      <c r="SLS144" s="461"/>
      <c r="SLT144" s="609"/>
      <c r="SLU144" s="607"/>
      <c r="SLV144" s="607"/>
      <c r="SLW144" s="607"/>
      <c r="SLX144" s="463"/>
      <c r="SLY144" s="454"/>
      <c r="SLZ144" s="607"/>
      <c r="SMA144" s="607"/>
      <c r="SMB144" s="607"/>
      <c r="SMC144" s="607"/>
      <c r="SMD144" s="607"/>
      <c r="SME144" s="453"/>
      <c r="SMF144" s="289"/>
      <c r="SMG144" s="453"/>
      <c r="SMH144" s="453"/>
      <c r="SMI144" s="453"/>
      <c r="SMJ144" s="453"/>
      <c r="SMK144" s="453"/>
      <c r="SML144" s="461"/>
      <c r="SMM144" s="461"/>
      <c r="SMN144" s="461"/>
      <c r="SMO144" s="609"/>
      <c r="SMP144" s="607"/>
      <c r="SMQ144" s="607"/>
      <c r="SMR144" s="607"/>
      <c r="SMS144" s="463"/>
      <c r="SMT144" s="454"/>
      <c r="SMU144" s="607"/>
      <c r="SMV144" s="607"/>
      <c r="SMW144" s="607"/>
      <c r="SMX144" s="607"/>
      <c r="SMY144" s="607"/>
      <c r="SMZ144" s="453"/>
      <c r="SNA144" s="289"/>
      <c r="SNB144" s="453"/>
      <c r="SNC144" s="453"/>
      <c r="SND144" s="453"/>
      <c r="SNE144" s="453"/>
      <c r="SNF144" s="453"/>
      <c r="SNG144" s="461"/>
      <c r="SNH144" s="461"/>
      <c r="SNI144" s="461"/>
      <c r="SNJ144" s="609"/>
      <c r="SNK144" s="607"/>
      <c r="SNL144" s="607"/>
      <c r="SNM144" s="607"/>
      <c r="SNN144" s="463"/>
      <c r="SNO144" s="454"/>
      <c r="SNP144" s="607"/>
      <c r="SNQ144" s="607"/>
      <c r="SNR144" s="607"/>
      <c r="SNS144" s="607"/>
      <c r="SNT144" s="607"/>
      <c r="SNU144" s="453"/>
      <c r="SNV144" s="289"/>
      <c r="SNW144" s="453"/>
      <c r="SNX144" s="453"/>
      <c r="SNY144" s="453"/>
      <c r="SNZ144" s="453"/>
      <c r="SOA144" s="453"/>
      <c r="SOB144" s="461"/>
      <c r="SOC144" s="461"/>
      <c r="SOD144" s="461"/>
      <c r="SOE144" s="609"/>
      <c r="SOF144" s="607"/>
      <c r="SOG144" s="607"/>
      <c r="SOH144" s="607"/>
      <c r="SOI144" s="463"/>
      <c r="SOJ144" s="454"/>
      <c r="SOK144" s="607"/>
      <c r="SOL144" s="607"/>
      <c r="SOM144" s="607"/>
      <c r="SON144" s="607"/>
      <c r="SOO144" s="607"/>
      <c r="SOP144" s="453"/>
      <c r="SOQ144" s="289"/>
      <c r="SOR144" s="453"/>
      <c r="SOS144" s="453"/>
      <c r="SOT144" s="453"/>
      <c r="SOU144" s="453"/>
      <c r="SOV144" s="453"/>
      <c r="SOW144" s="461"/>
      <c r="SOX144" s="461"/>
      <c r="SOY144" s="461"/>
      <c r="SOZ144" s="609"/>
      <c r="SPA144" s="607"/>
      <c r="SPB144" s="607"/>
      <c r="SPC144" s="607"/>
      <c r="SPD144" s="463"/>
      <c r="SPE144" s="454"/>
      <c r="SPF144" s="607"/>
      <c r="SPG144" s="607"/>
      <c r="SPH144" s="607"/>
      <c r="SPI144" s="607"/>
      <c r="SPJ144" s="607"/>
      <c r="SPK144" s="453"/>
      <c r="SPL144" s="289"/>
      <c r="SPM144" s="453"/>
      <c r="SPN144" s="453"/>
      <c r="SPO144" s="453"/>
      <c r="SPP144" s="453"/>
      <c r="SPQ144" s="453"/>
      <c r="SPR144" s="461"/>
      <c r="SPS144" s="461"/>
      <c r="SPT144" s="461"/>
      <c r="SPU144" s="609"/>
      <c r="SPV144" s="607"/>
      <c r="SPW144" s="607"/>
      <c r="SPX144" s="607"/>
      <c r="SPY144" s="463"/>
      <c r="SPZ144" s="454"/>
      <c r="SQA144" s="607"/>
      <c r="SQB144" s="607"/>
      <c r="SQC144" s="607"/>
      <c r="SQD144" s="607"/>
      <c r="SQE144" s="607"/>
      <c r="SQF144" s="453"/>
      <c r="SQG144" s="289"/>
      <c r="SQH144" s="453"/>
      <c r="SQI144" s="453"/>
      <c r="SQJ144" s="453"/>
      <c r="SQK144" s="453"/>
      <c r="SQL144" s="453"/>
      <c r="SQM144" s="461"/>
      <c r="SQN144" s="461"/>
      <c r="SQO144" s="461"/>
      <c r="SQP144" s="609"/>
      <c r="SQQ144" s="607"/>
      <c r="SQR144" s="607"/>
      <c r="SQS144" s="607"/>
      <c r="SQT144" s="463"/>
      <c r="SQU144" s="454"/>
      <c r="SQV144" s="607"/>
      <c r="SQW144" s="607"/>
      <c r="SQX144" s="607"/>
      <c r="SQY144" s="607"/>
      <c r="SQZ144" s="607"/>
      <c r="SRA144" s="453"/>
      <c r="SRB144" s="289"/>
      <c r="SRC144" s="453"/>
      <c r="SRD144" s="453"/>
      <c r="SRE144" s="453"/>
      <c r="SRF144" s="453"/>
      <c r="SRG144" s="453"/>
      <c r="SRH144" s="461"/>
      <c r="SRI144" s="461"/>
      <c r="SRJ144" s="461"/>
      <c r="SRK144" s="609"/>
      <c r="SRL144" s="607"/>
      <c r="SRM144" s="607"/>
      <c r="SRN144" s="607"/>
      <c r="SRO144" s="463"/>
      <c r="SRP144" s="454"/>
      <c r="SRQ144" s="607"/>
      <c r="SRR144" s="607"/>
      <c r="SRS144" s="607"/>
      <c r="SRT144" s="607"/>
      <c r="SRU144" s="607"/>
      <c r="SRV144" s="453"/>
      <c r="SRW144" s="289"/>
      <c r="SRX144" s="453"/>
      <c r="SRY144" s="453"/>
      <c r="SRZ144" s="453"/>
      <c r="SSA144" s="453"/>
      <c r="SSB144" s="453"/>
      <c r="SSC144" s="461"/>
      <c r="SSD144" s="461"/>
      <c r="SSE144" s="461"/>
      <c r="SSF144" s="609"/>
      <c r="SSG144" s="607"/>
      <c r="SSH144" s="607"/>
      <c r="SSI144" s="607"/>
      <c r="SSJ144" s="463"/>
      <c r="SSK144" s="454"/>
      <c r="SSL144" s="607"/>
      <c r="SSM144" s="607"/>
      <c r="SSN144" s="607"/>
      <c r="SSO144" s="607"/>
      <c r="SSP144" s="607"/>
      <c r="SSQ144" s="453"/>
      <c r="SSR144" s="289"/>
      <c r="SSS144" s="453"/>
      <c r="SST144" s="453"/>
      <c r="SSU144" s="453"/>
      <c r="SSV144" s="453"/>
      <c r="SSW144" s="453"/>
      <c r="SSX144" s="461"/>
      <c r="SSY144" s="461"/>
      <c r="SSZ144" s="461"/>
      <c r="STA144" s="609"/>
      <c r="STB144" s="607"/>
      <c r="STC144" s="607"/>
      <c r="STD144" s="607"/>
      <c r="STE144" s="463"/>
      <c r="STF144" s="454"/>
      <c r="STG144" s="607"/>
      <c r="STH144" s="607"/>
      <c r="STI144" s="607"/>
      <c r="STJ144" s="607"/>
      <c r="STK144" s="607"/>
      <c r="STL144" s="453"/>
      <c r="STM144" s="289"/>
      <c r="STN144" s="453"/>
      <c r="STO144" s="453"/>
      <c r="STP144" s="453"/>
      <c r="STQ144" s="453"/>
      <c r="STR144" s="453"/>
      <c r="STS144" s="461"/>
      <c r="STT144" s="461"/>
      <c r="STU144" s="461"/>
      <c r="STV144" s="609"/>
      <c r="STW144" s="607"/>
      <c r="STX144" s="607"/>
      <c r="STY144" s="607"/>
      <c r="STZ144" s="463"/>
      <c r="SUA144" s="454"/>
      <c r="SUB144" s="607"/>
      <c r="SUC144" s="607"/>
      <c r="SUD144" s="607"/>
      <c r="SUE144" s="607"/>
      <c r="SUF144" s="607"/>
      <c r="SUG144" s="453"/>
      <c r="SUH144" s="289"/>
      <c r="SUI144" s="453"/>
      <c r="SUJ144" s="453"/>
      <c r="SUK144" s="453"/>
      <c r="SUL144" s="453"/>
      <c r="SUM144" s="453"/>
      <c r="SUN144" s="461"/>
      <c r="SUO144" s="461"/>
      <c r="SUP144" s="461"/>
      <c r="SUQ144" s="609"/>
      <c r="SUR144" s="607"/>
      <c r="SUS144" s="607"/>
      <c r="SUT144" s="607"/>
      <c r="SUU144" s="463"/>
      <c r="SUV144" s="454"/>
      <c r="SUW144" s="607"/>
      <c r="SUX144" s="607"/>
      <c r="SUY144" s="607"/>
      <c r="SUZ144" s="607"/>
      <c r="SVA144" s="607"/>
      <c r="SVB144" s="453"/>
      <c r="SVC144" s="289"/>
      <c r="SVD144" s="453"/>
      <c r="SVE144" s="453"/>
      <c r="SVF144" s="453"/>
      <c r="SVG144" s="453"/>
      <c r="SVH144" s="453"/>
      <c r="SVI144" s="461"/>
      <c r="SVJ144" s="461"/>
      <c r="SVK144" s="461"/>
      <c r="SVL144" s="609"/>
      <c r="SVM144" s="607"/>
      <c r="SVN144" s="607"/>
      <c r="SVO144" s="607"/>
      <c r="SVP144" s="463"/>
      <c r="SVQ144" s="454"/>
      <c r="SVR144" s="607"/>
      <c r="SVS144" s="607"/>
      <c r="SVT144" s="607"/>
      <c r="SVU144" s="607"/>
      <c r="SVV144" s="607"/>
      <c r="SVW144" s="453"/>
      <c r="SVX144" s="289"/>
      <c r="SVY144" s="453"/>
      <c r="SVZ144" s="453"/>
      <c r="SWA144" s="453"/>
      <c r="SWB144" s="453"/>
      <c r="SWC144" s="453"/>
      <c r="SWD144" s="461"/>
      <c r="SWE144" s="461"/>
      <c r="SWF144" s="461"/>
      <c r="SWG144" s="609"/>
      <c r="SWH144" s="607"/>
      <c r="SWI144" s="607"/>
      <c r="SWJ144" s="607"/>
      <c r="SWK144" s="463"/>
      <c r="SWL144" s="454"/>
      <c r="SWM144" s="607"/>
      <c r="SWN144" s="607"/>
      <c r="SWO144" s="607"/>
      <c r="SWP144" s="607"/>
      <c r="SWQ144" s="607"/>
      <c r="SWR144" s="453"/>
      <c r="SWS144" s="289"/>
      <c r="SWT144" s="453"/>
      <c r="SWU144" s="453"/>
      <c r="SWV144" s="453"/>
      <c r="SWW144" s="453"/>
      <c r="SWX144" s="453"/>
      <c r="SWY144" s="461"/>
      <c r="SWZ144" s="461"/>
      <c r="SXA144" s="461"/>
      <c r="SXB144" s="609"/>
      <c r="SXC144" s="607"/>
      <c r="SXD144" s="607"/>
      <c r="SXE144" s="607"/>
      <c r="SXF144" s="463"/>
      <c r="SXG144" s="454"/>
      <c r="SXH144" s="607"/>
      <c r="SXI144" s="607"/>
      <c r="SXJ144" s="607"/>
      <c r="SXK144" s="607"/>
      <c r="SXL144" s="607"/>
      <c r="SXM144" s="453"/>
      <c r="SXN144" s="289"/>
      <c r="SXO144" s="453"/>
      <c r="SXP144" s="453"/>
      <c r="SXQ144" s="453"/>
      <c r="SXR144" s="453"/>
      <c r="SXS144" s="453"/>
      <c r="SXT144" s="461"/>
      <c r="SXU144" s="461"/>
      <c r="SXV144" s="461"/>
      <c r="SXW144" s="609"/>
      <c r="SXX144" s="607"/>
      <c r="SXY144" s="607"/>
      <c r="SXZ144" s="607"/>
      <c r="SYA144" s="463"/>
      <c r="SYB144" s="454"/>
      <c r="SYC144" s="607"/>
      <c r="SYD144" s="607"/>
      <c r="SYE144" s="607"/>
      <c r="SYF144" s="607"/>
      <c r="SYG144" s="607"/>
      <c r="SYH144" s="453"/>
      <c r="SYI144" s="289"/>
      <c r="SYJ144" s="453"/>
      <c r="SYK144" s="453"/>
      <c r="SYL144" s="453"/>
      <c r="SYM144" s="453"/>
      <c r="SYN144" s="453"/>
      <c r="SYO144" s="461"/>
      <c r="SYP144" s="461"/>
      <c r="SYQ144" s="461"/>
      <c r="SYR144" s="609"/>
      <c r="SYS144" s="607"/>
      <c r="SYT144" s="607"/>
      <c r="SYU144" s="607"/>
      <c r="SYV144" s="463"/>
      <c r="SYW144" s="454"/>
      <c r="SYX144" s="607"/>
      <c r="SYY144" s="607"/>
      <c r="SYZ144" s="607"/>
      <c r="SZA144" s="607"/>
      <c r="SZB144" s="607"/>
      <c r="SZC144" s="453"/>
      <c r="SZD144" s="289"/>
      <c r="SZE144" s="453"/>
      <c r="SZF144" s="453"/>
      <c r="SZG144" s="453"/>
      <c r="SZH144" s="453"/>
      <c r="SZI144" s="453"/>
      <c r="SZJ144" s="461"/>
      <c r="SZK144" s="461"/>
      <c r="SZL144" s="461"/>
      <c r="SZM144" s="609"/>
      <c r="SZN144" s="607"/>
      <c r="SZO144" s="607"/>
      <c r="SZP144" s="607"/>
      <c r="SZQ144" s="463"/>
      <c r="SZR144" s="454"/>
      <c r="SZS144" s="607"/>
      <c r="SZT144" s="607"/>
      <c r="SZU144" s="607"/>
      <c r="SZV144" s="607"/>
      <c r="SZW144" s="607"/>
      <c r="SZX144" s="453"/>
      <c r="SZY144" s="289"/>
      <c r="SZZ144" s="453"/>
      <c r="TAA144" s="453"/>
      <c r="TAB144" s="453"/>
      <c r="TAC144" s="453"/>
      <c r="TAD144" s="453"/>
      <c r="TAE144" s="461"/>
      <c r="TAF144" s="461"/>
      <c r="TAG144" s="461"/>
      <c r="TAH144" s="609"/>
      <c r="TAI144" s="607"/>
      <c r="TAJ144" s="607"/>
      <c r="TAK144" s="607"/>
      <c r="TAL144" s="463"/>
      <c r="TAM144" s="454"/>
      <c r="TAN144" s="607"/>
      <c r="TAO144" s="607"/>
      <c r="TAP144" s="607"/>
      <c r="TAQ144" s="607"/>
      <c r="TAR144" s="607"/>
      <c r="TAS144" s="453"/>
      <c r="TAT144" s="289"/>
      <c r="TAU144" s="453"/>
      <c r="TAV144" s="453"/>
      <c r="TAW144" s="453"/>
      <c r="TAX144" s="453"/>
      <c r="TAY144" s="453"/>
      <c r="TAZ144" s="461"/>
      <c r="TBA144" s="461"/>
      <c r="TBB144" s="461"/>
      <c r="TBC144" s="609"/>
      <c r="TBD144" s="607"/>
      <c r="TBE144" s="607"/>
      <c r="TBF144" s="607"/>
      <c r="TBG144" s="463"/>
      <c r="TBH144" s="454"/>
      <c r="TBI144" s="607"/>
      <c r="TBJ144" s="607"/>
      <c r="TBK144" s="607"/>
      <c r="TBL144" s="607"/>
      <c r="TBM144" s="607"/>
      <c r="TBN144" s="453"/>
      <c r="TBO144" s="289"/>
      <c r="TBP144" s="453"/>
      <c r="TBQ144" s="453"/>
      <c r="TBR144" s="453"/>
      <c r="TBS144" s="453"/>
      <c r="TBT144" s="453"/>
      <c r="TBU144" s="461"/>
      <c r="TBV144" s="461"/>
      <c r="TBW144" s="461"/>
      <c r="TBX144" s="609"/>
      <c r="TBY144" s="607"/>
      <c r="TBZ144" s="607"/>
      <c r="TCA144" s="607"/>
      <c r="TCB144" s="463"/>
      <c r="TCC144" s="454"/>
      <c r="TCD144" s="607"/>
      <c r="TCE144" s="607"/>
      <c r="TCF144" s="607"/>
      <c r="TCG144" s="607"/>
      <c r="TCH144" s="607"/>
      <c r="TCI144" s="453"/>
      <c r="TCJ144" s="289"/>
      <c r="TCK144" s="453"/>
      <c r="TCL144" s="453"/>
      <c r="TCM144" s="453"/>
      <c r="TCN144" s="453"/>
      <c r="TCO144" s="453"/>
      <c r="TCP144" s="461"/>
      <c r="TCQ144" s="461"/>
      <c r="TCR144" s="461"/>
      <c r="TCS144" s="609"/>
      <c r="TCT144" s="607"/>
      <c r="TCU144" s="607"/>
      <c r="TCV144" s="607"/>
      <c r="TCW144" s="463"/>
      <c r="TCX144" s="454"/>
      <c r="TCY144" s="607"/>
      <c r="TCZ144" s="607"/>
      <c r="TDA144" s="607"/>
      <c r="TDB144" s="607"/>
      <c r="TDC144" s="607"/>
      <c r="TDD144" s="453"/>
      <c r="TDE144" s="289"/>
      <c r="TDF144" s="453"/>
      <c r="TDG144" s="453"/>
      <c r="TDH144" s="453"/>
      <c r="TDI144" s="453"/>
      <c r="TDJ144" s="453"/>
      <c r="TDK144" s="461"/>
      <c r="TDL144" s="461"/>
      <c r="TDM144" s="461"/>
      <c r="TDN144" s="609"/>
      <c r="TDO144" s="607"/>
      <c r="TDP144" s="607"/>
      <c r="TDQ144" s="607"/>
      <c r="TDR144" s="463"/>
      <c r="TDS144" s="454"/>
      <c r="TDT144" s="607"/>
      <c r="TDU144" s="607"/>
      <c r="TDV144" s="607"/>
      <c r="TDW144" s="607"/>
      <c r="TDX144" s="607"/>
      <c r="TDY144" s="453"/>
      <c r="TDZ144" s="289"/>
      <c r="TEA144" s="453"/>
      <c r="TEB144" s="453"/>
      <c r="TEC144" s="453"/>
      <c r="TED144" s="453"/>
      <c r="TEE144" s="453"/>
      <c r="TEF144" s="461"/>
      <c r="TEG144" s="461"/>
      <c r="TEH144" s="461"/>
      <c r="TEI144" s="609"/>
      <c r="TEJ144" s="607"/>
      <c r="TEK144" s="607"/>
      <c r="TEL144" s="607"/>
      <c r="TEM144" s="463"/>
      <c r="TEN144" s="454"/>
      <c r="TEO144" s="607"/>
      <c r="TEP144" s="607"/>
      <c r="TEQ144" s="607"/>
      <c r="TER144" s="607"/>
      <c r="TES144" s="607"/>
      <c r="TET144" s="453"/>
      <c r="TEU144" s="289"/>
      <c r="TEV144" s="453"/>
      <c r="TEW144" s="453"/>
      <c r="TEX144" s="453"/>
      <c r="TEY144" s="453"/>
      <c r="TEZ144" s="453"/>
      <c r="TFA144" s="461"/>
      <c r="TFB144" s="461"/>
      <c r="TFC144" s="461"/>
      <c r="TFD144" s="609"/>
      <c r="TFE144" s="607"/>
      <c r="TFF144" s="607"/>
      <c r="TFG144" s="607"/>
      <c r="TFH144" s="463"/>
      <c r="TFI144" s="454"/>
      <c r="TFJ144" s="607"/>
      <c r="TFK144" s="607"/>
      <c r="TFL144" s="607"/>
      <c r="TFM144" s="607"/>
      <c r="TFN144" s="607"/>
      <c r="TFO144" s="453"/>
      <c r="TFP144" s="289"/>
      <c r="TFQ144" s="453"/>
      <c r="TFR144" s="453"/>
      <c r="TFS144" s="453"/>
      <c r="TFT144" s="453"/>
      <c r="TFU144" s="453"/>
      <c r="TFV144" s="461"/>
      <c r="TFW144" s="461"/>
      <c r="TFX144" s="461"/>
      <c r="TFY144" s="609"/>
      <c r="TFZ144" s="607"/>
      <c r="TGA144" s="607"/>
      <c r="TGB144" s="607"/>
      <c r="TGC144" s="463"/>
      <c r="TGD144" s="454"/>
      <c r="TGE144" s="607"/>
      <c r="TGF144" s="607"/>
      <c r="TGG144" s="607"/>
      <c r="TGH144" s="607"/>
      <c r="TGI144" s="607"/>
      <c r="TGJ144" s="453"/>
      <c r="TGK144" s="289"/>
      <c r="TGL144" s="453"/>
      <c r="TGM144" s="453"/>
      <c r="TGN144" s="453"/>
      <c r="TGO144" s="453"/>
      <c r="TGP144" s="453"/>
      <c r="TGQ144" s="461"/>
      <c r="TGR144" s="461"/>
      <c r="TGS144" s="461"/>
      <c r="TGT144" s="609"/>
      <c r="TGU144" s="607"/>
      <c r="TGV144" s="607"/>
      <c r="TGW144" s="607"/>
      <c r="TGX144" s="463"/>
      <c r="TGY144" s="454"/>
      <c r="TGZ144" s="607"/>
      <c r="THA144" s="607"/>
      <c r="THB144" s="607"/>
      <c r="THC144" s="607"/>
      <c r="THD144" s="607"/>
      <c r="THE144" s="453"/>
      <c r="THF144" s="289"/>
      <c r="THG144" s="453"/>
      <c r="THH144" s="453"/>
      <c r="THI144" s="453"/>
      <c r="THJ144" s="453"/>
      <c r="THK144" s="453"/>
      <c r="THL144" s="461"/>
      <c r="THM144" s="461"/>
      <c r="THN144" s="461"/>
      <c r="THO144" s="609"/>
      <c r="THP144" s="607"/>
      <c r="THQ144" s="607"/>
      <c r="THR144" s="607"/>
      <c r="THS144" s="463"/>
      <c r="THT144" s="454"/>
      <c r="THU144" s="607"/>
      <c r="THV144" s="607"/>
      <c r="THW144" s="607"/>
      <c r="THX144" s="607"/>
      <c r="THY144" s="607"/>
      <c r="THZ144" s="453"/>
      <c r="TIA144" s="289"/>
      <c r="TIB144" s="453"/>
      <c r="TIC144" s="453"/>
      <c r="TID144" s="453"/>
      <c r="TIE144" s="453"/>
      <c r="TIF144" s="453"/>
      <c r="TIG144" s="461"/>
      <c r="TIH144" s="461"/>
      <c r="TII144" s="461"/>
      <c r="TIJ144" s="609"/>
      <c r="TIK144" s="607"/>
      <c r="TIL144" s="607"/>
      <c r="TIM144" s="607"/>
      <c r="TIN144" s="463"/>
      <c r="TIO144" s="454"/>
      <c r="TIP144" s="607"/>
      <c r="TIQ144" s="607"/>
      <c r="TIR144" s="607"/>
      <c r="TIS144" s="607"/>
      <c r="TIT144" s="607"/>
      <c r="TIU144" s="453"/>
      <c r="TIV144" s="289"/>
      <c r="TIW144" s="453"/>
      <c r="TIX144" s="453"/>
      <c r="TIY144" s="453"/>
      <c r="TIZ144" s="453"/>
      <c r="TJA144" s="453"/>
      <c r="TJB144" s="461"/>
      <c r="TJC144" s="461"/>
      <c r="TJD144" s="461"/>
      <c r="TJE144" s="609"/>
      <c r="TJF144" s="607"/>
      <c r="TJG144" s="607"/>
      <c r="TJH144" s="607"/>
      <c r="TJI144" s="463"/>
      <c r="TJJ144" s="454"/>
      <c r="TJK144" s="607"/>
      <c r="TJL144" s="607"/>
      <c r="TJM144" s="607"/>
      <c r="TJN144" s="607"/>
      <c r="TJO144" s="607"/>
      <c r="TJP144" s="453"/>
      <c r="TJQ144" s="289"/>
      <c r="TJR144" s="453"/>
      <c r="TJS144" s="453"/>
      <c r="TJT144" s="453"/>
      <c r="TJU144" s="453"/>
      <c r="TJV144" s="453"/>
      <c r="TJW144" s="461"/>
      <c r="TJX144" s="461"/>
      <c r="TJY144" s="461"/>
      <c r="TJZ144" s="609"/>
      <c r="TKA144" s="607"/>
      <c r="TKB144" s="607"/>
      <c r="TKC144" s="607"/>
      <c r="TKD144" s="463"/>
      <c r="TKE144" s="454"/>
      <c r="TKF144" s="607"/>
      <c r="TKG144" s="607"/>
      <c r="TKH144" s="607"/>
      <c r="TKI144" s="607"/>
      <c r="TKJ144" s="607"/>
      <c r="TKK144" s="453"/>
      <c r="TKL144" s="289"/>
      <c r="TKM144" s="453"/>
      <c r="TKN144" s="453"/>
      <c r="TKO144" s="453"/>
      <c r="TKP144" s="453"/>
      <c r="TKQ144" s="453"/>
      <c r="TKR144" s="461"/>
      <c r="TKS144" s="461"/>
      <c r="TKT144" s="461"/>
      <c r="TKU144" s="609"/>
      <c r="TKV144" s="607"/>
      <c r="TKW144" s="607"/>
      <c r="TKX144" s="607"/>
      <c r="TKY144" s="463"/>
      <c r="TKZ144" s="454"/>
      <c r="TLA144" s="607"/>
      <c r="TLB144" s="607"/>
      <c r="TLC144" s="607"/>
      <c r="TLD144" s="607"/>
      <c r="TLE144" s="607"/>
      <c r="TLF144" s="453"/>
      <c r="TLG144" s="289"/>
      <c r="TLH144" s="453"/>
      <c r="TLI144" s="453"/>
      <c r="TLJ144" s="453"/>
      <c r="TLK144" s="453"/>
      <c r="TLL144" s="453"/>
      <c r="TLM144" s="461"/>
      <c r="TLN144" s="461"/>
      <c r="TLO144" s="461"/>
      <c r="TLP144" s="609"/>
      <c r="TLQ144" s="607"/>
      <c r="TLR144" s="607"/>
      <c r="TLS144" s="607"/>
      <c r="TLT144" s="463"/>
      <c r="TLU144" s="454"/>
      <c r="TLV144" s="607"/>
      <c r="TLW144" s="607"/>
      <c r="TLX144" s="607"/>
      <c r="TLY144" s="607"/>
      <c r="TLZ144" s="607"/>
      <c r="TMA144" s="453"/>
      <c r="TMB144" s="289"/>
      <c r="TMC144" s="453"/>
      <c r="TMD144" s="453"/>
      <c r="TME144" s="453"/>
      <c r="TMF144" s="453"/>
      <c r="TMG144" s="453"/>
      <c r="TMH144" s="461"/>
      <c r="TMI144" s="461"/>
      <c r="TMJ144" s="461"/>
      <c r="TMK144" s="609"/>
      <c r="TML144" s="607"/>
      <c r="TMM144" s="607"/>
      <c r="TMN144" s="607"/>
      <c r="TMO144" s="463"/>
      <c r="TMP144" s="454"/>
      <c r="TMQ144" s="607"/>
      <c r="TMR144" s="607"/>
      <c r="TMS144" s="607"/>
      <c r="TMT144" s="607"/>
      <c r="TMU144" s="607"/>
      <c r="TMV144" s="453"/>
      <c r="TMW144" s="289"/>
      <c r="TMX144" s="453"/>
      <c r="TMY144" s="453"/>
      <c r="TMZ144" s="453"/>
      <c r="TNA144" s="453"/>
      <c r="TNB144" s="453"/>
      <c r="TNC144" s="461"/>
      <c r="TND144" s="461"/>
      <c r="TNE144" s="461"/>
      <c r="TNF144" s="609"/>
      <c r="TNG144" s="607"/>
      <c r="TNH144" s="607"/>
      <c r="TNI144" s="607"/>
      <c r="TNJ144" s="463"/>
      <c r="TNK144" s="454"/>
      <c r="TNL144" s="607"/>
      <c r="TNM144" s="607"/>
      <c r="TNN144" s="607"/>
      <c r="TNO144" s="607"/>
      <c r="TNP144" s="607"/>
      <c r="TNQ144" s="453"/>
      <c r="TNR144" s="289"/>
      <c r="TNS144" s="453"/>
      <c r="TNT144" s="453"/>
      <c r="TNU144" s="453"/>
      <c r="TNV144" s="453"/>
      <c r="TNW144" s="453"/>
      <c r="TNX144" s="461"/>
      <c r="TNY144" s="461"/>
      <c r="TNZ144" s="461"/>
      <c r="TOA144" s="609"/>
      <c r="TOB144" s="607"/>
      <c r="TOC144" s="607"/>
      <c r="TOD144" s="607"/>
      <c r="TOE144" s="463"/>
      <c r="TOF144" s="454"/>
      <c r="TOG144" s="607"/>
      <c r="TOH144" s="607"/>
      <c r="TOI144" s="607"/>
      <c r="TOJ144" s="607"/>
      <c r="TOK144" s="607"/>
      <c r="TOL144" s="453"/>
      <c r="TOM144" s="289"/>
      <c r="TON144" s="453"/>
      <c r="TOO144" s="453"/>
      <c r="TOP144" s="453"/>
      <c r="TOQ144" s="453"/>
      <c r="TOR144" s="453"/>
      <c r="TOS144" s="461"/>
      <c r="TOT144" s="461"/>
      <c r="TOU144" s="461"/>
      <c r="TOV144" s="609"/>
      <c r="TOW144" s="607"/>
      <c r="TOX144" s="607"/>
      <c r="TOY144" s="607"/>
      <c r="TOZ144" s="463"/>
      <c r="TPA144" s="454"/>
      <c r="TPB144" s="607"/>
      <c r="TPC144" s="607"/>
      <c r="TPD144" s="607"/>
      <c r="TPE144" s="607"/>
      <c r="TPF144" s="607"/>
      <c r="TPG144" s="453"/>
      <c r="TPH144" s="289"/>
      <c r="TPI144" s="453"/>
      <c r="TPJ144" s="453"/>
      <c r="TPK144" s="453"/>
      <c r="TPL144" s="453"/>
      <c r="TPM144" s="453"/>
      <c r="TPN144" s="461"/>
      <c r="TPO144" s="461"/>
      <c r="TPP144" s="461"/>
      <c r="TPQ144" s="609"/>
      <c r="TPR144" s="607"/>
      <c r="TPS144" s="607"/>
      <c r="TPT144" s="607"/>
      <c r="TPU144" s="463"/>
      <c r="TPV144" s="454"/>
      <c r="TPW144" s="607"/>
      <c r="TPX144" s="607"/>
      <c r="TPY144" s="607"/>
      <c r="TPZ144" s="607"/>
      <c r="TQA144" s="607"/>
      <c r="TQB144" s="453"/>
      <c r="TQC144" s="289"/>
      <c r="TQD144" s="453"/>
      <c r="TQE144" s="453"/>
      <c r="TQF144" s="453"/>
      <c r="TQG144" s="453"/>
      <c r="TQH144" s="453"/>
      <c r="TQI144" s="461"/>
      <c r="TQJ144" s="461"/>
      <c r="TQK144" s="461"/>
      <c r="TQL144" s="609"/>
      <c r="TQM144" s="607"/>
      <c r="TQN144" s="607"/>
      <c r="TQO144" s="607"/>
      <c r="TQP144" s="463"/>
      <c r="TQQ144" s="454"/>
      <c r="TQR144" s="607"/>
      <c r="TQS144" s="607"/>
      <c r="TQT144" s="607"/>
      <c r="TQU144" s="607"/>
      <c r="TQV144" s="607"/>
      <c r="TQW144" s="453"/>
      <c r="TQX144" s="289"/>
      <c r="TQY144" s="453"/>
      <c r="TQZ144" s="453"/>
      <c r="TRA144" s="453"/>
      <c r="TRB144" s="453"/>
      <c r="TRC144" s="453"/>
      <c r="TRD144" s="461"/>
      <c r="TRE144" s="461"/>
      <c r="TRF144" s="461"/>
      <c r="TRG144" s="609"/>
      <c r="TRH144" s="607"/>
      <c r="TRI144" s="607"/>
      <c r="TRJ144" s="607"/>
      <c r="TRK144" s="463"/>
      <c r="TRL144" s="454"/>
      <c r="TRM144" s="607"/>
      <c r="TRN144" s="607"/>
      <c r="TRO144" s="607"/>
      <c r="TRP144" s="607"/>
      <c r="TRQ144" s="607"/>
      <c r="TRR144" s="453"/>
      <c r="TRS144" s="289"/>
      <c r="TRT144" s="453"/>
      <c r="TRU144" s="453"/>
      <c r="TRV144" s="453"/>
      <c r="TRW144" s="453"/>
      <c r="TRX144" s="453"/>
      <c r="TRY144" s="461"/>
      <c r="TRZ144" s="461"/>
      <c r="TSA144" s="461"/>
      <c r="TSB144" s="609"/>
      <c r="TSC144" s="607"/>
      <c r="TSD144" s="607"/>
      <c r="TSE144" s="607"/>
      <c r="TSF144" s="463"/>
      <c r="TSG144" s="454"/>
      <c r="TSH144" s="607"/>
      <c r="TSI144" s="607"/>
      <c r="TSJ144" s="607"/>
      <c r="TSK144" s="607"/>
      <c r="TSL144" s="607"/>
      <c r="TSM144" s="453"/>
      <c r="TSN144" s="289"/>
      <c r="TSO144" s="453"/>
      <c r="TSP144" s="453"/>
      <c r="TSQ144" s="453"/>
      <c r="TSR144" s="453"/>
      <c r="TSS144" s="453"/>
      <c r="TST144" s="461"/>
      <c r="TSU144" s="461"/>
      <c r="TSV144" s="461"/>
      <c r="TSW144" s="609"/>
      <c r="TSX144" s="607"/>
      <c r="TSY144" s="607"/>
      <c r="TSZ144" s="607"/>
      <c r="TTA144" s="463"/>
      <c r="TTB144" s="454"/>
      <c r="TTC144" s="607"/>
      <c r="TTD144" s="607"/>
      <c r="TTE144" s="607"/>
      <c r="TTF144" s="607"/>
      <c r="TTG144" s="607"/>
      <c r="TTH144" s="453"/>
      <c r="TTI144" s="289"/>
      <c r="TTJ144" s="453"/>
      <c r="TTK144" s="453"/>
      <c r="TTL144" s="453"/>
      <c r="TTM144" s="453"/>
      <c r="TTN144" s="453"/>
      <c r="TTO144" s="461"/>
      <c r="TTP144" s="461"/>
      <c r="TTQ144" s="461"/>
      <c r="TTR144" s="609"/>
      <c r="TTS144" s="607"/>
      <c r="TTT144" s="607"/>
      <c r="TTU144" s="607"/>
      <c r="TTV144" s="463"/>
      <c r="TTW144" s="454"/>
      <c r="TTX144" s="607"/>
      <c r="TTY144" s="607"/>
      <c r="TTZ144" s="607"/>
      <c r="TUA144" s="607"/>
      <c r="TUB144" s="607"/>
      <c r="TUC144" s="453"/>
      <c r="TUD144" s="289"/>
      <c r="TUE144" s="453"/>
      <c r="TUF144" s="453"/>
      <c r="TUG144" s="453"/>
      <c r="TUH144" s="453"/>
      <c r="TUI144" s="453"/>
      <c r="TUJ144" s="461"/>
      <c r="TUK144" s="461"/>
      <c r="TUL144" s="461"/>
      <c r="TUM144" s="609"/>
      <c r="TUN144" s="607"/>
      <c r="TUO144" s="607"/>
      <c r="TUP144" s="607"/>
      <c r="TUQ144" s="463"/>
      <c r="TUR144" s="454"/>
      <c r="TUS144" s="607"/>
      <c r="TUT144" s="607"/>
      <c r="TUU144" s="607"/>
      <c r="TUV144" s="607"/>
      <c r="TUW144" s="607"/>
      <c r="TUX144" s="453"/>
      <c r="TUY144" s="289"/>
      <c r="TUZ144" s="453"/>
      <c r="TVA144" s="453"/>
      <c r="TVB144" s="453"/>
      <c r="TVC144" s="453"/>
      <c r="TVD144" s="453"/>
      <c r="TVE144" s="461"/>
      <c r="TVF144" s="461"/>
      <c r="TVG144" s="461"/>
      <c r="TVH144" s="609"/>
      <c r="TVI144" s="607"/>
      <c r="TVJ144" s="607"/>
      <c r="TVK144" s="607"/>
      <c r="TVL144" s="463"/>
      <c r="TVM144" s="454"/>
      <c r="TVN144" s="607"/>
      <c r="TVO144" s="607"/>
      <c r="TVP144" s="607"/>
      <c r="TVQ144" s="607"/>
      <c r="TVR144" s="607"/>
      <c r="TVS144" s="453"/>
      <c r="TVT144" s="289"/>
      <c r="TVU144" s="453"/>
      <c r="TVV144" s="453"/>
      <c r="TVW144" s="453"/>
      <c r="TVX144" s="453"/>
      <c r="TVY144" s="453"/>
      <c r="TVZ144" s="461"/>
      <c r="TWA144" s="461"/>
      <c r="TWB144" s="461"/>
      <c r="TWC144" s="609"/>
      <c r="TWD144" s="607"/>
      <c r="TWE144" s="607"/>
      <c r="TWF144" s="607"/>
      <c r="TWG144" s="463"/>
      <c r="TWH144" s="454"/>
      <c r="TWI144" s="607"/>
      <c r="TWJ144" s="607"/>
      <c r="TWK144" s="607"/>
      <c r="TWL144" s="607"/>
      <c r="TWM144" s="607"/>
      <c r="TWN144" s="453"/>
      <c r="TWO144" s="289"/>
      <c r="TWP144" s="453"/>
      <c r="TWQ144" s="453"/>
      <c r="TWR144" s="453"/>
      <c r="TWS144" s="453"/>
      <c r="TWT144" s="453"/>
      <c r="TWU144" s="461"/>
      <c r="TWV144" s="461"/>
      <c r="TWW144" s="461"/>
      <c r="TWX144" s="609"/>
      <c r="TWY144" s="607"/>
      <c r="TWZ144" s="607"/>
      <c r="TXA144" s="607"/>
      <c r="TXB144" s="463"/>
      <c r="TXC144" s="454"/>
      <c r="TXD144" s="607"/>
      <c r="TXE144" s="607"/>
      <c r="TXF144" s="607"/>
      <c r="TXG144" s="607"/>
      <c r="TXH144" s="607"/>
      <c r="TXI144" s="453"/>
      <c r="TXJ144" s="289"/>
      <c r="TXK144" s="453"/>
      <c r="TXL144" s="453"/>
      <c r="TXM144" s="453"/>
      <c r="TXN144" s="453"/>
      <c r="TXO144" s="453"/>
      <c r="TXP144" s="461"/>
      <c r="TXQ144" s="461"/>
      <c r="TXR144" s="461"/>
      <c r="TXS144" s="609"/>
      <c r="TXT144" s="607"/>
      <c r="TXU144" s="607"/>
      <c r="TXV144" s="607"/>
      <c r="TXW144" s="463"/>
      <c r="TXX144" s="454"/>
      <c r="TXY144" s="607"/>
      <c r="TXZ144" s="607"/>
      <c r="TYA144" s="607"/>
      <c r="TYB144" s="607"/>
      <c r="TYC144" s="607"/>
      <c r="TYD144" s="453"/>
      <c r="TYE144" s="289"/>
      <c r="TYF144" s="453"/>
      <c r="TYG144" s="453"/>
      <c r="TYH144" s="453"/>
      <c r="TYI144" s="453"/>
      <c r="TYJ144" s="453"/>
      <c r="TYK144" s="461"/>
      <c r="TYL144" s="461"/>
      <c r="TYM144" s="461"/>
      <c r="TYN144" s="609"/>
      <c r="TYO144" s="607"/>
      <c r="TYP144" s="607"/>
      <c r="TYQ144" s="607"/>
      <c r="TYR144" s="463"/>
      <c r="TYS144" s="454"/>
      <c r="TYT144" s="607"/>
      <c r="TYU144" s="607"/>
      <c r="TYV144" s="607"/>
      <c r="TYW144" s="607"/>
      <c r="TYX144" s="607"/>
      <c r="TYY144" s="453"/>
      <c r="TYZ144" s="289"/>
      <c r="TZA144" s="453"/>
      <c r="TZB144" s="453"/>
      <c r="TZC144" s="453"/>
      <c r="TZD144" s="453"/>
      <c r="TZE144" s="453"/>
      <c r="TZF144" s="461"/>
      <c r="TZG144" s="461"/>
      <c r="TZH144" s="461"/>
      <c r="TZI144" s="609"/>
      <c r="TZJ144" s="607"/>
      <c r="TZK144" s="607"/>
      <c r="TZL144" s="607"/>
      <c r="TZM144" s="463"/>
      <c r="TZN144" s="454"/>
      <c r="TZO144" s="607"/>
      <c r="TZP144" s="607"/>
      <c r="TZQ144" s="607"/>
      <c r="TZR144" s="607"/>
      <c r="TZS144" s="607"/>
      <c r="TZT144" s="453"/>
      <c r="TZU144" s="289"/>
      <c r="TZV144" s="453"/>
      <c r="TZW144" s="453"/>
      <c r="TZX144" s="453"/>
      <c r="TZY144" s="453"/>
      <c r="TZZ144" s="453"/>
      <c r="UAA144" s="461"/>
      <c r="UAB144" s="461"/>
      <c r="UAC144" s="461"/>
      <c r="UAD144" s="609"/>
      <c r="UAE144" s="607"/>
      <c r="UAF144" s="607"/>
      <c r="UAG144" s="607"/>
      <c r="UAH144" s="463"/>
      <c r="UAI144" s="454"/>
      <c r="UAJ144" s="607"/>
      <c r="UAK144" s="607"/>
      <c r="UAL144" s="607"/>
      <c r="UAM144" s="607"/>
      <c r="UAN144" s="607"/>
      <c r="UAO144" s="453"/>
      <c r="UAP144" s="289"/>
      <c r="UAQ144" s="453"/>
      <c r="UAR144" s="453"/>
      <c r="UAS144" s="453"/>
      <c r="UAT144" s="453"/>
      <c r="UAU144" s="453"/>
      <c r="UAV144" s="461"/>
      <c r="UAW144" s="461"/>
      <c r="UAX144" s="461"/>
      <c r="UAY144" s="609"/>
      <c r="UAZ144" s="607"/>
      <c r="UBA144" s="607"/>
      <c r="UBB144" s="607"/>
      <c r="UBC144" s="463"/>
      <c r="UBD144" s="454"/>
      <c r="UBE144" s="607"/>
      <c r="UBF144" s="607"/>
      <c r="UBG144" s="607"/>
      <c r="UBH144" s="607"/>
      <c r="UBI144" s="607"/>
      <c r="UBJ144" s="453"/>
      <c r="UBK144" s="289"/>
      <c r="UBL144" s="453"/>
      <c r="UBM144" s="453"/>
      <c r="UBN144" s="453"/>
      <c r="UBO144" s="453"/>
      <c r="UBP144" s="453"/>
      <c r="UBQ144" s="461"/>
      <c r="UBR144" s="461"/>
      <c r="UBS144" s="461"/>
      <c r="UBT144" s="609"/>
      <c r="UBU144" s="607"/>
      <c r="UBV144" s="607"/>
      <c r="UBW144" s="607"/>
      <c r="UBX144" s="463"/>
      <c r="UBY144" s="454"/>
      <c r="UBZ144" s="607"/>
      <c r="UCA144" s="607"/>
      <c r="UCB144" s="607"/>
      <c r="UCC144" s="607"/>
      <c r="UCD144" s="607"/>
      <c r="UCE144" s="453"/>
      <c r="UCF144" s="289"/>
      <c r="UCG144" s="453"/>
      <c r="UCH144" s="453"/>
      <c r="UCI144" s="453"/>
      <c r="UCJ144" s="453"/>
      <c r="UCK144" s="453"/>
      <c r="UCL144" s="461"/>
      <c r="UCM144" s="461"/>
      <c r="UCN144" s="461"/>
      <c r="UCO144" s="609"/>
      <c r="UCP144" s="607"/>
      <c r="UCQ144" s="607"/>
      <c r="UCR144" s="607"/>
      <c r="UCS144" s="463"/>
      <c r="UCT144" s="454"/>
      <c r="UCU144" s="607"/>
      <c r="UCV144" s="607"/>
      <c r="UCW144" s="607"/>
      <c r="UCX144" s="607"/>
      <c r="UCY144" s="607"/>
      <c r="UCZ144" s="453"/>
      <c r="UDA144" s="289"/>
      <c r="UDB144" s="453"/>
      <c r="UDC144" s="453"/>
      <c r="UDD144" s="453"/>
      <c r="UDE144" s="453"/>
      <c r="UDF144" s="453"/>
      <c r="UDG144" s="461"/>
      <c r="UDH144" s="461"/>
      <c r="UDI144" s="461"/>
      <c r="UDJ144" s="609"/>
      <c r="UDK144" s="607"/>
      <c r="UDL144" s="607"/>
      <c r="UDM144" s="607"/>
      <c r="UDN144" s="463"/>
      <c r="UDO144" s="454"/>
      <c r="UDP144" s="607"/>
      <c r="UDQ144" s="607"/>
      <c r="UDR144" s="607"/>
      <c r="UDS144" s="607"/>
      <c r="UDT144" s="607"/>
      <c r="UDU144" s="453"/>
      <c r="UDV144" s="289"/>
      <c r="UDW144" s="453"/>
      <c r="UDX144" s="453"/>
      <c r="UDY144" s="453"/>
      <c r="UDZ144" s="453"/>
      <c r="UEA144" s="453"/>
      <c r="UEB144" s="461"/>
      <c r="UEC144" s="461"/>
      <c r="UED144" s="461"/>
      <c r="UEE144" s="609"/>
      <c r="UEF144" s="607"/>
      <c r="UEG144" s="607"/>
      <c r="UEH144" s="607"/>
      <c r="UEI144" s="463"/>
      <c r="UEJ144" s="454"/>
      <c r="UEK144" s="607"/>
      <c r="UEL144" s="607"/>
      <c r="UEM144" s="607"/>
      <c r="UEN144" s="607"/>
      <c r="UEO144" s="607"/>
      <c r="UEP144" s="453"/>
      <c r="UEQ144" s="289"/>
      <c r="UER144" s="453"/>
      <c r="UES144" s="453"/>
      <c r="UET144" s="453"/>
      <c r="UEU144" s="453"/>
      <c r="UEV144" s="453"/>
      <c r="UEW144" s="461"/>
      <c r="UEX144" s="461"/>
      <c r="UEY144" s="461"/>
      <c r="UEZ144" s="609"/>
      <c r="UFA144" s="607"/>
      <c r="UFB144" s="607"/>
      <c r="UFC144" s="607"/>
      <c r="UFD144" s="463"/>
      <c r="UFE144" s="454"/>
      <c r="UFF144" s="607"/>
      <c r="UFG144" s="607"/>
      <c r="UFH144" s="607"/>
      <c r="UFI144" s="607"/>
      <c r="UFJ144" s="607"/>
      <c r="UFK144" s="453"/>
      <c r="UFL144" s="289"/>
      <c r="UFM144" s="453"/>
      <c r="UFN144" s="453"/>
      <c r="UFO144" s="453"/>
      <c r="UFP144" s="453"/>
      <c r="UFQ144" s="453"/>
      <c r="UFR144" s="461"/>
      <c r="UFS144" s="461"/>
      <c r="UFT144" s="461"/>
      <c r="UFU144" s="609"/>
      <c r="UFV144" s="607"/>
      <c r="UFW144" s="607"/>
      <c r="UFX144" s="607"/>
      <c r="UFY144" s="463"/>
      <c r="UFZ144" s="454"/>
      <c r="UGA144" s="607"/>
      <c r="UGB144" s="607"/>
      <c r="UGC144" s="607"/>
      <c r="UGD144" s="607"/>
      <c r="UGE144" s="607"/>
      <c r="UGF144" s="453"/>
      <c r="UGG144" s="289"/>
      <c r="UGH144" s="453"/>
      <c r="UGI144" s="453"/>
      <c r="UGJ144" s="453"/>
      <c r="UGK144" s="453"/>
      <c r="UGL144" s="453"/>
      <c r="UGM144" s="461"/>
      <c r="UGN144" s="461"/>
      <c r="UGO144" s="461"/>
      <c r="UGP144" s="609"/>
      <c r="UGQ144" s="607"/>
      <c r="UGR144" s="607"/>
      <c r="UGS144" s="607"/>
      <c r="UGT144" s="463"/>
      <c r="UGU144" s="454"/>
      <c r="UGV144" s="607"/>
      <c r="UGW144" s="607"/>
      <c r="UGX144" s="607"/>
      <c r="UGY144" s="607"/>
      <c r="UGZ144" s="607"/>
      <c r="UHA144" s="453"/>
      <c r="UHB144" s="289"/>
      <c r="UHC144" s="453"/>
      <c r="UHD144" s="453"/>
      <c r="UHE144" s="453"/>
      <c r="UHF144" s="453"/>
      <c r="UHG144" s="453"/>
      <c r="UHH144" s="461"/>
      <c r="UHI144" s="461"/>
      <c r="UHJ144" s="461"/>
      <c r="UHK144" s="609"/>
      <c r="UHL144" s="607"/>
      <c r="UHM144" s="607"/>
      <c r="UHN144" s="607"/>
      <c r="UHO144" s="463"/>
      <c r="UHP144" s="454"/>
      <c r="UHQ144" s="607"/>
      <c r="UHR144" s="607"/>
      <c r="UHS144" s="607"/>
      <c r="UHT144" s="607"/>
      <c r="UHU144" s="607"/>
      <c r="UHV144" s="453"/>
      <c r="UHW144" s="289"/>
      <c r="UHX144" s="453"/>
      <c r="UHY144" s="453"/>
      <c r="UHZ144" s="453"/>
      <c r="UIA144" s="453"/>
      <c r="UIB144" s="453"/>
      <c r="UIC144" s="461"/>
      <c r="UID144" s="461"/>
      <c r="UIE144" s="461"/>
      <c r="UIF144" s="609"/>
      <c r="UIG144" s="607"/>
      <c r="UIH144" s="607"/>
      <c r="UII144" s="607"/>
      <c r="UIJ144" s="463"/>
      <c r="UIK144" s="454"/>
      <c r="UIL144" s="607"/>
      <c r="UIM144" s="607"/>
      <c r="UIN144" s="607"/>
      <c r="UIO144" s="607"/>
      <c r="UIP144" s="607"/>
      <c r="UIQ144" s="453"/>
      <c r="UIR144" s="289"/>
      <c r="UIS144" s="453"/>
      <c r="UIT144" s="453"/>
      <c r="UIU144" s="453"/>
      <c r="UIV144" s="453"/>
      <c r="UIW144" s="453"/>
      <c r="UIX144" s="461"/>
      <c r="UIY144" s="461"/>
      <c r="UIZ144" s="461"/>
      <c r="UJA144" s="609"/>
      <c r="UJB144" s="607"/>
      <c r="UJC144" s="607"/>
      <c r="UJD144" s="607"/>
      <c r="UJE144" s="463"/>
      <c r="UJF144" s="454"/>
      <c r="UJG144" s="607"/>
      <c r="UJH144" s="607"/>
      <c r="UJI144" s="607"/>
      <c r="UJJ144" s="607"/>
      <c r="UJK144" s="607"/>
      <c r="UJL144" s="453"/>
      <c r="UJM144" s="289"/>
      <c r="UJN144" s="453"/>
      <c r="UJO144" s="453"/>
      <c r="UJP144" s="453"/>
      <c r="UJQ144" s="453"/>
      <c r="UJR144" s="453"/>
      <c r="UJS144" s="461"/>
      <c r="UJT144" s="461"/>
      <c r="UJU144" s="461"/>
      <c r="UJV144" s="609"/>
      <c r="UJW144" s="607"/>
      <c r="UJX144" s="607"/>
      <c r="UJY144" s="607"/>
      <c r="UJZ144" s="463"/>
      <c r="UKA144" s="454"/>
      <c r="UKB144" s="607"/>
      <c r="UKC144" s="607"/>
      <c r="UKD144" s="607"/>
      <c r="UKE144" s="607"/>
      <c r="UKF144" s="607"/>
      <c r="UKG144" s="453"/>
      <c r="UKH144" s="289"/>
      <c r="UKI144" s="453"/>
      <c r="UKJ144" s="453"/>
      <c r="UKK144" s="453"/>
      <c r="UKL144" s="453"/>
      <c r="UKM144" s="453"/>
      <c r="UKN144" s="461"/>
      <c r="UKO144" s="461"/>
      <c r="UKP144" s="461"/>
      <c r="UKQ144" s="609"/>
      <c r="UKR144" s="607"/>
      <c r="UKS144" s="607"/>
      <c r="UKT144" s="607"/>
      <c r="UKU144" s="463"/>
      <c r="UKV144" s="454"/>
      <c r="UKW144" s="607"/>
      <c r="UKX144" s="607"/>
      <c r="UKY144" s="607"/>
      <c r="UKZ144" s="607"/>
      <c r="ULA144" s="607"/>
      <c r="ULB144" s="453"/>
      <c r="ULC144" s="289"/>
      <c r="ULD144" s="453"/>
      <c r="ULE144" s="453"/>
      <c r="ULF144" s="453"/>
      <c r="ULG144" s="453"/>
      <c r="ULH144" s="453"/>
      <c r="ULI144" s="461"/>
      <c r="ULJ144" s="461"/>
      <c r="ULK144" s="461"/>
      <c r="ULL144" s="609"/>
      <c r="ULM144" s="607"/>
      <c r="ULN144" s="607"/>
      <c r="ULO144" s="607"/>
      <c r="ULP144" s="463"/>
      <c r="ULQ144" s="454"/>
      <c r="ULR144" s="607"/>
      <c r="ULS144" s="607"/>
      <c r="ULT144" s="607"/>
      <c r="ULU144" s="607"/>
      <c r="ULV144" s="607"/>
      <c r="ULW144" s="453"/>
      <c r="ULX144" s="289"/>
      <c r="ULY144" s="453"/>
      <c r="ULZ144" s="453"/>
      <c r="UMA144" s="453"/>
      <c r="UMB144" s="453"/>
      <c r="UMC144" s="453"/>
      <c r="UMD144" s="461"/>
      <c r="UME144" s="461"/>
      <c r="UMF144" s="461"/>
      <c r="UMG144" s="609"/>
      <c r="UMH144" s="607"/>
      <c r="UMI144" s="607"/>
      <c r="UMJ144" s="607"/>
      <c r="UMK144" s="463"/>
      <c r="UML144" s="454"/>
      <c r="UMM144" s="607"/>
      <c r="UMN144" s="607"/>
      <c r="UMO144" s="607"/>
      <c r="UMP144" s="607"/>
      <c r="UMQ144" s="607"/>
      <c r="UMR144" s="453"/>
      <c r="UMS144" s="289"/>
      <c r="UMT144" s="453"/>
      <c r="UMU144" s="453"/>
      <c r="UMV144" s="453"/>
      <c r="UMW144" s="453"/>
      <c r="UMX144" s="453"/>
      <c r="UMY144" s="461"/>
      <c r="UMZ144" s="461"/>
      <c r="UNA144" s="461"/>
      <c r="UNB144" s="609"/>
      <c r="UNC144" s="607"/>
      <c r="UND144" s="607"/>
      <c r="UNE144" s="607"/>
      <c r="UNF144" s="463"/>
      <c r="UNG144" s="454"/>
      <c r="UNH144" s="607"/>
      <c r="UNI144" s="607"/>
      <c r="UNJ144" s="607"/>
      <c r="UNK144" s="607"/>
      <c r="UNL144" s="607"/>
      <c r="UNM144" s="453"/>
      <c r="UNN144" s="289"/>
      <c r="UNO144" s="453"/>
      <c r="UNP144" s="453"/>
      <c r="UNQ144" s="453"/>
      <c r="UNR144" s="453"/>
      <c r="UNS144" s="453"/>
      <c r="UNT144" s="461"/>
      <c r="UNU144" s="461"/>
      <c r="UNV144" s="461"/>
      <c r="UNW144" s="609"/>
      <c r="UNX144" s="607"/>
      <c r="UNY144" s="607"/>
      <c r="UNZ144" s="607"/>
      <c r="UOA144" s="463"/>
      <c r="UOB144" s="454"/>
      <c r="UOC144" s="607"/>
      <c r="UOD144" s="607"/>
      <c r="UOE144" s="607"/>
      <c r="UOF144" s="607"/>
      <c r="UOG144" s="607"/>
      <c r="UOH144" s="453"/>
      <c r="UOI144" s="289"/>
      <c r="UOJ144" s="453"/>
      <c r="UOK144" s="453"/>
      <c r="UOL144" s="453"/>
      <c r="UOM144" s="453"/>
      <c r="UON144" s="453"/>
      <c r="UOO144" s="461"/>
      <c r="UOP144" s="461"/>
      <c r="UOQ144" s="461"/>
      <c r="UOR144" s="609"/>
      <c r="UOS144" s="607"/>
      <c r="UOT144" s="607"/>
      <c r="UOU144" s="607"/>
      <c r="UOV144" s="463"/>
      <c r="UOW144" s="454"/>
      <c r="UOX144" s="607"/>
      <c r="UOY144" s="607"/>
      <c r="UOZ144" s="607"/>
      <c r="UPA144" s="607"/>
      <c r="UPB144" s="607"/>
      <c r="UPC144" s="453"/>
      <c r="UPD144" s="289"/>
      <c r="UPE144" s="453"/>
      <c r="UPF144" s="453"/>
      <c r="UPG144" s="453"/>
      <c r="UPH144" s="453"/>
      <c r="UPI144" s="453"/>
      <c r="UPJ144" s="461"/>
      <c r="UPK144" s="461"/>
      <c r="UPL144" s="461"/>
      <c r="UPM144" s="609"/>
      <c r="UPN144" s="607"/>
      <c r="UPO144" s="607"/>
      <c r="UPP144" s="607"/>
      <c r="UPQ144" s="463"/>
      <c r="UPR144" s="454"/>
      <c r="UPS144" s="607"/>
      <c r="UPT144" s="607"/>
      <c r="UPU144" s="607"/>
      <c r="UPV144" s="607"/>
      <c r="UPW144" s="607"/>
      <c r="UPX144" s="453"/>
      <c r="UPY144" s="289"/>
      <c r="UPZ144" s="453"/>
      <c r="UQA144" s="453"/>
      <c r="UQB144" s="453"/>
      <c r="UQC144" s="453"/>
      <c r="UQD144" s="453"/>
      <c r="UQE144" s="461"/>
      <c r="UQF144" s="461"/>
      <c r="UQG144" s="461"/>
      <c r="UQH144" s="609"/>
      <c r="UQI144" s="607"/>
      <c r="UQJ144" s="607"/>
      <c r="UQK144" s="607"/>
      <c r="UQL144" s="463"/>
      <c r="UQM144" s="454"/>
      <c r="UQN144" s="607"/>
      <c r="UQO144" s="607"/>
      <c r="UQP144" s="607"/>
      <c r="UQQ144" s="607"/>
      <c r="UQR144" s="607"/>
      <c r="UQS144" s="453"/>
      <c r="UQT144" s="289"/>
      <c r="UQU144" s="453"/>
      <c r="UQV144" s="453"/>
      <c r="UQW144" s="453"/>
      <c r="UQX144" s="453"/>
      <c r="UQY144" s="453"/>
      <c r="UQZ144" s="461"/>
      <c r="URA144" s="461"/>
      <c r="URB144" s="461"/>
      <c r="URC144" s="609"/>
      <c r="URD144" s="607"/>
      <c r="URE144" s="607"/>
      <c r="URF144" s="607"/>
      <c r="URG144" s="463"/>
      <c r="URH144" s="454"/>
      <c r="URI144" s="607"/>
      <c r="URJ144" s="607"/>
      <c r="URK144" s="607"/>
      <c r="URL144" s="607"/>
      <c r="URM144" s="607"/>
      <c r="URN144" s="453"/>
      <c r="URO144" s="289"/>
      <c r="URP144" s="453"/>
      <c r="URQ144" s="453"/>
      <c r="URR144" s="453"/>
      <c r="URS144" s="453"/>
      <c r="URT144" s="453"/>
      <c r="URU144" s="461"/>
      <c r="URV144" s="461"/>
      <c r="URW144" s="461"/>
      <c r="URX144" s="609"/>
      <c r="URY144" s="607"/>
      <c r="URZ144" s="607"/>
      <c r="USA144" s="607"/>
      <c r="USB144" s="463"/>
      <c r="USC144" s="454"/>
      <c r="USD144" s="607"/>
      <c r="USE144" s="607"/>
      <c r="USF144" s="607"/>
      <c r="USG144" s="607"/>
      <c r="USH144" s="607"/>
      <c r="USI144" s="453"/>
      <c r="USJ144" s="289"/>
      <c r="USK144" s="453"/>
      <c r="USL144" s="453"/>
      <c r="USM144" s="453"/>
      <c r="USN144" s="453"/>
      <c r="USO144" s="453"/>
      <c r="USP144" s="461"/>
      <c r="USQ144" s="461"/>
      <c r="USR144" s="461"/>
      <c r="USS144" s="609"/>
      <c r="UST144" s="607"/>
      <c r="USU144" s="607"/>
      <c r="USV144" s="607"/>
      <c r="USW144" s="463"/>
      <c r="USX144" s="454"/>
      <c r="USY144" s="607"/>
      <c r="USZ144" s="607"/>
      <c r="UTA144" s="607"/>
      <c r="UTB144" s="607"/>
      <c r="UTC144" s="607"/>
      <c r="UTD144" s="453"/>
      <c r="UTE144" s="289"/>
      <c r="UTF144" s="453"/>
      <c r="UTG144" s="453"/>
      <c r="UTH144" s="453"/>
      <c r="UTI144" s="453"/>
      <c r="UTJ144" s="453"/>
      <c r="UTK144" s="461"/>
      <c r="UTL144" s="461"/>
      <c r="UTM144" s="461"/>
      <c r="UTN144" s="609"/>
      <c r="UTO144" s="607"/>
      <c r="UTP144" s="607"/>
      <c r="UTQ144" s="607"/>
      <c r="UTR144" s="463"/>
      <c r="UTS144" s="454"/>
      <c r="UTT144" s="607"/>
      <c r="UTU144" s="607"/>
      <c r="UTV144" s="607"/>
      <c r="UTW144" s="607"/>
      <c r="UTX144" s="607"/>
      <c r="UTY144" s="453"/>
      <c r="UTZ144" s="289"/>
      <c r="UUA144" s="453"/>
      <c r="UUB144" s="453"/>
      <c r="UUC144" s="453"/>
      <c r="UUD144" s="453"/>
      <c r="UUE144" s="453"/>
      <c r="UUF144" s="461"/>
      <c r="UUG144" s="461"/>
      <c r="UUH144" s="461"/>
      <c r="UUI144" s="609"/>
      <c r="UUJ144" s="607"/>
      <c r="UUK144" s="607"/>
      <c r="UUL144" s="607"/>
      <c r="UUM144" s="463"/>
      <c r="UUN144" s="454"/>
      <c r="UUO144" s="607"/>
      <c r="UUP144" s="607"/>
      <c r="UUQ144" s="607"/>
      <c r="UUR144" s="607"/>
      <c r="UUS144" s="607"/>
      <c r="UUT144" s="453"/>
      <c r="UUU144" s="289"/>
      <c r="UUV144" s="453"/>
      <c r="UUW144" s="453"/>
      <c r="UUX144" s="453"/>
      <c r="UUY144" s="453"/>
      <c r="UUZ144" s="453"/>
      <c r="UVA144" s="461"/>
      <c r="UVB144" s="461"/>
      <c r="UVC144" s="461"/>
      <c r="UVD144" s="609"/>
      <c r="UVE144" s="607"/>
      <c r="UVF144" s="607"/>
      <c r="UVG144" s="607"/>
      <c r="UVH144" s="463"/>
      <c r="UVI144" s="454"/>
      <c r="UVJ144" s="607"/>
      <c r="UVK144" s="607"/>
      <c r="UVL144" s="607"/>
      <c r="UVM144" s="607"/>
      <c r="UVN144" s="607"/>
      <c r="UVO144" s="453"/>
      <c r="UVP144" s="289"/>
      <c r="UVQ144" s="453"/>
      <c r="UVR144" s="453"/>
      <c r="UVS144" s="453"/>
      <c r="UVT144" s="453"/>
      <c r="UVU144" s="453"/>
      <c r="UVV144" s="461"/>
      <c r="UVW144" s="461"/>
      <c r="UVX144" s="461"/>
      <c r="UVY144" s="609"/>
      <c r="UVZ144" s="607"/>
      <c r="UWA144" s="607"/>
      <c r="UWB144" s="607"/>
      <c r="UWC144" s="463"/>
      <c r="UWD144" s="454"/>
      <c r="UWE144" s="607"/>
      <c r="UWF144" s="607"/>
      <c r="UWG144" s="607"/>
      <c r="UWH144" s="607"/>
      <c r="UWI144" s="607"/>
      <c r="UWJ144" s="453"/>
      <c r="UWK144" s="289"/>
      <c r="UWL144" s="453"/>
      <c r="UWM144" s="453"/>
      <c r="UWN144" s="453"/>
      <c r="UWO144" s="453"/>
      <c r="UWP144" s="453"/>
      <c r="UWQ144" s="461"/>
      <c r="UWR144" s="461"/>
      <c r="UWS144" s="461"/>
      <c r="UWT144" s="609"/>
      <c r="UWU144" s="607"/>
      <c r="UWV144" s="607"/>
      <c r="UWW144" s="607"/>
      <c r="UWX144" s="463"/>
      <c r="UWY144" s="454"/>
      <c r="UWZ144" s="607"/>
      <c r="UXA144" s="607"/>
      <c r="UXB144" s="607"/>
      <c r="UXC144" s="607"/>
      <c r="UXD144" s="607"/>
      <c r="UXE144" s="453"/>
      <c r="UXF144" s="289"/>
      <c r="UXG144" s="453"/>
      <c r="UXH144" s="453"/>
      <c r="UXI144" s="453"/>
      <c r="UXJ144" s="453"/>
      <c r="UXK144" s="453"/>
      <c r="UXL144" s="461"/>
      <c r="UXM144" s="461"/>
      <c r="UXN144" s="461"/>
      <c r="UXO144" s="609"/>
      <c r="UXP144" s="607"/>
      <c r="UXQ144" s="607"/>
      <c r="UXR144" s="607"/>
      <c r="UXS144" s="463"/>
      <c r="UXT144" s="454"/>
      <c r="UXU144" s="607"/>
      <c r="UXV144" s="607"/>
      <c r="UXW144" s="607"/>
      <c r="UXX144" s="607"/>
      <c r="UXY144" s="607"/>
      <c r="UXZ144" s="453"/>
      <c r="UYA144" s="289"/>
      <c r="UYB144" s="453"/>
      <c r="UYC144" s="453"/>
      <c r="UYD144" s="453"/>
      <c r="UYE144" s="453"/>
      <c r="UYF144" s="453"/>
      <c r="UYG144" s="461"/>
      <c r="UYH144" s="461"/>
      <c r="UYI144" s="461"/>
      <c r="UYJ144" s="609"/>
      <c r="UYK144" s="607"/>
      <c r="UYL144" s="607"/>
      <c r="UYM144" s="607"/>
      <c r="UYN144" s="463"/>
      <c r="UYO144" s="454"/>
      <c r="UYP144" s="607"/>
      <c r="UYQ144" s="607"/>
      <c r="UYR144" s="607"/>
      <c r="UYS144" s="607"/>
      <c r="UYT144" s="607"/>
      <c r="UYU144" s="453"/>
      <c r="UYV144" s="289"/>
      <c r="UYW144" s="453"/>
      <c r="UYX144" s="453"/>
      <c r="UYY144" s="453"/>
      <c r="UYZ144" s="453"/>
      <c r="UZA144" s="453"/>
      <c r="UZB144" s="461"/>
      <c r="UZC144" s="461"/>
      <c r="UZD144" s="461"/>
      <c r="UZE144" s="609"/>
      <c r="UZF144" s="607"/>
      <c r="UZG144" s="607"/>
      <c r="UZH144" s="607"/>
      <c r="UZI144" s="463"/>
      <c r="UZJ144" s="454"/>
      <c r="UZK144" s="607"/>
      <c r="UZL144" s="607"/>
      <c r="UZM144" s="607"/>
      <c r="UZN144" s="607"/>
      <c r="UZO144" s="607"/>
      <c r="UZP144" s="453"/>
      <c r="UZQ144" s="289"/>
      <c r="UZR144" s="453"/>
      <c r="UZS144" s="453"/>
      <c r="UZT144" s="453"/>
      <c r="UZU144" s="453"/>
      <c r="UZV144" s="453"/>
      <c r="UZW144" s="461"/>
      <c r="UZX144" s="461"/>
      <c r="UZY144" s="461"/>
      <c r="UZZ144" s="609"/>
      <c r="VAA144" s="607"/>
      <c r="VAB144" s="607"/>
      <c r="VAC144" s="607"/>
      <c r="VAD144" s="463"/>
      <c r="VAE144" s="454"/>
      <c r="VAF144" s="607"/>
      <c r="VAG144" s="607"/>
      <c r="VAH144" s="607"/>
      <c r="VAI144" s="607"/>
      <c r="VAJ144" s="607"/>
      <c r="VAK144" s="453"/>
      <c r="VAL144" s="289"/>
      <c r="VAM144" s="453"/>
      <c r="VAN144" s="453"/>
      <c r="VAO144" s="453"/>
      <c r="VAP144" s="453"/>
      <c r="VAQ144" s="453"/>
      <c r="VAR144" s="461"/>
      <c r="VAS144" s="461"/>
      <c r="VAT144" s="461"/>
      <c r="VAU144" s="609"/>
      <c r="VAV144" s="607"/>
      <c r="VAW144" s="607"/>
      <c r="VAX144" s="607"/>
      <c r="VAY144" s="463"/>
      <c r="VAZ144" s="454"/>
      <c r="VBA144" s="607"/>
      <c r="VBB144" s="607"/>
      <c r="VBC144" s="607"/>
      <c r="VBD144" s="607"/>
      <c r="VBE144" s="607"/>
      <c r="VBF144" s="453"/>
      <c r="VBG144" s="289"/>
      <c r="VBH144" s="453"/>
      <c r="VBI144" s="453"/>
      <c r="VBJ144" s="453"/>
      <c r="VBK144" s="453"/>
      <c r="VBL144" s="453"/>
      <c r="VBM144" s="461"/>
      <c r="VBN144" s="461"/>
      <c r="VBO144" s="461"/>
      <c r="VBP144" s="609"/>
      <c r="VBQ144" s="607"/>
      <c r="VBR144" s="607"/>
      <c r="VBS144" s="607"/>
      <c r="VBT144" s="463"/>
      <c r="VBU144" s="454"/>
      <c r="VBV144" s="607"/>
      <c r="VBW144" s="607"/>
      <c r="VBX144" s="607"/>
      <c r="VBY144" s="607"/>
      <c r="VBZ144" s="607"/>
      <c r="VCA144" s="453"/>
      <c r="VCB144" s="289"/>
      <c r="VCC144" s="453"/>
      <c r="VCD144" s="453"/>
      <c r="VCE144" s="453"/>
      <c r="VCF144" s="453"/>
      <c r="VCG144" s="453"/>
      <c r="VCH144" s="461"/>
      <c r="VCI144" s="461"/>
      <c r="VCJ144" s="461"/>
      <c r="VCK144" s="609"/>
      <c r="VCL144" s="607"/>
      <c r="VCM144" s="607"/>
      <c r="VCN144" s="607"/>
      <c r="VCO144" s="463"/>
      <c r="VCP144" s="454"/>
      <c r="VCQ144" s="607"/>
      <c r="VCR144" s="607"/>
      <c r="VCS144" s="607"/>
      <c r="VCT144" s="607"/>
      <c r="VCU144" s="607"/>
      <c r="VCV144" s="453"/>
      <c r="VCW144" s="289"/>
      <c r="VCX144" s="453"/>
      <c r="VCY144" s="453"/>
      <c r="VCZ144" s="453"/>
      <c r="VDA144" s="453"/>
      <c r="VDB144" s="453"/>
      <c r="VDC144" s="461"/>
      <c r="VDD144" s="461"/>
      <c r="VDE144" s="461"/>
      <c r="VDF144" s="609"/>
      <c r="VDG144" s="607"/>
      <c r="VDH144" s="607"/>
      <c r="VDI144" s="607"/>
      <c r="VDJ144" s="463"/>
      <c r="VDK144" s="454"/>
      <c r="VDL144" s="607"/>
      <c r="VDM144" s="607"/>
      <c r="VDN144" s="607"/>
      <c r="VDO144" s="607"/>
      <c r="VDP144" s="607"/>
      <c r="VDQ144" s="453"/>
      <c r="VDR144" s="289"/>
      <c r="VDS144" s="453"/>
      <c r="VDT144" s="453"/>
      <c r="VDU144" s="453"/>
      <c r="VDV144" s="453"/>
      <c r="VDW144" s="453"/>
      <c r="VDX144" s="461"/>
      <c r="VDY144" s="461"/>
      <c r="VDZ144" s="461"/>
      <c r="VEA144" s="609"/>
      <c r="VEB144" s="607"/>
      <c r="VEC144" s="607"/>
      <c r="VED144" s="607"/>
      <c r="VEE144" s="463"/>
      <c r="VEF144" s="454"/>
      <c r="VEG144" s="607"/>
      <c r="VEH144" s="607"/>
      <c r="VEI144" s="607"/>
      <c r="VEJ144" s="607"/>
      <c r="VEK144" s="607"/>
      <c r="VEL144" s="453"/>
      <c r="VEM144" s="289"/>
      <c r="VEN144" s="453"/>
      <c r="VEO144" s="453"/>
      <c r="VEP144" s="453"/>
      <c r="VEQ144" s="453"/>
      <c r="VER144" s="453"/>
      <c r="VES144" s="461"/>
      <c r="VET144" s="461"/>
      <c r="VEU144" s="461"/>
      <c r="VEV144" s="609"/>
      <c r="VEW144" s="607"/>
      <c r="VEX144" s="607"/>
      <c r="VEY144" s="607"/>
      <c r="VEZ144" s="463"/>
      <c r="VFA144" s="454"/>
      <c r="VFB144" s="607"/>
      <c r="VFC144" s="607"/>
      <c r="VFD144" s="607"/>
      <c r="VFE144" s="607"/>
      <c r="VFF144" s="607"/>
      <c r="VFG144" s="453"/>
      <c r="VFH144" s="289"/>
      <c r="VFI144" s="453"/>
      <c r="VFJ144" s="453"/>
      <c r="VFK144" s="453"/>
      <c r="VFL144" s="453"/>
      <c r="VFM144" s="453"/>
      <c r="VFN144" s="461"/>
      <c r="VFO144" s="461"/>
      <c r="VFP144" s="461"/>
      <c r="VFQ144" s="609"/>
      <c r="VFR144" s="607"/>
      <c r="VFS144" s="607"/>
      <c r="VFT144" s="607"/>
      <c r="VFU144" s="463"/>
      <c r="VFV144" s="454"/>
      <c r="VFW144" s="607"/>
      <c r="VFX144" s="607"/>
      <c r="VFY144" s="607"/>
      <c r="VFZ144" s="607"/>
      <c r="VGA144" s="607"/>
      <c r="VGB144" s="453"/>
      <c r="VGC144" s="289"/>
      <c r="VGD144" s="453"/>
      <c r="VGE144" s="453"/>
      <c r="VGF144" s="453"/>
      <c r="VGG144" s="453"/>
      <c r="VGH144" s="453"/>
      <c r="VGI144" s="461"/>
      <c r="VGJ144" s="461"/>
      <c r="VGK144" s="461"/>
      <c r="VGL144" s="609"/>
      <c r="VGM144" s="607"/>
      <c r="VGN144" s="607"/>
      <c r="VGO144" s="607"/>
      <c r="VGP144" s="463"/>
      <c r="VGQ144" s="454"/>
      <c r="VGR144" s="607"/>
      <c r="VGS144" s="607"/>
      <c r="VGT144" s="607"/>
      <c r="VGU144" s="607"/>
      <c r="VGV144" s="607"/>
      <c r="VGW144" s="453"/>
      <c r="VGX144" s="289"/>
      <c r="VGY144" s="453"/>
      <c r="VGZ144" s="453"/>
      <c r="VHA144" s="453"/>
      <c r="VHB144" s="453"/>
      <c r="VHC144" s="453"/>
      <c r="VHD144" s="461"/>
      <c r="VHE144" s="461"/>
      <c r="VHF144" s="461"/>
      <c r="VHG144" s="609"/>
      <c r="VHH144" s="607"/>
      <c r="VHI144" s="607"/>
      <c r="VHJ144" s="607"/>
      <c r="VHK144" s="463"/>
      <c r="VHL144" s="454"/>
      <c r="VHM144" s="607"/>
      <c r="VHN144" s="607"/>
      <c r="VHO144" s="607"/>
      <c r="VHP144" s="607"/>
      <c r="VHQ144" s="607"/>
      <c r="VHR144" s="453"/>
      <c r="VHS144" s="289"/>
      <c r="VHT144" s="453"/>
      <c r="VHU144" s="453"/>
      <c r="VHV144" s="453"/>
      <c r="VHW144" s="453"/>
      <c r="VHX144" s="453"/>
      <c r="VHY144" s="461"/>
      <c r="VHZ144" s="461"/>
      <c r="VIA144" s="461"/>
      <c r="VIB144" s="609"/>
      <c r="VIC144" s="607"/>
      <c r="VID144" s="607"/>
      <c r="VIE144" s="607"/>
      <c r="VIF144" s="463"/>
      <c r="VIG144" s="454"/>
      <c r="VIH144" s="607"/>
      <c r="VII144" s="607"/>
      <c r="VIJ144" s="607"/>
      <c r="VIK144" s="607"/>
      <c r="VIL144" s="607"/>
      <c r="VIM144" s="453"/>
      <c r="VIN144" s="289"/>
      <c r="VIO144" s="453"/>
      <c r="VIP144" s="453"/>
      <c r="VIQ144" s="453"/>
      <c r="VIR144" s="453"/>
      <c r="VIS144" s="453"/>
      <c r="VIT144" s="461"/>
      <c r="VIU144" s="461"/>
      <c r="VIV144" s="461"/>
      <c r="VIW144" s="609"/>
      <c r="VIX144" s="607"/>
      <c r="VIY144" s="607"/>
      <c r="VIZ144" s="607"/>
      <c r="VJA144" s="463"/>
      <c r="VJB144" s="454"/>
      <c r="VJC144" s="607"/>
      <c r="VJD144" s="607"/>
      <c r="VJE144" s="607"/>
      <c r="VJF144" s="607"/>
      <c r="VJG144" s="607"/>
      <c r="VJH144" s="453"/>
      <c r="VJI144" s="289"/>
      <c r="VJJ144" s="453"/>
      <c r="VJK144" s="453"/>
      <c r="VJL144" s="453"/>
      <c r="VJM144" s="453"/>
      <c r="VJN144" s="453"/>
      <c r="VJO144" s="461"/>
      <c r="VJP144" s="461"/>
      <c r="VJQ144" s="461"/>
      <c r="VJR144" s="609"/>
      <c r="VJS144" s="607"/>
      <c r="VJT144" s="607"/>
      <c r="VJU144" s="607"/>
      <c r="VJV144" s="463"/>
      <c r="VJW144" s="454"/>
      <c r="VJX144" s="607"/>
      <c r="VJY144" s="607"/>
      <c r="VJZ144" s="607"/>
      <c r="VKA144" s="607"/>
      <c r="VKB144" s="607"/>
      <c r="VKC144" s="453"/>
      <c r="VKD144" s="289"/>
      <c r="VKE144" s="453"/>
      <c r="VKF144" s="453"/>
      <c r="VKG144" s="453"/>
      <c r="VKH144" s="453"/>
      <c r="VKI144" s="453"/>
      <c r="VKJ144" s="461"/>
      <c r="VKK144" s="461"/>
      <c r="VKL144" s="461"/>
      <c r="VKM144" s="609"/>
      <c r="VKN144" s="607"/>
      <c r="VKO144" s="607"/>
      <c r="VKP144" s="607"/>
      <c r="VKQ144" s="463"/>
      <c r="VKR144" s="454"/>
      <c r="VKS144" s="607"/>
      <c r="VKT144" s="607"/>
      <c r="VKU144" s="607"/>
      <c r="VKV144" s="607"/>
      <c r="VKW144" s="607"/>
      <c r="VKX144" s="453"/>
      <c r="VKY144" s="289"/>
      <c r="VKZ144" s="453"/>
      <c r="VLA144" s="453"/>
      <c r="VLB144" s="453"/>
      <c r="VLC144" s="453"/>
      <c r="VLD144" s="453"/>
      <c r="VLE144" s="461"/>
      <c r="VLF144" s="461"/>
      <c r="VLG144" s="461"/>
      <c r="VLH144" s="609"/>
      <c r="VLI144" s="607"/>
      <c r="VLJ144" s="607"/>
      <c r="VLK144" s="607"/>
      <c r="VLL144" s="463"/>
      <c r="VLM144" s="454"/>
      <c r="VLN144" s="607"/>
      <c r="VLO144" s="607"/>
      <c r="VLP144" s="607"/>
      <c r="VLQ144" s="607"/>
      <c r="VLR144" s="607"/>
      <c r="VLS144" s="453"/>
      <c r="VLT144" s="289"/>
      <c r="VLU144" s="453"/>
      <c r="VLV144" s="453"/>
      <c r="VLW144" s="453"/>
      <c r="VLX144" s="453"/>
      <c r="VLY144" s="453"/>
      <c r="VLZ144" s="461"/>
      <c r="VMA144" s="461"/>
      <c r="VMB144" s="461"/>
      <c r="VMC144" s="609"/>
      <c r="VMD144" s="607"/>
      <c r="VME144" s="607"/>
      <c r="VMF144" s="607"/>
      <c r="VMG144" s="463"/>
      <c r="VMH144" s="454"/>
      <c r="VMI144" s="607"/>
      <c r="VMJ144" s="607"/>
      <c r="VMK144" s="607"/>
      <c r="VML144" s="607"/>
      <c r="VMM144" s="607"/>
      <c r="VMN144" s="453"/>
      <c r="VMO144" s="289"/>
      <c r="VMP144" s="453"/>
      <c r="VMQ144" s="453"/>
      <c r="VMR144" s="453"/>
      <c r="VMS144" s="453"/>
      <c r="VMT144" s="453"/>
      <c r="VMU144" s="461"/>
      <c r="VMV144" s="461"/>
      <c r="VMW144" s="461"/>
      <c r="VMX144" s="609"/>
      <c r="VMY144" s="607"/>
      <c r="VMZ144" s="607"/>
      <c r="VNA144" s="607"/>
      <c r="VNB144" s="463"/>
      <c r="VNC144" s="454"/>
      <c r="VND144" s="607"/>
      <c r="VNE144" s="607"/>
      <c r="VNF144" s="607"/>
      <c r="VNG144" s="607"/>
      <c r="VNH144" s="607"/>
      <c r="VNI144" s="453"/>
      <c r="VNJ144" s="289"/>
      <c r="VNK144" s="453"/>
      <c r="VNL144" s="453"/>
      <c r="VNM144" s="453"/>
      <c r="VNN144" s="453"/>
      <c r="VNO144" s="453"/>
      <c r="VNP144" s="461"/>
      <c r="VNQ144" s="461"/>
      <c r="VNR144" s="461"/>
      <c r="VNS144" s="609"/>
      <c r="VNT144" s="607"/>
      <c r="VNU144" s="607"/>
      <c r="VNV144" s="607"/>
      <c r="VNW144" s="463"/>
      <c r="VNX144" s="454"/>
      <c r="VNY144" s="607"/>
      <c r="VNZ144" s="607"/>
      <c r="VOA144" s="607"/>
      <c r="VOB144" s="607"/>
      <c r="VOC144" s="607"/>
      <c r="VOD144" s="453"/>
      <c r="VOE144" s="289"/>
      <c r="VOF144" s="453"/>
      <c r="VOG144" s="453"/>
      <c r="VOH144" s="453"/>
      <c r="VOI144" s="453"/>
      <c r="VOJ144" s="453"/>
      <c r="VOK144" s="461"/>
      <c r="VOL144" s="461"/>
      <c r="VOM144" s="461"/>
      <c r="VON144" s="609"/>
      <c r="VOO144" s="607"/>
      <c r="VOP144" s="607"/>
      <c r="VOQ144" s="607"/>
      <c r="VOR144" s="463"/>
      <c r="VOS144" s="454"/>
      <c r="VOT144" s="607"/>
      <c r="VOU144" s="607"/>
      <c r="VOV144" s="607"/>
      <c r="VOW144" s="607"/>
      <c r="VOX144" s="607"/>
      <c r="VOY144" s="453"/>
      <c r="VOZ144" s="289"/>
      <c r="VPA144" s="453"/>
      <c r="VPB144" s="453"/>
      <c r="VPC144" s="453"/>
      <c r="VPD144" s="453"/>
      <c r="VPE144" s="453"/>
      <c r="VPF144" s="461"/>
      <c r="VPG144" s="461"/>
      <c r="VPH144" s="461"/>
      <c r="VPI144" s="609"/>
      <c r="VPJ144" s="607"/>
      <c r="VPK144" s="607"/>
      <c r="VPL144" s="607"/>
      <c r="VPM144" s="463"/>
      <c r="VPN144" s="454"/>
      <c r="VPO144" s="607"/>
      <c r="VPP144" s="607"/>
      <c r="VPQ144" s="607"/>
      <c r="VPR144" s="607"/>
      <c r="VPS144" s="607"/>
      <c r="VPT144" s="453"/>
      <c r="VPU144" s="289"/>
      <c r="VPV144" s="453"/>
      <c r="VPW144" s="453"/>
      <c r="VPX144" s="453"/>
      <c r="VPY144" s="453"/>
      <c r="VPZ144" s="453"/>
      <c r="VQA144" s="461"/>
      <c r="VQB144" s="461"/>
      <c r="VQC144" s="461"/>
      <c r="VQD144" s="609"/>
      <c r="VQE144" s="607"/>
      <c r="VQF144" s="607"/>
      <c r="VQG144" s="607"/>
      <c r="VQH144" s="463"/>
      <c r="VQI144" s="454"/>
      <c r="VQJ144" s="607"/>
      <c r="VQK144" s="607"/>
      <c r="VQL144" s="607"/>
      <c r="VQM144" s="607"/>
      <c r="VQN144" s="607"/>
      <c r="VQO144" s="453"/>
      <c r="VQP144" s="289"/>
      <c r="VQQ144" s="453"/>
      <c r="VQR144" s="453"/>
      <c r="VQS144" s="453"/>
      <c r="VQT144" s="453"/>
      <c r="VQU144" s="453"/>
      <c r="VQV144" s="461"/>
      <c r="VQW144" s="461"/>
      <c r="VQX144" s="461"/>
      <c r="VQY144" s="609"/>
      <c r="VQZ144" s="607"/>
      <c r="VRA144" s="607"/>
      <c r="VRB144" s="607"/>
      <c r="VRC144" s="463"/>
      <c r="VRD144" s="454"/>
      <c r="VRE144" s="607"/>
      <c r="VRF144" s="607"/>
      <c r="VRG144" s="607"/>
      <c r="VRH144" s="607"/>
      <c r="VRI144" s="607"/>
      <c r="VRJ144" s="453"/>
      <c r="VRK144" s="289"/>
      <c r="VRL144" s="453"/>
      <c r="VRM144" s="453"/>
      <c r="VRN144" s="453"/>
      <c r="VRO144" s="453"/>
      <c r="VRP144" s="453"/>
      <c r="VRQ144" s="461"/>
      <c r="VRR144" s="461"/>
      <c r="VRS144" s="461"/>
      <c r="VRT144" s="609"/>
      <c r="VRU144" s="607"/>
      <c r="VRV144" s="607"/>
      <c r="VRW144" s="607"/>
      <c r="VRX144" s="463"/>
      <c r="VRY144" s="454"/>
      <c r="VRZ144" s="607"/>
      <c r="VSA144" s="607"/>
      <c r="VSB144" s="607"/>
      <c r="VSC144" s="607"/>
      <c r="VSD144" s="607"/>
      <c r="VSE144" s="453"/>
      <c r="VSF144" s="289"/>
      <c r="VSG144" s="453"/>
      <c r="VSH144" s="453"/>
      <c r="VSI144" s="453"/>
      <c r="VSJ144" s="453"/>
      <c r="VSK144" s="453"/>
      <c r="VSL144" s="461"/>
      <c r="VSM144" s="461"/>
      <c r="VSN144" s="461"/>
      <c r="VSO144" s="609"/>
      <c r="VSP144" s="607"/>
      <c r="VSQ144" s="607"/>
      <c r="VSR144" s="607"/>
      <c r="VSS144" s="463"/>
      <c r="VST144" s="454"/>
      <c r="VSU144" s="607"/>
      <c r="VSV144" s="607"/>
      <c r="VSW144" s="607"/>
      <c r="VSX144" s="607"/>
      <c r="VSY144" s="607"/>
      <c r="VSZ144" s="453"/>
      <c r="VTA144" s="289"/>
      <c r="VTB144" s="453"/>
      <c r="VTC144" s="453"/>
      <c r="VTD144" s="453"/>
      <c r="VTE144" s="453"/>
      <c r="VTF144" s="453"/>
      <c r="VTG144" s="461"/>
      <c r="VTH144" s="461"/>
      <c r="VTI144" s="461"/>
      <c r="VTJ144" s="609"/>
      <c r="VTK144" s="607"/>
      <c r="VTL144" s="607"/>
      <c r="VTM144" s="607"/>
      <c r="VTN144" s="463"/>
      <c r="VTO144" s="454"/>
      <c r="VTP144" s="607"/>
      <c r="VTQ144" s="607"/>
      <c r="VTR144" s="607"/>
      <c r="VTS144" s="607"/>
      <c r="VTT144" s="607"/>
      <c r="VTU144" s="453"/>
      <c r="VTV144" s="289"/>
      <c r="VTW144" s="453"/>
      <c r="VTX144" s="453"/>
      <c r="VTY144" s="453"/>
      <c r="VTZ144" s="453"/>
      <c r="VUA144" s="453"/>
      <c r="VUB144" s="461"/>
      <c r="VUC144" s="461"/>
      <c r="VUD144" s="461"/>
      <c r="VUE144" s="609"/>
      <c r="VUF144" s="607"/>
      <c r="VUG144" s="607"/>
      <c r="VUH144" s="607"/>
      <c r="VUI144" s="463"/>
      <c r="VUJ144" s="454"/>
      <c r="VUK144" s="607"/>
      <c r="VUL144" s="607"/>
      <c r="VUM144" s="607"/>
      <c r="VUN144" s="607"/>
      <c r="VUO144" s="607"/>
      <c r="VUP144" s="453"/>
      <c r="VUQ144" s="289"/>
      <c r="VUR144" s="453"/>
      <c r="VUS144" s="453"/>
      <c r="VUT144" s="453"/>
      <c r="VUU144" s="453"/>
      <c r="VUV144" s="453"/>
      <c r="VUW144" s="461"/>
      <c r="VUX144" s="461"/>
      <c r="VUY144" s="461"/>
      <c r="VUZ144" s="609"/>
      <c r="VVA144" s="607"/>
      <c r="VVB144" s="607"/>
      <c r="VVC144" s="607"/>
      <c r="VVD144" s="463"/>
      <c r="VVE144" s="454"/>
      <c r="VVF144" s="607"/>
      <c r="VVG144" s="607"/>
      <c r="VVH144" s="607"/>
      <c r="VVI144" s="607"/>
      <c r="VVJ144" s="607"/>
      <c r="VVK144" s="453"/>
      <c r="VVL144" s="289"/>
      <c r="VVM144" s="453"/>
      <c r="VVN144" s="453"/>
      <c r="VVO144" s="453"/>
      <c r="VVP144" s="453"/>
      <c r="VVQ144" s="453"/>
      <c r="VVR144" s="461"/>
      <c r="VVS144" s="461"/>
      <c r="VVT144" s="461"/>
      <c r="VVU144" s="609"/>
      <c r="VVV144" s="607"/>
      <c r="VVW144" s="607"/>
      <c r="VVX144" s="607"/>
      <c r="VVY144" s="463"/>
      <c r="VVZ144" s="454"/>
      <c r="VWA144" s="607"/>
      <c r="VWB144" s="607"/>
      <c r="VWC144" s="607"/>
      <c r="VWD144" s="607"/>
      <c r="VWE144" s="607"/>
      <c r="VWF144" s="453"/>
      <c r="VWG144" s="289"/>
      <c r="VWH144" s="453"/>
      <c r="VWI144" s="453"/>
      <c r="VWJ144" s="453"/>
      <c r="VWK144" s="453"/>
      <c r="VWL144" s="453"/>
      <c r="VWM144" s="461"/>
      <c r="VWN144" s="461"/>
      <c r="VWO144" s="461"/>
      <c r="VWP144" s="609"/>
      <c r="VWQ144" s="607"/>
      <c r="VWR144" s="607"/>
      <c r="VWS144" s="607"/>
      <c r="VWT144" s="463"/>
      <c r="VWU144" s="454"/>
      <c r="VWV144" s="607"/>
      <c r="VWW144" s="607"/>
      <c r="VWX144" s="607"/>
      <c r="VWY144" s="607"/>
      <c r="VWZ144" s="607"/>
      <c r="VXA144" s="453"/>
      <c r="VXB144" s="289"/>
      <c r="VXC144" s="453"/>
      <c r="VXD144" s="453"/>
      <c r="VXE144" s="453"/>
      <c r="VXF144" s="453"/>
      <c r="VXG144" s="453"/>
      <c r="VXH144" s="461"/>
      <c r="VXI144" s="461"/>
      <c r="VXJ144" s="461"/>
      <c r="VXK144" s="609"/>
      <c r="VXL144" s="607"/>
      <c r="VXM144" s="607"/>
      <c r="VXN144" s="607"/>
      <c r="VXO144" s="463"/>
      <c r="VXP144" s="454"/>
      <c r="VXQ144" s="607"/>
      <c r="VXR144" s="607"/>
      <c r="VXS144" s="607"/>
      <c r="VXT144" s="607"/>
      <c r="VXU144" s="607"/>
      <c r="VXV144" s="453"/>
      <c r="VXW144" s="289"/>
      <c r="VXX144" s="453"/>
      <c r="VXY144" s="453"/>
      <c r="VXZ144" s="453"/>
      <c r="VYA144" s="453"/>
      <c r="VYB144" s="453"/>
      <c r="VYC144" s="461"/>
      <c r="VYD144" s="461"/>
      <c r="VYE144" s="461"/>
      <c r="VYF144" s="609"/>
      <c r="VYG144" s="607"/>
      <c r="VYH144" s="607"/>
      <c r="VYI144" s="607"/>
      <c r="VYJ144" s="463"/>
      <c r="VYK144" s="454"/>
      <c r="VYL144" s="607"/>
      <c r="VYM144" s="607"/>
      <c r="VYN144" s="607"/>
      <c r="VYO144" s="607"/>
      <c r="VYP144" s="607"/>
      <c r="VYQ144" s="453"/>
      <c r="VYR144" s="289"/>
      <c r="VYS144" s="453"/>
      <c r="VYT144" s="453"/>
      <c r="VYU144" s="453"/>
      <c r="VYV144" s="453"/>
      <c r="VYW144" s="453"/>
      <c r="VYX144" s="461"/>
      <c r="VYY144" s="461"/>
      <c r="VYZ144" s="461"/>
      <c r="VZA144" s="609"/>
      <c r="VZB144" s="607"/>
      <c r="VZC144" s="607"/>
      <c r="VZD144" s="607"/>
      <c r="VZE144" s="463"/>
      <c r="VZF144" s="454"/>
      <c r="VZG144" s="607"/>
      <c r="VZH144" s="607"/>
      <c r="VZI144" s="607"/>
      <c r="VZJ144" s="607"/>
      <c r="VZK144" s="607"/>
      <c r="VZL144" s="453"/>
      <c r="VZM144" s="289"/>
      <c r="VZN144" s="453"/>
      <c r="VZO144" s="453"/>
      <c r="VZP144" s="453"/>
      <c r="VZQ144" s="453"/>
      <c r="VZR144" s="453"/>
      <c r="VZS144" s="461"/>
      <c r="VZT144" s="461"/>
      <c r="VZU144" s="461"/>
      <c r="VZV144" s="609"/>
      <c r="VZW144" s="607"/>
      <c r="VZX144" s="607"/>
      <c r="VZY144" s="607"/>
      <c r="VZZ144" s="463"/>
      <c r="WAA144" s="454"/>
      <c r="WAB144" s="607"/>
      <c r="WAC144" s="607"/>
      <c r="WAD144" s="607"/>
      <c r="WAE144" s="607"/>
      <c r="WAF144" s="607"/>
      <c r="WAG144" s="453"/>
      <c r="WAH144" s="289"/>
      <c r="WAI144" s="453"/>
      <c r="WAJ144" s="453"/>
      <c r="WAK144" s="453"/>
      <c r="WAL144" s="453"/>
      <c r="WAM144" s="453"/>
      <c r="WAN144" s="461"/>
      <c r="WAO144" s="461"/>
      <c r="WAP144" s="461"/>
      <c r="WAQ144" s="609"/>
      <c r="WAR144" s="607"/>
      <c r="WAS144" s="607"/>
      <c r="WAT144" s="607"/>
      <c r="WAU144" s="463"/>
      <c r="WAV144" s="454"/>
      <c r="WAW144" s="607"/>
      <c r="WAX144" s="607"/>
      <c r="WAY144" s="607"/>
      <c r="WAZ144" s="607"/>
      <c r="WBA144" s="607"/>
      <c r="WBB144" s="453"/>
      <c r="WBC144" s="289"/>
      <c r="WBD144" s="453"/>
      <c r="WBE144" s="453"/>
      <c r="WBF144" s="453"/>
      <c r="WBG144" s="453"/>
      <c r="WBH144" s="453"/>
      <c r="WBI144" s="461"/>
      <c r="WBJ144" s="461"/>
      <c r="WBK144" s="461"/>
      <c r="WBL144" s="609"/>
      <c r="WBM144" s="607"/>
      <c r="WBN144" s="607"/>
      <c r="WBO144" s="607"/>
      <c r="WBP144" s="463"/>
      <c r="WBQ144" s="454"/>
      <c r="WBR144" s="607"/>
      <c r="WBS144" s="607"/>
      <c r="WBT144" s="607"/>
      <c r="WBU144" s="607"/>
      <c r="WBV144" s="607"/>
      <c r="WBW144" s="453"/>
      <c r="WBX144" s="289"/>
      <c r="WBY144" s="453"/>
      <c r="WBZ144" s="453"/>
      <c r="WCA144" s="453"/>
      <c r="WCB144" s="453"/>
      <c r="WCC144" s="453"/>
      <c r="WCD144" s="461"/>
      <c r="WCE144" s="461"/>
      <c r="WCF144" s="461"/>
      <c r="WCG144" s="609"/>
      <c r="WCH144" s="607"/>
      <c r="WCI144" s="607"/>
      <c r="WCJ144" s="607"/>
      <c r="WCK144" s="463"/>
      <c r="WCL144" s="454"/>
      <c r="WCM144" s="607"/>
      <c r="WCN144" s="607"/>
      <c r="WCO144" s="607"/>
      <c r="WCP144" s="607"/>
      <c r="WCQ144" s="607"/>
      <c r="WCR144" s="453"/>
      <c r="WCS144" s="289"/>
      <c r="WCT144" s="453"/>
      <c r="WCU144" s="453"/>
      <c r="WCV144" s="453"/>
      <c r="WCW144" s="453"/>
      <c r="WCX144" s="453"/>
      <c r="WCY144" s="461"/>
      <c r="WCZ144" s="461"/>
      <c r="WDA144" s="461"/>
      <c r="WDB144" s="609"/>
      <c r="WDC144" s="607"/>
      <c r="WDD144" s="607"/>
      <c r="WDE144" s="607"/>
      <c r="WDF144" s="463"/>
      <c r="WDG144" s="454"/>
      <c r="WDH144" s="607"/>
      <c r="WDI144" s="607"/>
      <c r="WDJ144" s="607"/>
      <c r="WDK144" s="607"/>
      <c r="WDL144" s="607"/>
      <c r="WDM144" s="453"/>
      <c r="WDN144" s="289"/>
      <c r="WDO144" s="453"/>
      <c r="WDP144" s="453"/>
      <c r="WDQ144" s="453"/>
      <c r="WDR144" s="453"/>
      <c r="WDS144" s="453"/>
      <c r="WDT144" s="461"/>
      <c r="WDU144" s="461"/>
      <c r="WDV144" s="461"/>
      <c r="WDW144" s="609"/>
      <c r="WDX144" s="607"/>
      <c r="WDY144" s="607"/>
      <c r="WDZ144" s="607"/>
      <c r="WEA144" s="463"/>
      <c r="WEB144" s="454"/>
      <c r="WEC144" s="607"/>
      <c r="WED144" s="607"/>
      <c r="WEE144" s="607"/>
      <c r="WEF144" s="607"/>
      <c r="WEG144" s="607"/>
      <c r="WEH144" s="453"/>
      <c r="WEI144" s="289"/>
      <c r="WEJ144" s="453"/>
      <c r="WEK144" s="453"/>
      <c r="WEL144" s="453"/>
      <c r="WEM144" s="453"/>
      <c r="WEN144" s="453"/>
      <c r="WEO144" s="461"/>
      <c r="WEP144" s="461"/>
      <c r="WEQ144" s="461"/>
      <c r="WER144" s="609"/>
      <c r="WES144" s="607"/>
      <c r="WET144" s="607"/>
      <c r="WEU144" s="607"/>
      <c r="WEV144" s="463"/>
      <c r="WEW144" s="454"/>
      <c r="WEX144" s="607"/>
      <c r="WEY144" s="607"/>
      <c r="WEZ144" s="607"/>
      <c r="WFA144" s="607"/>
      <c r="WFB144" s="607"/>
      <c r="WFC144" s="453"/>
      <c r="WFD144" s="289"/>
      <c r="WFE144" s="453"/>
      <c r="WFF144" s="453"/>
      <c r="WFG144" s="453"/>
      <c r="WFH144" s="453"/>
      <c r="WFI144" s="453"/>
      <c r="WFJ144" s="461"/>
      <c r="WFK144" s="461"/>
      <c r="WFL144" s="461"/>
      <c r="WFM144" s="609"/>
      <c r="WFN144" s="607"/>
      <c r="WFO144" s="607"/>
      <c r="WFP144" s="607"/>
      <c r="WFQ144" s="463"/>
      <c r="WFR144" s="454"/>
      <c r="WFS144" s="607"/>
      <c r="WFT144" s="607"/>
      <c r="WFU144" s="607"/>
      <c r="WFV144" s="607"/>
      <c r="WFW144" s="607"/>
      <c r="WFX144" s="453"/>
      <c r="WFY144" s="289"/>
      <c r="WFZ144" s="453"/>
      <c r="WGA144" s="453"/>
      <c r="WGB144" s="453"/>
      <c r="WGC144" s="453"/>
      <c r="WGD144" s="453"/>
      <c r="WGE144" s="461"/>
      <c r="WGF144" s="461"/>
      <c r="WGG144" s="461"/>
      <c r="WGH144" s="609"/>
      <c r="WGI144" s="607"/>
      <c r="WGJ144" s="607"/>
      <c r="WGK144" s="607"/>
      <c r="WGL144" s="463"/>
      <c r="WGM144" s="454"/>
      <c r="WGN144" s="607"/>
      <c r="WGO144" s="607"/>
      <c r="WGP144" s="607"/>
      <c r="WGQ144" s="607"/>
      <c r="WGR144" s="607"/>
      <c r="WGS144" s="453"/>
      <c r="WGT144" s="289"/>
      <c r="WGU144" s="453"/>
      <c r="WGV144" s="453"/>
      <c r="WGW144" s="453"/>
      <c r="WGX144" s="453"/>
      <c r="WGY144" s="453"/>
      <c r="WGZ144" s="461"/>
      <c r="WHA144" s="461"/>
      <c r="WHB144" s="461"/>
      <c r="WHC144" s="609"/>
      <c r="WHD144" s="607"/>
      <c r="WHE144" s="607"/>
      <c r="WHF144" s="607"/>
      <c r="WHG144" s="463"/>
      <c r="WHH144" s="454"/>
      <c r="WHI144" s="607"/>
      <c r="WHJ144" s="607"/>
      <c r="WHK144" s="607"/>
      <c r="WHL144" s="607"/>
      <c r="WHM144" s="607"/>
      <c r="WHN144" s="453"/>
      <c r="WHO144" s="289"/>
      <c r="WHP144" s="453"/>
      <c r="WHQ144" s="453"/>
      <c r="WHR144" s="453"/>
      <c r="WHS144" s="453"/>
      <c r="WHT144" s="453"/>
      <c r="WHU144" s="461"/>
      <c r="WHV144" s="461"/>
      <c r="WHW144" s="461"/>
      <c r="WHX144" s="609"/>
      <c r="WHY144" s="607"/>
      <c r="WHZ144" s="607"/>
      <c r="WIA144" s="607"/>
      <c r="WIB144" s="463"/>
      <c r="WIC144" s="454"/>
      <c r="WID144" s="607"/>
      <c r="WIE144" s="607"/>
      <c r="WIF144" s="607"/>
      <c r="WIG144" s="607"/>
      <c r="WIH144" s="607"/>
      <c r="WII144" s="453"/>
      <c r="WIJ144" s="289"/>
      <c r="WIK144" s="453"/>
      <c r="WIL144" s="453"/>
      <c r="WIM144" s="453"/>
      <c r="WIN144" s="453"/>
      <c r="WIO144" s="453"/>
      <c r="WIP144" s="461"/>
      <c r="WIQ144" s="461"/>
      <c r="WIR144" s="461"/>
      <c r="WIS144" s="609"/>
      <c r="WIT144" s="607"/>
      <c r="WIU144" s="607"/>
      <c r="WIV144" s="607"/>
      <c r="WIW144" s="463"/>
      <c r="WIX144" s="454"/>
      <c r="WIY144" s="607"/>
      <c r="WIZ144" s="607"/>
      <c r="WJA144" s="607"/>
      <c r="WJB144" s="607"/>
      <c r="WJC144" s="607"/>
      <c r="WJD144" s="453"/>
      <c r="WJE144" s="289"/>
      <c r="WJF144" s="453"/>
      <c r="WJG144" s="453"/>
      <c r="WJH144" s="453"/>
      <c r="WJI144" s="453"/>
      <c r="WJJ144" s="453"/>
      <c r="WJK144" s="461"/>
      <c r="WJL144" s="461"/>
      <c r="WJM144" s="461"/>
      <c r="WJN144" s="609"/>
      <c r="WJO144" s="607"/>
      <c r="WJP144" s="607"/>
      <c r="WJQ144" s="607"/>
      <c r="WJR144" s="463"/>
      <c r="WJS144" s="454"/>
      <c r="WJT144" s="607"/>
      <c r="WJU144" s="607"/>
      <c r="WJV144" s="607"/>
      <c r="WJW144" s="607"/>
      <c r="WJX144" s="607"/>
      <c r="WJY144" s="453"/>
      <c r="WJZ144" s="289"/>
      <c r="WKA144" s="453"/>
      <c r="WKB144" s="453"/>
      <c r="WKC144" s="453"/>
      <c r="WKD144" s="453"/>
      <c r="WKE144" s="453"/>
      <c r="WKF144" s="461"/>
      <c r="WKG144" s="461"/>
      <c r="WKH144" s="461"/>
      <c r="WKI144" s="609"/>
      <c r="WKJ144" s="607"/>
      <c r="WKK144" s="607"/>
      <c r="WKL144" s="607"/>
      <c r="WKM144" s="463"/>
      <c r="WKN144" s="454"/>
      <c r="WKO144" s="607"/>
      <c r="WKP144" s="607"/>
      <c r="WKQ144" s="607"/>
      <c r="WKR144" s="607"/>
      <c r="WKS144" s="607"/>
      <c r="WKT144" s="453"/>
      <c r="WKU144" s="289"/>
      <c r="WKV144" s="453"/>
      <c r="WKW144" s="453"/>
      <c r="WKX144" s="453"/>
      <c r="WKY144" s="453"/>
      <c r="WKZ144" s="453"/>
      <c r="WLA144" s="461"/>
      <c r="WLB144" s="461"/>
      <c r="WLC144" s="461"/>
      <c r="WLD144" s="609"/>
      <c r="WLE144" s="607"/>
      <c r="WLF144" s="607"/>
      <c r="WLG144" s="607"/>
      <c r="WLH144" s="463"/>
      <c r="WLI144" s="454"/>
      <c r="WLJ144" s="607"/>
      <c r="WLK144" s="607"/>
      <c r="WLL144" s="607"/>
      <c r="WLM144" s="607"/>
      <c r="WLN144" s="607"/>
      <c r="WLO144" s="453"/>
      <c r="WLP144" s="289"/>
      <c r="WLQ144" s="453"/>
      <c r="WLR144" s="453"/>
      <c r="WLS144" s="453"/>
      <c r="WLT144" s="453"/>
      <c r="WLU144" s="453"/>
      <c r="WLV144" s="461"/>
      <c r="WLW144" s="461"/>
      <c r="WLX144" s="461"/>
      <c r="WLY144" s="609"/>
      <c r="WLZ144" s="607"/>
      <c r="WMA144" s="607"/>
      <c r="WMB144" s="607"/>
      <c r="WMC144" s="463"/>
      <c r="WMD144" s="454"/>
      <c r="WME144" s="607"/>
      <c r="WMF144" s="607"/>
      <c r="WMG144" s="607"/>
      <c r="WMH144" s="607"/>
      <c r="WMI144" s="607"/>
      <c r="WMJ144" s="453"/>
      <c r="WMK144" s="289"/>
      <c r="WML144" s="453"/>
      <c r="WMM144" s="453"/>
      <c r="WMN144" s="453"/>
      <c r="WMO144" s="453"/>
      <c r="WMP144" s="453"/>
      <c r="WMQ144" s="461"/>
      <c r="WMR144" s="461"/>
      <c r="WMS144" s="461"/>
      <c r="WMT144" s="609"/>
      <c r="WMU144" s="607"/>
      <c r="WMV144" s="607"/>
      <c r="WMW144" s="607"/>
      <c r="WMX144" s="463"/>
      <c r="WMY144" s="454"/>
      <c r="WMZ144" s="607"/>
      <c r="WNA144" s="607"/>
      <c r="WNB144" s="607"/>
      <c r="WNC144" s="607"/>
      <c r="WND144" s="607"/>
      <c r="WNE144" s="453"/>
      <c r="WNF144" s="289"/>
      <c r="WNG144" s="453"/>
      <c r="WNH144" s="453"/>
      <c r="WNI144" s="453"/>
      <c r="WNJ144" s="453"/>
      <c r="WNK144" s="453"/>
      <c r="WNL144" s="461"/>
      <c r="WNM144" s="461"/>
      <c r="WNN144" s="461"/>
      <c r="WNO144" s="609"/>
      <c r="WNP144" s="607"/>
      <c r="WNQ144" s="607"/>
      <c r="WNR144" s="607"/>
      <c r="WNS144" s="463"/>
      <c r="WNT144" s="454"/>
      <c r="WNU144" s="607"/>
      <c r="WNV144" s="607"/>
      <c r="WNW144" s="607"/>
      <c r="WNX144" s="607"/>
      <c r="WNY144" s="607"/>
      <c r="WNZ144" s="453"/>
      <c r="WOA144" s="289"/>
      <c r="WOB144" s="453"/>
      <c r="WOC144" s="453"/>
      <c r="WOD144" s="453"/>
      <c r="WOE144" s="453"/>
      <c r="WOF144" s="453"/>
      <c r="WOG144" s="461"/>
      <c r="WOH144" s="461"/>
      <c r="WOI144" s="461"/>
      <c r="WOJ144" s="609"/>
      <c r="WOK144" s="607"/>
      <c r="WOL144" s="607"/>
      <c r="WOM144" s="607"/>
      <c r="WON144" s="463"/>
      <c r="WOO144" s="454"/>
      <c r="WOP144" s="607"/>
      <c r="WOQ144" s="607"/>
      <c r="WOR144" s="607"/>
      <c r="WOS144" s="607"/>
      <c r="WOT144" s="607"/>
      <c r="WOU144" s="453"/>
      <c r="WOV144" s="289"/>
      <c r="WOW144" s="453"/>
      <c r="WOX144" s="453"/>
      <c r="WOY144" s="453"/>
      <c r="WOZ144" s="453"/>
      <c r="WPA144" s="453"/>
      <c r="WPB144" s="461"/>
      <c r="WPC144" s="461"/>
      <c r="WPD144" s="461"/>
      <c r="WPE144" s="609"/>
      <c r="WPF144" s="607"/>
      <c r="WPG144" s="607"/>
      <c r="WPH144" s="607"/>
      <c r="WPI144" s="463"/>
      <c r="WPJ144" s="454"/>
      <c r="WPK144" s="607"/>
      <c r="WPL144" s="607"/>
      <c r="WPM144" s="607"/>
      <c r="WPN144" s="607"/>
      <c r="WPO144" s="607"/>
      <c r="WPP144" s="453"/>
      <c r="WPQ144" s="289"/>
      <c r="WPR144" s="453"/>
      <c r="WPS144" s="453"/>
      <c r="WPT144" s="453"/>
      <c r="WPU144" s="453"/>
      <c r="WPV144" s="453"/>
      <c r="WPW144" s="461"/>
      <c r="WPX144" s="461"/>
      <c r="WPY144" s="461"/>
      <c r="WPZ144" s="609"/>
      <c r="WQA144" s="607"/>
      <c r="WQB144" s="607"/>
      <c r="WQC144" s="607"/>
      <c r="WQD144" s="463"/>
      <c r="WQE144" s="454"/>
      <c r="WQF144" s="607"/>
      <c r="WQG144" s="607"/>
      <c r="WQH144" s="607"/>
      <c r="WQI144" s="607"/>
      <c r="WQJ144" s="607"/>
      <c r="WQK144" s="453"/>
      <c r="WQL144" s="289"/>
      <c r="WQM144" s="453"/>
      <c r="WQN144" s="453"/>
      <c r="WQO144" s="453"/>
      <c r="WQP144" s="453"/>
      <c r="WQQ144" s="453"/>
      <c r="WQR144" s="461"/>
      <c r="WQS144" s="461"/>
      <c r="WQT144" s="461"/>
      <c r="WQU144" s="609"/>
      <c r="WQV144" s="607"/>
      <c r="WQW144" s="607"/>
      <c r="WQX144" s="607"/>
      <c r="WQY144" s="463"/>
      <c r="WQZ144" s="454"/>
      <c r="WRA144" s="607"/>
      <c r="WRB144" s="607"/>
      <c r="WRC144" s="607"/>
      <c r="WRD144" s="607"/>
      <c r="WRE144" s="607"/>
      <c r="WRF144" s="453"/>
      <c r="WRG144" s="289"/>
      <c r="WRH144" s="453"/>
      <c r="WRI144" s="453"/>
      <c r="WRJ144" s="453"/>
      <c r="WRK144" s="453"/>
      <c r="WRL144" s="453"/>
      <c r="WRM144" s="461"/>
      <c r="WRN144" s="461"/>
      <c r="WRO144" s="461"/>
      <c r="WRP144" s="609"/>
      <c r="WRQ144" s="607"/>
      <c r="WRR144" s="607"/>
      <c r="WRS144" s="607"/>
      <c r="WRT144" s="463"/>
      <c r="WRU144" s="454"/>
      <c r="WRV144" s="607"/>
      <c r="WRW144" s="607"/>
      <c r="WRX144" s="607"/>
      <c r="WRY144" s="607"/>
      <c r="WRZ144" s="607"/>
      <c r="WSA144" s="453"/>
      <c r="WSB144" s="289"/>
      <c r="WSC144" s="453"/>
      <c r="WSD144" s="453"/>
      <c r="WSE144" s="453"/>
      <c r="WSF144" s="453"/>
      <c r="WSG144" s="453"/>
      <c r="WSH144" s="461"/>
      <c r="WSI144" s="461"/>
      <c r="WSJ144" s="461"/>
      <c r="WSK144" s="609"/>
      <c r="WSL144" s="607"/>
      <c r="WSM144" s="607"/>
      <c r="WSN144" s="607"/>
      <c r="WSO144" s="463"/>
      <c r="WSP144" s="454"/>
      <c r="WSQ144" s="607"/>
      <c r="WSR144" s="607"/>
      <c r="WSS144" s="607"/>
      <c r="WST144" s="607"/>
      <c r="WSU144" s="607"/>
      <c r="WSV144" s="453"/>
      <c r="WSW144" s="289"/>
      <c r="WSX144" s="453"/>
      <c r="WSY144" s="453"/>
      <c r="WSZ144" s="453"/>
      <c r="WTA144" s="453"/>
      <c r="WTB144" s="453"/>
      <c r="WTC144" s="461"/>
      <c r="WTD144" s="461"/>
      <c r="WTE144" s="461"/>
      <c r="WTF144" s="609"/>
      <c r="WTG144" s="607"/>
      <c r="WTH144" s="607"/>
      <c r="WTI144" s="607"/>
      <c r="WTJ144" s="463"/>
      <c r="WTK144" s="454"/>
      <c r="WTL144" s="607"/>
      <c r="WTM144" s="607"/>
      <c r="WTN144" s="607"/>
      <c r="WTO144" s="607"/>
      <c r="WTP144" s="607"/>
      <c r="WTQ144" s="453"/>
      <c r="WTR144" s="289"/>
      <c r="WTS144" s="453"/>
      <c r="WTT144" s="453"/>
      <c r="WTU144" s="453"/>
      <c r="WTV144" s="453"/>
      <c r="WTW144" s="453"/>
      <c r="WTX144" s="461"/>
      <c r="WTY144" s="461"/>
      <c r="WTZ144" s="461"/>
      <c r="WUA144" s="609"/>
      <c r="WUB144" s="607"/>
      <c r="WUC144" s="607"/>
      <c r="WUD144" s="607"/>
      <c r="WUE144" s="463"/>
      <c r="WUF144" s="454"/>
      <c r="WUG144" s="607"/>
      <c r="WUH144" s="607"/>
      <c r="WUI144" s="607"/>
      <c r="WUJ144" s="607"/>
      <c r="WUK144" s="607"/>
      <c r="WUL144" s="453"/>
      <c r="WUM144" s="289"/>
      <c r="WUN144" s="453"/>
      <c r="WUO144" s="453"/>
      <c r="WUP144" s="453"/>
      <c r="WUQ144" s="453"/>
      <c r="WUR144" s="453"/>
      <c r="WUS144" s="461"/>
      <c r="WUT144" s="461"/>
      <c r="WUU144" s="461"/>
      <c r="WUV144" s="609"/>
      <c r="WUW144" s="607"/>
      <c r="WUX144" s="607"/>
      <c r="WUY144" s="607"/>
      <c r="WUZ144" s="463"/>
      <c r="WVA144" s="454"/>
      <c r="WVB144" s="607"/>
      <c r="WVC144" s="607"/>
      <c r="WVD144" s="607"/>
      <c r="WVE144" s="607"/>
      <c r="WVF144" s="607"/>
      <c r="WVG144" s="453"/>
      <c r="WVH144" s="289"/>
      <c r="WVI144" s="453"/>
      <c r="WVJ144" s="453"/>
      <c r="WVK144" s="453"/>
      <c r="WVL144" s="453"/>
      <c r="WVM144" s="453"/>
      <c r="WVN144" s="461"/>
      <c r="WVO144" s="461"/>
      <c r="WVP144" s="461"/>
      <c r="WVQ144" s="609"/>
      <c r="WVR144" s="607"/>
      <c r="WVS144" s="607"/>
      <c r="WVT144" s="607"/>
      <c r="WVU144" s="463"/>
      <c r="WVV144" s="454"/>
      <c r="WVW144" s="607"/>
      <c r="WVX144" s="607"/>
      <c r="WVY144" s="607"/>
      <c r="WVZ144" s="607"/>
      <c r="WWA144" s="607"/>
      <c r="WWB144" s="453"/>
      <c r="WWC144" s="289"/>
      <c r="WWD144" s="453"/>
      <c r="WWE144" s="453"/>
      <c r="WWF144" s="453"/>
      <c r="WWG144" s="453"/>
      <c r="WWH144" s="453"/>
      <c r="WWI144" s="461"/>
      <c r="WWJ144" s="461"/>
      <c r="WWK144" s="461"/>
      <c r="WWL144" s="609"/>
      <c r="WWM144" s="607"/>
      <c r="WWN144" s="607"/>
      <c r="WWO144" s="607"/>
      <c r="WWP144" s="463"/>
      <c r="WWQ144" s="454"/>
      <c r="WWR144" s="607"/>
      <c r="WWS144" s="607"/>
      <c r="WWT144" s="607"/>
      <c r="WWU144" s="607"/>
      <c r="WWV144" s="607"/>
      <c r="WWW144" s="453"/>
      <c r="WWX144" s="289"/>
      <c r="WWY144" s="453"/>
      <c r="WWZ144" s="453"/>
      <c r="WXA144" s="453"/>
      <c r="WXB144" s="453"/>
      <c r="WXC144" s="453"/>
      <c r="WXD144" s="461"/>
      <c r="WXE144" s="461"/>
      <c r="WXF144" s="461"/>
      <c r="WXG144" s="609"/>
      <c r="WXH144" s="607"/>
      <c r="WXI144" s="607"/>
      <c r="WXJ144" s="607"/>
      <c r="WXK144" s="463"/>
      <c r="WXL144" s="454"/>
      <c r="WXM144" s="607"/>
      <c r="WXN144" s="607"/>
      <c r="WXO144" s="607"/>
      <c r="WXP144" s="607"/>
      <c r="WXQ144" s="607"/>
      <c r="WXR144" s="453"/>
      <c r="WXS144" s="289"/>
      <c r="WXT144" s="453"/>
      <c r="WXU144" s="453"/>
      <c r="WXV144" s="453"/>
      <c r="WXW144" s="453"/>
      <c r="WXX144" s="453"/>
      <c r="WXY144" s="461"/>
      <c r="WXZ144" s="461"/>
      <c r="WYA144" s="461"/>
      <c r="WYB144" s="609"/>
      <c r="WYC144" s="607"/>
      <c r="WYD144" s="607"/>
      <c r="WYE144" s="607"/>
      <c r="WYF144" s="463"/>
      <c r="WYG144" s="454"/>
      <c r="WYH144" s="607"/>
      <c r="WYI144" s="607"/>
      <c r="WYJ144" s="607"/>
      <c r="WYK144" s="607"/>
      <c r="WYL144" s="607"/>
      <c r="WYM144" s="453"/>
      <c r="WYN144" s="289"/>
      <c r="WYO144" s="453"/>
      <c r="WYP144" s="453"/>
      <c r="WYQ144" s="453"/>
      <c r="WYR144" s="453"/>
      <c r="WYS144" s="453"/>
      <c r="WYT144" s="461"/>
      <c r="WYU144" s="461"/>
      <c r="WYV144" s="461"/>
      <c r="WYW144" s="609"/>
      <c r="WYX144" s="607"/>
      <c r="WYY144" s="607"/>
      <c r="WYZ144" s="607"/>
      <c r="WZA144" s="463"/>
      <c r="WZB144" s="454"/>
      <c r="WZC144" s="607"/>
      <c r="WZD144" s="607"/>
      <c r="WZE144" s="607"/>
      <c r="WZF144" s="607"/>
      <c r="WZG144" s="607"/>
      <c r="WZH144" s="453"/>
      <c r="WZI144" s="289"/>
      <c r="WZJ144" s="453"/>
      <c r="WZK144" s="453"/>
      <c r="WZL144" s="453"/>
      <c r="WZM144" s="453"/>
      <c r="WZN144" s="453"/>
      <c r="WZO144" s="461"/>
      <c r="WZP144" s="461"/>
      <c r="WZQ144" s="461"/>
      <c r="WZR144" s="609"/>
      <c r="WZS144" s="607"/>
      <c r="WZT144" s="607"/>
      <c r="WZU144" s="607"/>
      <c r="WZV144" s="463"/>
      <c r="WZW144" s="454"/>
      <c r="WZX144" s="607"/>
      <c r="WZY144" s="607"/>
      <c r="WZZ144" s="607"/>
      <c r="XAA144" s="607"/>
      <c r="XAB144" s="607"/>
      <c r="XAC144" s="453"/>
      <c r="XAD144" s="289"/>
      <c r="XAE144" s="453"/>
      <c r="XAF144" s="453"/>
      <c r="XAG144" s="453"/>
      <c r="XAH144" s="453"/>
      <c r="XAI144" s="453"/>
      <c r="XAJ144" s="461"/>
      <c r="XAK144" s="461"/>
      <c r="XAL144" s="461"/>
      <c r="XAM144" s="609"/>
      <c r="XAN144" s="607"/>
      <c r="XAO144" s="607"/>
      <c r="XAP144" s="607"/>
      <c r="XAQ144" s="463"/>
      <c r="XAR144" s="454"/>
      <c r="XAS144" s="607"/>
      <c r="XAT144" s="607"/>
      <c r="XAU144" s="607"/>
      <c r="XAV144" s="607"/>
      <c r="XAW144" s="607"/>
      <c r="XAX144" s="453"/>
      <c r="XAY144" s="289"/>
      <c r="XAZ144" s="453"/>
      <c r="XBA144" s="453"/>
      <c r="XBB144" s="453"/>
      <c r="XBC144" s="453"/>
      <c r="XBD144" s="453"/>
      <c r="XBE144" s="461"/>
      <c r="XBF144" s="461"/>
      <c r="XBG144" s="461"/>
      <c r="XBH144" s="609"/>
      <c r="XBI144" s="607"/>
      <c r="XBJ144" s="607"/>
      <c r="XBK144" s="607"/>
      <c r="XBL144" s="463"/>
      <c r="XBM144" s="454"/>
      <c r="XBN144" s="607"/>
      <c r="XBO144" s="607"/>
      <c r="XBP144" s="607"/>
      <c r="XBQ144" s="607"/>
      <c r="XBR144" s="607"/>
      <c r="XBS144" s="453"/>
      <c r="XBT144" s="289"/>
      <c r="XBU144" s="453"/>
      <c r="XBV144" s="453"/>
      <c r="XBW144" s="453"/>
      <c r="XBX144" s="453"/>
      <c r="XBY144" s="453"/>
      <c r="XBZ144" s="461"/>
      <c r="XCA144" s="461"/>
      <c r="XCB144" s="461"/>
      <c r="XCC144" s="609"/>
      <c r="XCD144" s="607"/>
      <c r="XCE144" s="607"/>
      <c r="XCF144" s="607"/>
      <c r="XCG144" s="463"/>
      <c r="XCH144" s="454"/>
      <c r="XCI144" s="607"/>
      <c r="XCJ144" s="607"/>
      <c r="XCK144" s="607"/>
      <c r="XCL144" s="607"/>
      <c r="XCM144" s="607"/>
      <c r="XCN144" s="453"/>
      <c r="XCO144" s="289"/>
      <c r="XCP144" s="453"/>
      <c r="XCQ144" s="453"/>
      <c r="XCR144" s="453"/>
      <c r="XCS144" s="453"/>
      <c r="XCT144" s="453"/>
      <c r="XCU144" s="461"/>
      <c r="XCV144" s="461"/>
      <c r="XCW144" s="461"/>
      <c r="XCX144" s="609"/>
      <c r="XCY144" s="607"/>
      <c r="XCZ144" s="607"/>
      <c r="XDA144" s="607"/>
      <c r="XDB144" s="463"/>
      <c r="XDC144" s="454"/>
      <c r="XDD144" s="607"/>
      <c r="XDE144" s="607"/>
      <c r="XDF144" s="607"/>
      <c r="XDG144" s="607"/>
      <c r="XDH144" s="607"/>
      <c r="XDI144" s="453"/>
      <c r="XDJ144" s="289"/>
      <c r="XDK144" s="453"/>
      <c r="XDL144" s="453"/>
      <c r="XDM144" s="453"/>
      <c r="XDN144" s="453"/>
      <c r="XDO144" s="453"/>
      <c r="XDP144" s="461"/>
      <c r="XDQ144" s="461"/>
      <c r="XDR144" s="461"/>
      <c r="XDS144" s="609"/>
      <c r="XDT144" s="607"/>
      <c r="XDU144" s="607"/>
      <c r="XDV144" s="607"/>
      <c r="XDW144" s="463"/>
      <c r="XDX144" s="454"/>
      <c r="XDY144" s="607"/>
      <c r="XDZ144" s="607"/>
      <c r="XEA144" s="607"/>
      <c r="XEB144" s="607"/>
      <c r="XEC144" s="607"/>
      <c r="XED144" s="453"/>
      <c r="XEE144" s="289"/>
      <c r="XEF144" s="453"/>
      <c r="XEG144" s="453"/>
      <c r="XEH144" s="453"/>
      <c r="XEI144" s="453"/>
      <c r="XEJ144" s="453"/>
      <c r="XEK144" s="461"/>
      <c r="XEL144" s="461"/>
      <c r="XEM144" s="461"/>
      <c r="XEN144" s="609"/>
      <c r="XEO144" s="607"/>
      <c r="XEP144" s="607"/>
      <c r="XEQ144" s="607"/>
      <c r="XER144" s="463"/>
      <c r="XES144" s="454"/>
      <c r="XET144" s="607"/>
      <c r="XEU144" s="607"/>
      <c r="XEV144" s="607"/>
      <c r="XEW144" s="607"/>
      <c r="XEX144" s="607"/>
      <c r="XEY144" s="453"/>
      <c r="XEZ144" s="289"/>
      <c r="XFA144" s="453"/>
      <c r="XFB144" s="453"/>
      <c r="XFC144" s="453"/>
      <c r="XFD144" s="453"/>
    </row>
    <row r="145" spans="1:16384" ht="17.25" customHeight="1">
      <c r="A145" s="453" t="s">
        <v>1471</v>
      </c>
      <c r="B145" s="449" t="s">
        <v>280</v>
      </c>
      <c r="C145" s="453" t="s">
        <v>1459</v>
      </c>
      <c r="D145" s="640">
        <v>41712</v>
      </c>
      <c r="E145" s="607">
        <v>1999999</v>
      </c>
      <c r="F145" s="701">
        <f>G145/E145</f>
        <v>125000.06250003124</v>
      </c>
      <c r="G145" s="463">
        <v>250000000000</v>
      </c>
      <c r="H145" s="461" t="s">
        <v>1436</v>
      </c>
      <c r="I145" s="395">
        <v>41943</v>
      </c>
      <c r="J145" s="607"/>
      <c r="K145" s="607"/>
      <c r="L145" s="607">
        <v>14920000000</v>
      </c>
      <c r="M145" s="463">
        <v>0</v>
      </c>
      <c r="N145" s="289">
        <f>+L145-M145</f>
        <v>14920000000</v>
      </c>
      <c r="O145" s="607" t="s">
        <v>1458</v>
      </c>
      <c r="P145" s="607">
        <f>SUM(G145:G146)+SUM(M145:M146)</f>
        <v>300000000000</v>
      </c>
      <c r="Q145" s="607"/>
      <c r="R145" s="607"/>
      <c r="S145" s="607"/>
      <c r="T145" s="453"/>
      <c r="U145" s="289">
        <f>SUM(L145:L146)-SUM(R145:R146)</f>
        <v>16420000000</v>
      </c>
      <c r="W145" s="460"/>
    </row>
    <row r="146" spans="1:16384" ht="17.25" customHeight="1">
      <c r="A146" s="456" t="s">
        <v>1471</v>
      </c>
      <c r="B146" s="456" t="s">
        <v>309</v>
      </c>
      <c r="C146" s="456" t="s">
        <v>1459</v>
      </c>
      <c r="D146" s="642">
        <v>41712</v>
      </c>
      <c r="E146" s="634">
        <v>0</v>
      </c>
      <c r="F146" s="469">
        <v>0</v>
      </c>
      <c r="G146" s="469">
        <v>50000000000</v>
      </c>
      <c r="H146" s="469" t="s">
        <v>1287</v>
      </c>
      <c r="I146" s="628">
        <v>41806</v>
      </c>
      <c r="J146" s="634"/>
      <c r="K146" s="634"/>
      <c r="L146" s="634">
        <v>1500000000</v>
      </c>
      <c r="M146" s="469">
        <v>0</v>
      </c>
      <c r="N146" s="480">
        <f>+L146-M146</f>
        <v>1500000000</v>
      </c>
      <c r="O146" s="634" t="s">
        <v>1457</v>
      </c>
      <c r="P146" s="634"/>
      <c r="Q146" s="607"/>
      <c r="R146" s="607"/>
      <c r="S146" s="607"/>
      <c r="T146" s="453"/>
      <c r="U146" s="289"/>
      <c r="W146" s="460"/>
    </row>
    <row r="147" spans="1:16384" ht="17.25" customHeight="1">
      <c r="A147" s="450" t="s">
        <v>1471</v>
      </c>
      <c r="B147" s="450" t="s">
        <v>279</v>
      </c>
      <c r="C147" s="450" t="s">
        <v>1459</v>
      </c>
      <c r="D147" s="652"/>
      <c r="E147" s="635"/>
      <c r="F147" s="471"/>
      <c r="G147" s="471"/>
      <c r="H147" s="471"/>
      <c r="I147" s="630">
        <v>41897</v>
      </c>
      <c r="J147" s="635"/>
      <c r="K147" s="635"/>
      <c r="L147" s="635">
        <v>1500000000</v>
      </c>
      <c r="M147" s="471"/>
      <c r="N147" s="481">
        <f>+L147-M147</f>
        <v>1500000000</v>
      </c>
      <c r="O147" s="635" t="s">
        <v>1486</v>
      </c>
      <c r="P147" s="635"/>
      <c r="Q147" s="607"/>
      <c r="R147" s="607"/>
      <c r="S147" s="607"/>
      <c r="T147" s="453"/>
      <c r="U147" s="289"/>
      <c r="W147" s="460"/>
    </row>
    <row r="148" spans="1:16384" ht="17.25" customHeight="1">
      <c r="A148" s="449" t="s">
        <v>1471</v>
      </c>
      <c r="B148" s="449" t="s">
        <v>279</v>
      </c>
      <c r="C148" s="449" t="s">
        <v>1459</v>
      </c>
      <c r="D148" s="651"/>
      <c r="E148" s="636"/>
      <c r="F148" s="470"/>
      <c r="G148" s="470"/>
      <c r="H148" s="470"/>
      <c r="I148" s="632">
        <v>41988</v>
      </c>
      <c r="J148" s="636"/>
      <c r="K148" s="636"/>
      <c r="L148" s="636">
        <v>1500000000</v>
      </c>
      <c r="M148" s="470"/>
      <c r="N148" s="486">
        <f>+L148-M148</f>
        <v>1500000000</v>
      </c>
      <c r="O148" s="636"/>
      <c r="P148" s="636"/>
      <c r="Q148" s="607"/>
      <c r="R148" s="607"/>
      <c r="S148" s="607"/>
      <c r="T148" s="453"/>
      <c r="U148" s="289"/>
      <c r="W148" s="460"/>
    </row>
    <row r="149" spans="1:16384" ht="17.25" customHeight="1">
      <c r="A149" s="467" t="s">
        <v>1463</v>
      </c>
      <c r="B149" s="467"/>
      <c r="C149" s="467"/>
      <c r="D149" s="467" t="s">
        <v>502</v>
      </c>
      <c r="E149" s="467"/>
      <c r="F149" s="478"/>
      <c r="G149" s="433">
        <f>SUM(G145:G147)</f>
        <v>300000000000</v>
      </c>
      <c r="H149" s="478"/>
      <c r="I149" s="478"/>
      <c r="J149" s="498"/>
      <c r="K149" s="498"/>
      <c r="L149" s="433">
        <f>SUM(L145:L148)</f>
        <v>19420000000</v>
      </c>
      <c r="M149" s="433">
        <f>SUM(M145:M147)</f>
        <v>0</v>
      </c>
      <c r="N149" s="433">
        <f>SUM(N145:N147)</f>
        <v>17920000000</v>
      </c>
      <c r="O149" s="498"/>
      <c r="P149" s="433">
        <f>SUM(P145:P147)</f>
        <v>300000000000</v>
      </c>
      <c r="Q149" s="498">
        <f>SUM(Q138:Q144)</f>
        <v>0</v>
      </c>
      <c r="R149" s="498">
        <f>SUM(R138:R144)</f>
        <v>0</v>
      </c>
      <c r="S149" s="498">
        <f>SUM(S138:S144)</f>
        <v>0</v>
      </c>
      <c r="T149" s="467"/>
      <c r="U149" s="487">
        <f>SUM(U145:U146)</f>
        <v>16420000000</v>
      </c>
      <c r="AA149" s="460"/>
      <c r="AB149" s="460"/>
      <c r="AC149" s="460"/>
      <c r="AD149" s="608"/>
      <c r="AE149" s="639"/>
      <c r="AF149" s="639"/>
      <c r="AG149" s="639"/>
      <c r="AH149" s="459"/>
      <c r="AI149" s="624"/>
      <c r="AJ149" s="639"/>
      <c r="AK149" s="639"/>
      <c r="AL149" s="639"/>
      <c r="AM149" s="639"/>
      <c r="AN149" s="639"/>
      <c r="AP149" s="625"/>
      <c r="AV149" s="460"/>
      <c r="AW149" s="460"/>
      <c r="AX149" s="460"/>
      <c r="AY149" s="608"/>
      <c r="AZ149" s="639"/>
      <c r="BA149" s="639"/>
      <c r="BB149" s="639"/>
      <c r="BC149" s="459"/>
      <c r="BD149" s="624"/>
      <c r="BE149" s="639"/>
      <c r="BF149" s="639"/>
      <c r="BG149" s="639"/>
      <c r="BH149" s="639"/>
      <c r="BI149" s="639"/>
      <c r="BK149" s="625"/>
      <c r="BQ149" s="460"/>
      <c r="BR149" s="460"/>
      <c r="BS149" s="460"/>
      <c r="BT149" s="608"/>
      <c r="BU149" s="639"/>
      <c r="BV149" s="639"/>
      <c r="BW149" s="639"/>
      <c r="BX149" s="459"/>
      <c r="BY149" s="624"/>
      <c r="BZ149" s="639"/>
      <c r="CA149" s="639"/>
      <c r="CB149" s="639"/>
      <c r="CC149" s="639"/>
      <c r="CD149" s="434"/>
      <c r="CE149" s="453"/>
      <c r="CF149" s="289"/>
      <c r="CG149" s="453"/>
      <c r="CH149" s="453"/>
      <c r="CI149" s="453"/>
      <c r="CJ149" s="453"/>
      <c r="CK149" s="453"/>
      <c r="CL149" s="461"/>
      <c r="CM149" s="461"/>
      <c r="CN149" s="461"/>
      <c r="CO149" s="609"/>
      <c r="CP149" s="607"/>
      <c r="CQ149" s="607"/>
      <c r="CR149" s="607"/>
      <c r="CS149" s="463"/>
      <c r="CT149" s="454"/>
      <c r="CU149" s="607"/>
      <c r="CV149" s="607"/>
      <c r="CW149" s="607"/>
      <c r="CX149" s="607"/>
      <c r="CY149" s="607"/>
      <c r="CZ149" s="453"/>
      <c r="DA149" s="289"/>
      <c r="DB149" s="453"/>
      <c r="DC149" s="453"/>
      <c r="DD149" s="453"/>
      <c r="DE149" s="453"/>
      <c r="DF149" s="453"/>
      <c r="DG149" s="461"/>
      <c r="DH149" s="461"/>
      <c r="DI149" s="461"/>
      <c r="DJ149" s="609"/>
      <c r="DK149" s="607"/>
      <c r="DL149" s="607"/>
      <c r="DM149" s="607"/>
      <c r="DN149" s="463"/>
      <c r="DO149" s="454"/>
      <c r="DP149" s="607"/>
      <c r="DQ149" s="607"/>
      <c r="DR149" s="607"/>
      <c r="DS149" s="607"/>
      <c r="DT149" s="607"/>
      <c r="DU149" s="453"/>
      <c r="DV149" s="289"/>
      <c r="DW149" s="453"/>
      <c r="DX149" s="453"/>
      <c r="DY149" s="453"/>
      <c r="DZ149" s="453"/>
      <c r="EA149" s="453"/>
      <c r="EB149" s="461"/>
      <c r="EC149" s="461"/>
      <c r="ED149" s="461"/>
      <c r="EE149" s="609"/>
      <c r="EF149" s="607"/>
      <c r="EG149" s="607"/>
      <c r="EH149" s="607"/>
      <c r="EI149" s="463"/>
      <c r="EJ149" s="454"/>
      <c r="EK149" s="607"/>
      <c r="EL149" s="607"/>
      <c r="EM149" s="607"/>
      <c r="EN149" s="607"/>
      <c r="EO149" s="607"/>
      <c r="EP149" s="453"/>
      <c r="EQ149" s="289"/>
      <c r="ER149" s="453"/>
      <c r="ES149" s="453"/>
      <c r="ET149" s="453"/>
      <c r="EU149" s="453"/>
      <c r="EV149" s="453"/>
      <c r="EW149" s="461"/>
      <c r="EX149" s="461"/>
      <c r="EY149" s="461"/>
      <c r="EZ149" s="609"/>
      <c r="FA149" s="607"/>
      <c r="FB149" s="607"/>
      <c r="FC149" s="607"/>
      <c r="FD149" s="463"/>
      <c r="FE149" s="454"/>
      <c r="FF149" s="607"/>
      <c r="FG149" s="607"/>
      <c r="FH149" s="607"/>
      <c r="FI149" s="607"/>
      <c r="FJ149" s="607"/>
      <c r="FK149" s="453"/>
      <c r="FL149" s="289"/>
      <c r="FM149" s="453"/>
      <c r="FN149" s="453"/>
      <c r="FO149" s="453"/>
      <c r="FP149" s="453"/>
      <c r="FQ149" s="453"/>
      <c r="FR149" s="461"/>
      <c r="FS149" s="461"/>
      <c r="FT149" s="461"/>
      <c r="FU149" s="609"/>
      <c r="FV149" s="607"/>
      <c r="FW149" s="607"/>
      <c r="FX149" s="607"/>
      <c r="FY149" s="463"/>
      <c r="FZ149" s="454"/>
      <c r="GA149" s="607"/>
      <c r="GB149" s="607"/>
      <c r="GC149" s="607"/>
      <c r="GD149" s="607"/>
      <c r="GE149" s="607"/>
      <c r="GF149" s="453"/>
      <c r="GG149" s="289"/>
      <c r="GH149" s="453"/>
      <c r="GI149" s="453"/>
      <c r="GJ149" s="453"/>
      <c r="GK149" s="453"/>
      <c r="GL149" s="453"/>
      <c r="GM149" s="461"/>
      <c r="GN149" s="461"/>
      <c r="GO149" s="461"/>
      <c r="GP149" s="609"/>
      <c r="GQ149" s="607"/>
      <c r="GR149" s="607"/>
      <c r="GS149" s="607"/>
      <c r="GT149" s="463"/>
      <c r="GU149" s="454"/>
      <c r="GV149" s="607"/>
      <c r="GW149" s="607"/>
      <c r="GX149" s="607"/>
      <c r="GY149" s="607"/>
      <c r="GZ149" s="607"/>
      <c r="HA149" s="453"/>
      <c r="HB149" s="289"/>
      <c r="HC149" s="453"/>
      <c r="HD149" s="453"/>
      <c r="HE149" s="453"/>
      <c r="HF149" s="453"/>
      <c r="HG149" s="453"/>
      <c r="HH149" s="461"/>
      <c r="HI149" s="461"/>
      <c r="HJ149" s="461"/>
      <c r="HK149" s="609"/>
      <c r="HL149" s="607"/>
      <c r="HM149" s="607"/>
      <c r="HN149" s="607"/>
      <c r="HO149" s="463"/>
      <c r="HP149" s="454"/>
      <c r="HQ149" s="607"/>
      <c r="HR149" s="607"/>
      <c r="HS149" s="607"/>
      <c r="HT149" s="607"/>
      <c r="HU149" s="607"/>
      <c r="HV149" s="453"/>
      <c r="HW149" s="289"/>
      <c r="HX149" s="453"/>
      <c r="HY149" s="453"/>
      <c r="HZ149" s="453"/>
      <c r="IA149" s="453"/>
      <c r="IB149" s="453"/>
      <c r="IC149" s="461"/>
      <c r="ID149" s="461"/>
      <c r="IE149" s="461"/>
      <c r="IF149" s="609"/>
      <c r="IG149" s="607"/>
      <c r="IH149" s="607"/>
      <c r="II149" s="607"/>
      <c r="IJ149" s="463"/>
      <c r="IK149" s="454"/>
      <c r="IL149" s="607"/>
      <c r="IM149" s="607"/>
      <c r="IN149" s="607"/>
      <c r="IO149" s="607"/>
      <c r="IP149" s="607"/>
      <c r="IQ149" s="453"/>
      <c r="IR149" s="289"/>
      <c r="IS149" s="453"/>
      <c r="IT149" s="453"/>
      <c r="IU149" s="453"/>
      <c r="IV149" s="453"/>
      <c r="IW149" s="453"/>
      <c r="IX149" s="461"/>
      <c r="IY149" s="461"/>
      <c r="IZ149" s="461"/>
      <c r="JA149" s="609"/>
      <c r="JB149" s="607"/>
      <c r="JC149" s="607"/>
      <c r="JD149" s="607"/>
      <c r="JE149" s="463"/>
      <c r="JF149" s="454"/>
      <c r="JG149" s="607"/>
      <c r="JH149" s="607"/>
      <c r="JI149" s="607"/>
      <c r="JJ149" s="607"/>
      <c r="JK149" s="607"/>
      <c r="JL149" s="453"/>
      <c r="JM149" s="289"/>
      <c r="JN149" s="453"/>
      <c r="JO149" s="453"/>
      <c r="JP149" s="453"/>
      <c r="JQ149" s="453"/>
      <c r="JR149" s="453"/>
      <c r="JS149" s="461"/>
      <c r="JT149" s="461"/>
      <c r="JU149" s="461"/>
      <c r="JV149" s="609"/>
      <c r="JW149" s="607"/>
      <c r="JX149" s="607"/>
      <c r="JY149" s="607"/>
      <c r="JZ149" s="463"/>
      <c r="KA149" s="454"/>
      <c r="KB149" s="607"/>
      <c r="KC149" s="607"/>
      <c r="KD149" s="607"/>
      <c r="KE149" s="607"/>
      <c r="KF149" s="607"/>
      <c r="KG149" s="453"/>
      <c r="KH149" s="289"/>
      <c r="KI149" s="453"/>
      <c r="KJ149" s="453"/>
      <c r="KK149" s="453"/>
      <c r="KL149" s="453"/>
      <c r="KM149" s="453"/>
      <c r="KN149" s="461"/>
      <c r="KO149" s="461"/>
      <c r="KP149" s="461"/>
      <c r="KQ149" s="609"/>
      <c r="KR149" s="607"/>
      <c r="KS149" s="607"/>
      <c r="KT149" s="607"/>
      <c r="KU149" s="463"/>
      <c r="KV149" s="454"/>
      <c r="KW149" s="607"/>
      <c r="KX149" s="607"/>
      <c r="KY149" s="607"/>
      <c r="KZ149" s="607"/>
      <c r="LA149" s="607"/>
      <c r="LB149" s="453"/>
      <c r="LC149" s="289"/>
      <c r="LD149" s="453"/>
      <c r="LE149" s="453"/>
      <c r="LF149" s="453"/>
      <c r="LG149" s="453"/>
      <c r="LH149" s="453"/>
      <c r="LI149" s="461"/>
      <c r="LJ149" s="461"/>
      <c r="LK149" s="461"/>
      <c r="LL149" s="609"/>
      <c r="LM149" s="607"/>
      <c r="LN149" s="607"/>
      <c r="LO149" s="607"/>
      <c r="LP149" s="463"/>
      <c r="LQ149" s="454"/>
      <c r="LR149" s="607"/>
      <c r="LS149" s="607"/>
      <c r="LT149" s="607"/>
      <c r="LU149" s="607"/>
      <c r="LV149" s="607"/>
      <c r="LW149" s="453"/>
      <c r="LX149" s="289"/>
      <c r="LY149" s="453"/>
      <c r="LZ149" s="453"/>
      <c r="MA149" s="453"/>
      <c r="MB149" s="453"/>
      <c r="MC149" s="453"/>
      <c r="MD149" s="461"/>
      <c r="ME149" s="461"/>
      <c r="MF149" s="461"/>
      <c r="MG149" s="609"/>
      <c r="MH149" s="607"/>
      <c r="MI149" s="607"/>
      <c r="MJ149" s="607"/>
      <c r="MK149" s="463"/>
      <c r="ML149" s="454"/>
      <c r="MM149" s="607"/>
      <c r="MN149" s="607"/>
      <c r="MO149" s="607"/>
      <c r="MP149" s="607"/>
      <c r="MQ149" s="607"/>
      <c r="MR149" s="453"/>
      <c r="MS149" s="289"/>
      <c r="MT149" s="453"/>
      <c r="MU149" s="453"/>
      <c r="MV149" s="453"/>
      <c r="MW149" s="453"/>
      <c r="MX149" s="453"/>
      <c r="MY149" s="461"/>
      <c r="MZ149" s="461"/>
      <c r="NA149" s="461"/>
      <c r="NB149" s="609"/>
      <c r="NC149" s="607"/>
      <c r="ND149" s="607"/>
      <c r="NE149" s="607"/>
      <c r="NF149" s="463"/>
      <c r="NG149" s="454"/>
      <c r="NH149" s="607"/>
      <c r="NI149" s="607"/>
      <c r="NJ149" s="607"/>
      <c r="NK149" s="607"/>
      <c r="NL149" s="607"/>
      <c r="NM149" s="453"/>
      <c r="NN149" s="289"/>
      <c r="NO149" s="453"/>
      <c r="NP149" s="453"/>
      <c r="NQ149" s="453"/>
      <c r="NR149" s="453"/>
      <c r="NS149" s="453"/>
      <c r="NT149" s="461"/>
      <c r="NU149" s="461"/>
      <c r="NV149" s="461"/>
      <c r="NW149" s="609"/>
      <c r="NX149" s="607"/>
      <c r="NY149" s="607"/>
      <c r="NZ149" s="607"/>
      <c r="OA149" s="463"/>
      <c r="OB149" s="454"/>
      <c r="OC149" s="607"/>
      <c r="OD149" s="607"/>
      <c r="OE149" s="607"/>
      <c r="OF149" s="607"/>
      <c r="OG149" s="607"/>
      <c r="OH149" s="453"/>
      <c r="OI149" s="289"/>
      <c r="OJ149" s="453"/>
      <c r="OK149" s="453"/>
      <c r="OL149" s="453"/>
      <c r="OM149" s="453"/>
      <c r="ON149" s="453"/>
      <c r="OO149" s="461"/>
      <c r="OP149" s="461"/>
      <c r="OQ149" s="461"/>
      <c r="OR149" s="609"/>
      <c r="OS149" s="607"/>
      <c r="OT149" s="607"/>
      <c r="OU149" s="607"/>
      <c r="OV149" s="463"/>
      <c r="OW149" s="454"/>
      <c r="OX149" s="607"/>
      <c r="OY149" s="607"/>
      <c r="OZ149" s="607"/>
      <c r="PA149" s="607"/>
      <c r="PB149" s="607"/>
      <c r="PC149" s="453"/>
      <c r="PD149" s="289"/>
      <c r="PE149" s="453"/>
      <c r="PF149" s="453"/>
      <c r="PG149" s="453"/>
      <c r="PH149" s="453"/>
      <c r="PI149" s="453"/>
      <c r="PJ149" s="461"/>
      <c r="PK149" s="461"/>
      <c r="PL149" s="461"/>
      <c r="PM149" s="609"/>
      <c r="PN149" s="607"/>
      <c r="PO149" s="607"/>
      <c r="PP149" s="607"/>
      <c r="PQ149" s="463"/>
      <c r="PR149" s="454"/>
      <c r="PS149" s="607"/>
      <c r="PT149" s="607"/>
      <c r="PU149" s="607"/>
      <c r="PV149" s="607"/>
      <c r="PW149" s="607"/>
      <c r="PX149" s="453"/>
      <c r="PY149" s="289"/>
      <c r="PZ149" s="453"/>
      <c r="QA149" s="453"/>
      <c r="QB149" s="453"/>
      <c r="QC149" s="453"/>
      <c r="QD149" s="453"/>
      <c r="QE149" s="461"/>
      <c r="QF149" s="461"/>
      <c r="QG149" s="461"/>
      <c r="QH149" s="609"/>
      <c r="QI149" s="607"/>
      <c r="QJ149" s="607"/>
      <c r="QK149" s="607"/>
      <c r="QL149" s="463"/>
      <c r="QM149" s="454"/>
      <c r="QN149" s="607"/>
      <c r="QO149" s="607"/>
      <c r="QP149" s="607"/>
      <c r="QQ149" s="607"/>
      <c r="QR149" s="607"/>
      <c r="QS149" s="453"/>
      <c r="QT149" s="289"/>
      <c r="QU149" s="453"/>
      <c r="QV149" s="453"/>
      <c r="QW149" s="453"/>
      <c r="QX149" s="453"/>
      <c r="QY149" s="453"/>
      <c r="QZ149" s="461"/>
      <c r="RA149" s="461"/>
      <c r="RB149" s="461"/>
      <c r="RC149" s="609"/>
      <c r="RD149" s="607"/>
      <c r="RE149" s="607"/>
      <c r="RF149" s="607"/>
      <c r="RG149" s="463"/>
      <c r="RH149" s="454"/>
      <c r="RI149" s="607"/>
      <c r="RJ149" s="607"/>
      <c r="RK149" s="607"/>
      <c r="RL149" s="607"/>
      <c r="RM149" s="607"/>
      <c r="RN149" s="453"/>
      <c r="RO149" s="289"/>
      <c r="RP149" s="453"/>
      <c r="RQ149" s="453"/>
      <c r="RR149" s="453"/>
      <c r="RS149" s="453"/>
      <c r="RT149" s="453"/>
      <c r="RU149" s="461"/>
      <c r="RV149" s="461"/>
      <c r="RW149" s="461"/>
      <c r="RX149" s="609"/>
      <c r="RY149" s="607"/>
      <c r="RZ149" s="607"/>
      <c r="SA149" s="607"/>
      <c r="SB149" s="463"/>
      <c r="SC149" s="454"/>
      <c r="SD149" s="607"/>
      <c r="SE149" s="607"/>
      <c r="SF149" s="607"/>
      <c r="SG149" s="607"/>
      <c r="SH149" s="607"/>
      <c r="SI149" s="453"/>
      <c r="SJ149" s="289"/>
      <c r="SK149" s="453"/>
      <c r="SL149" s="453"/>
      <c r="SM149" s="453"/>
      <c r="SN149" s="453"/>
      <c r="SO149" s="453"/>
      <c r="SP149" s="461"/>
      <c r="SQ149" s="461"/>
      <c r="SR149" s="461"/>
      <c r="SS149" s="609"/>
      <c r="ST149" s="607"/>
      <c r="SU149" s="607"/>
      <c r="SV149" s="607"/>
      <c r="SW149" s="463"/>
      <c r="SX149" s="454"/>
      <c r="SY149" s="607"/>
      <c r="SZ149" s="607"/>
      <c r="TA149" s="607"/>
      <c r="TB149" s="607"/>
      <c r="TC149" s="607"/>
      <c r="TD149" s="453"/>
      <c r="TE149" s="289"/>
      <c r="TF149" s="453"/>
      <c r="TG149" s="453"/>
      <c r="TH149" s="453"/>
      <c r="TI149" s="453"/>
      <c r="TJ149" s="453"/>
      <c r="TK149" s="461"/>
      <c r="TL149" s="461"/>
      <c r="TM149" s="461"/>
      <c r="TN149" s="609"/>
      <c r="TO149" s="607"/>
      <c r="TP149" s="607"/>
      <c r="TQ149" s="607"/>
      <c r="TR149" s="463"/>
      <c r="TS149" s="454"/>
      <c r="TT149" s="607"/>
      <c r="TU149" s="607"/>
      <c r="TV149" s="607"/>
      <c r="TW149" s="607"/>
      <c r="TX149" s="607"/>
      <c r="TY149" s="453"/>
      <c r="TZ149" s="289"/>
      <c r="UA149" s="453"/>
      <c r="UB149" s="453"/>
      <c r="UC149" s="453"/>
      <c r="UD149" s="453"/>
      <c r="UE149" s="453"/>
      <c r="UF149" s="461"/>
      <c r="UG149" s="461"/>
      <c r="UH149" s="461"/>
      <c r="UI149" s="609"/>
      <c r="UJ149" s="607"/>
      <c r="UK149" s="607"/>
      <c r="UL149" s="607"/>
      <c r="UM149" s="463"/>
      <c r="UN149" s="454"/>
      <c r="UO149" s="607"/>
      <c r="UP149" s="607"/>
      <c r="UQ149" s="607"/>
      <c r="UR149" s="607"/>
      <c r="US149" s="607"/>
      <c r="UT149" s="453"/>
      <c r="UU149" s="289"/>
      <c r="UV149" s="453"/>
      <c r="UW149" s="453"/>
      <c r="UX149" s="453"/>
      <c r="UY149" s="453"/>
      <c r="UZ149" s="453"/>
      <c r="VA149" s="461"/>
      <c r="VB149" s="461"/>
      <c r="VC149" s="461"/>
      <c r="VD149" s="609"/>
      <c r="VE149" s="607"/>
      <c r="VF149" s="607"/>
      <c r="VG149" s="607"/>
      <c r="VH149" s="463"/>
      <c r="VI149" s="454"/>
      <c r="VJ149" s="607"/>
      <c r="VK149" s="607"/>
      <c r="VL149" s="607"/>
      <c r="VM149" s="607"/>
      <c r="VN149" s="607"/>
      <c r="VO149" s="453"/>
      <c r="VP149" s="289"/>
      <c r="VQ149" s="453"/>
      <c r="VR149" s="453"/>
      <c r="VS149" s="453"/>
      <c r="VT149" s="453"/>
      <c r="VU149" s="453"/>
      <c r="VV149" s="461"/>
      <c r="VW149" s="461"/>
      <c r="VX149" s="461"/>
      <c r="VY149" s="609"/>
      <c r="VZ149" s="607"/>
      <c r="WA149" s="607"/>
      <c r="WB149" s="607"/>
      <c r="WC149" s="463"/>
      <c r="WD149" s="454"/>
      <c r="WE149" s="607"/>
      <c r="WF149" s="607"/>
      <c r="WG149" s="607"/>
      <c r="WH149" s="607"/>
      <c r="WI149" s="607"/>
      <c r="WJ149" s="453"/>
      <c r="WK149" s="289"/>
      <c r="WL149" s="453"/>
      <c r="WM149" s="453"/>
      <c r="WN149" s="453"/>
      <c r="WO149" s="453"/>
      <c r="WP149" s="453"/>
      <c r="WQ149" s="461"/>
      <c r="WR149" s="461"/>
      <c r="WS149" s="461"/>
      <c r="WT149" s="609"/>
      <c r="WU149" s="607"/>
      <c r="WV149" s="607"/>
      <c r="WW149" s="607"/>
      <c r="WX149" s="463"/>
      <c r="WY149" s="454"/>
      <c r="WZ149" s="607"/>
      <c r="XA149" s="607"/>
      <c r="XB149" s="607"/>
      <c r="XC149" s="607"/>
      <c r="XD149" s="607"/>
      <c r="XE149" s="453"/>
      <c r="XF149" s="289"/>
      <c r="XG149" s="453"/>
      <c r="XH149" s="453"/>
      <c r="XI149" s="453"/>
      <c r="XJ149" s="453"/>
      <c r="XK149" s="453"/>
      <c r="XL149" s="461"/>
      <c r="XM149" s="461"/>
      <c r="XN149" s="461"/>
      <c r="XO149" s="609"/>
      <c r="XP149" s="607"/>
      <c r="XQ149" s="607"/>
      <c r="XR149" s="607"/>
      <c r="XS149" s="463"/>
      <c r="XT149" s="454"/>
      <c r="XU149" s="607"/>
      <c r="XV149" s="607"/>
      <c r="XW149" s="607"/>
      <c r="XX149" s="607"/>
      <c r="XY149" s="607"/>
      <c r="XZ149" s="453"/>
      <c r="YA149" s="289"/>
      <c r="YB149" s="453"/>
      <c r="YC149" s="453"/>
      <c r="YD149" s="453"/>
      <c r="YE149" s="453"/>
      <c r="YF149" s="453"/>
      <c r="YG149" s="461"/>
      <c r="YH149" s="461"/>
      <c r="YI149" s="461"/>
      <c r="YJ149" s="609"/>
      <c r="YK149" s="607"/>
      <c r="YL149" s="607"/>
      <c r="YM149" s="607"/>
      <c r="YN149" s="463"/>
      <c r="YO149" s="454"/>
      <c r="YP149" s="607"/>
      <c r="YQ149" s="607"/>
      <c r="YR149" s="607"/>
      <c r="YS149" s="607"/>
      <c r="YT149" s="607"/>
      <c r="YU149" s="453"/>
      <c r="YV149" s="289"/>
      <c r="YW149" s="453"/>
      <c r="YX149" s="453"/>
      <c r="YY149" s="453"/>
      <c r="YZ149" s="453"/>
      <c r="ZA149" s="453"/>
      <c r="ZB149" s="461"/>
      <c r="ZC149" s="461"/>
      <c r="ZD149" s="461"/>
      <c r="ZE149" s="609"/>
      <c r="ZF149" s="607"/>
      <c r="ZG149" s="607"/>
      <c r="ZH149" s="607"/>
      <c r="ZI149" s="463"/>
      <c r="ZJ149" s="454"/>
      <c r="ZK149" s="607"/>
      <c r="ZL149" s="607"/>
      <c r="ZM149" s="607"/>
      <c r="ZN149" s="607"/>
      <c r="ZO149" s="607"/>
      <c r="ZP149" s="453"/>
      <c r="ZQ149" s="289"/>
      <c r="ZR149" s="453"/>
      <c r="ZS149" s="453"/>
      <c r="ZT149" s="453"/>
      <c r="ZU149" s="453"/>
      <c r="ZV149" s="453"/>
      <c r="ZW149" s="461"/>
      <c r="ZX149" s="461"/>
      <c r="ZY149" s="461"/>
      <c r="ZZ149" s="609"/>
      <c r="AAA149" s="607"/>
      <c r="AAB149" s="607"/>
      <c r="AAC149" s="607"/>
      <c r="AAD149" s="463"/>
      <c r="AAE149" s="454"/>
      <c r="AAF149" s="607"/>
      <c r="AAG149" s="607"/>
      <c r="AAH149" s="607"/>
      <c r="AAI149" s="607"/>
      <c r="AAJ149" s="607"/>
      <c r="AAK149" s="453"/>
      <c r="AAL149" s="289"/>
      <c r="AAM149" s="453"/>
      <c r="AAN149" s="453"/>
      <c r="AAO149" s="453"/>
      <c r="AAP149" s="453"/>
      <c r="AAQ149" s="453"/>
      <c r="AAR149" s="461"/>
      <c r="AAS149" s="461"/>
      <c r="AAT149" s="461"/>
      <c r="AAU149" s="609"/>
      <c r="AAV149" s="607"/>
      <c r="AAW149" s="607"/>
      <c r="AAX149" s="607"/>
      <c r="AAY149" s="463"/>
      <c r="AAZ149" s="454"/>
      <c r="ABA149" s="607"/>
      <c r="ABB149" s="607"/>
      <c r="ABC149" s="607"/>
      <c r="ABD149" s="607"/>
      <c r="ABE149" s="607"/>
      <c r="ABF149" s="453"/>
      <c r="ABG149" s="289"/>
      <c r="ABH149" s="453"/>
      <c r="ABI149" s="453"/>
      <c r="ABJ149" s="453"/>
      <c r="ABK149" s="453"/>
      <c r="ABL149" s="453"/>
      <c r="ABM149" s="461"/>
      <c r="ABN149" s="461"/>
      <c r="ABO149" s="461"/>
      <c r="ABP149" s="609"/>
      <c r="ABQ149" s="607"/>
      <c r="ABR149" s="607"/>
      <c r="ABS149" s="607"/>
      <c r="ABT149" s="463"/>
      <c r="ABU149" s="454"/>
      <c r="ABV149" s="607"/>
      <c r="ABW149" s="607"/>
      <c r="ABX149" s="607"/>
      <c r="ABY149" s="607"/>
      <c r="ABZ149" s="607"/>
      <c r="ACA149" s="453"/>
      <c r="ACB149" s="289"/>
      <c r="ACC149" s="453"/>
      <c r="ACD149" s="453"/>
      <c r="ACE149" s="453"/>
      <c r="ACF149" s="453"/>
      <c r="ACG149" s="453"/>
      <c r="ACH149" s="461"/>
      <c r="ACI149" s="461"/>
      <c r="ACJ149" s="461"/>
      <c r="ACK149" s="609"/>
      <c r="ACL149" s="607"/>
      <c r="ACM149" s="607"/>
      <c r="ACN149" s="607"/>
      <c r="ACO149" s="463"/>
      <c r="ACP149" s="454"/>
      <c r="ACQ149" s="607"/>
      <c r="ACR149" s="607"/>
      <c r="ACS149" s="607"/>
      <c r="ACT149" s="607"/>
      <c r="ACU149" s="607"/>
      <c r="ACV149" s="453"/>
      <c r="ACW149" s="289"/>
      <c r="ACX149" s="453"/>
      <c r="ACY149" s="453"/>
      <c r="ACZ149" s="453"/>
      <c r="ADA149" s="453"/>
      <c r="ADB149" s="453"/>
      <c r="ADC149" s="461"/>
      <c r="ADD149" s="461"/>
      <c r="ADE149" s="461"/>
      <c r="ADF149" s="609"/>
      <c r="ADG149" s="607"/>
      <c r="ADH149" s="607"/>
      <c r="ADI149" s="607"/>
      <c r="ADJ149" s="463"/>
      <c r="ADK149" s="454"/>
      <c r="ADL149" s="607"/>
      <c r="ADM149" s="607"/>
      <c r="ADN149" s="607"/>
      <c r="ADO149" s="607"/>
      <c r="ADP149" s="607"/>
      <c r="ADQ149" s="453"/>
      <c r="ADR149" s="289"/>
      <c r="ADS149" s="453"/>
      <c r="ADT149" s="453"/>
      <c r="ADU149" s="453"/>
      <c r="ADV149" s="453"/>
      <c r="ADW149" s="453"/>
      <c r="ADX149" s="461"/>
      <c r="ADY149" s="461"/>
      <c r="ADZ149" s="461"/>
      <c r="AEA149" s="609"/>
      <c r="AEB149" s="607"/>
      <c r="AEC149" s="607"/>
      <c r="AED149" s="607"/>
      <c r="AEE149" s="463"/>
      <c r="AEF149" s="454"/>
      <c r="AEG149" s="607"/>
      <c r="AEH149" s="607"/>
      <c r="AEI149" s="607"/>
      <c r="AEJ149" s="607"/>
      <c r="AEK149" s="607"/>
      <c r="AEL149" s="453"/>
      <c r="AEM149" s="289"/>
      <c r="AEN149" s="453"/>
      <c r="AEO149" s="453"/>
      <c r="AEP149" s="453"/>
      <c r="AEQ149" s="453"/>
      <c r="AER149" s="453"/>
      <c r="AES149" s="461"/>
      <c r="AET149" s="461"/>
      <c r="AEU149" s="461"/>
      <c r="AEV149" s="609"/>
      <c r="AEW149" s="607"/>
      <c r="AEX149" s="607"/>
      <c r="AEY149" s="607"/>
      <c r="AEZ149" s="463"/>
      <c r="AFA149" s="454"/>
      <c r="AFB149" s="607"/>
      <c r="AFC149" s="607"/>
      <c r="AFD149" s="607"/>
      <c r="AFE149" s="607"/>
      <c r="AFF149" s="607"/>
      <c r="AFG149" s="453"/>
      <c r="AFH149" s="289"/>
      <c r="AFI149" s="453"/>
      <c r="AFJ149" s="453"/>
      <c r="AFK149" s="453"/>
      <c r="AFL149" s="453"/>
      <c r="AFM149" s="453"/>
      <c r="AFN149" s="461"/>
      <c r="AFO149" s="461"/>
      <c r="AFP149" s="461"/>
      <c r="AFQ149" s="609"/>
      <c r="AFR149" s="607"/>
      <c r="AFS149" s="607"/>
      <c r="AFT149" s="607"/>
      <c r="AFU149" s="463"/>
      <c r="AFV149" s="454"/>
      <c r="AFW149" s="607"/>
      <c r="AFX149" s="607"/>
      <c r="AFY149" s="607"/>
      <c r="AFZ149" s="607"/>
      <c r="AGA149" s="607"/>
      <c r="AGB149" s="453"/>
      <c r="AGC149" s="289"/>
      <c r="AGD149" s="453"/>
      <c r="AGE149" s="453"/>
      <c r="AGF149" s="453"/>
      <c r="AGG149" s="453"/>
      <c r="AGH149" s="453"/>
      <c r="AGI149" s="461"/>
      <c r="AGJ149" s="461"/>
      <c r="AGK149" s="461"/>
      <c r="AGL149" s="609"/>
      <c r="AGM149" s="607"/>
      <c r="AGN149" s="607"/>
      <c r="AGO149" s="607"/>
      <c r="AGP149" s="463"/>
      <c r="AGQ149" s="454"/>
      <c r="AGR149" s="607"/>
      <c r="AGS149" s="607"/>
      <c r="AGT149" s="607"/>
      <c r="AGU149" s="607"/>
      <c r="AGV149" s="607"/>
      <c r="AGW149" s="453"/>
      <c r="AGX149" s="289"/>
      <c r="AGY149" s="453"/>
      <c r="AGZ149" s="453"/>
      <c r="AHA149" s="453"/>
      <c r="AHB149" s="453"/>
      <c r="AHC149" s="453"/>
      <c r="AHD149" s="461"/>
      <c r="AHE149" s="461"/>
      <c r="AHF149" s="461"/>
      <c r="AHG149" s="609"/>
      <c r="AHH149" s="607"/>
      <c r="AHI149" s="607"/>
      <c r="AHJ149" s="607"/>
      <c r="AHK149" s="463"/>
      <c r="AHL149" s="454"/>
      <c r="AHM149" s="607"/>
      <c r="AHN149" s="607"/>
      <c r="AHO149" s="607"/>
      <c r="AHP149" s="607"/>
      <c r="AHQ149" s="607"/>
      <c r="AHR149" s="453"/>
      <c r="AHS149" s="289"/>
      <c r="AHT149" s="453"/>
      <c r="AHU149" s="453"/>
      <c r="AHV149" s="453"/>
      <c r="AHW149" s="453"/>
      <c r="AHX149" s="453"/>
      <c r="AHY149" s="461"/>
      <c r="AHZ149" s="461"/>
      <c r="AIA149" s="461"/>
      <c r="AIB149" s="609"/>
      <c r="AIC149" s="607"/>
      <c r="AID149" s="607"/>
      <c r="AIE149" s="607"/>
      <c r="AIF149" s="463"/>
      <c r="AIG149" s="454"/>
      <c r="AIH149" s="607"/>
      <c r="AII149" s="607"/>
      <c r="AIJ149" s="607"/>
      <c r="AIK149" s="607"/>
      <c r="AIL149" s="607"/>
      <c r="AIM149" s="453"/>
      <c r="AIN149" s="289"/>
      <c r="AIO149" s="453"/>
      <c r="AIP149" s="453"/>
      <c r="AIQ149" s="453"/>
      <c r="AIR149" s="453"/>
      <c r="AIS149" s="453"/>
      <c r="AIT149" s="461"/>
      <c r="AIU149" s="461"/>
      <c r="AIV149" s="461"/>
      <c r="AIW149" s="609"/>
      <c r="AIX149" s="607"/>
      <c r="AIY149" s="607"/>
      <c r="AIZ149" s="607"/>
      <c r="AJA149" s="463"/>
      <c r="AJB149" s="454"/>
      <c r="AJC149" s="607"/>
      <c r="AJD149" s="607"/>
      <c r="AJE149" s="607"/>
      <c r="AJF149" s="607"/>
      <c r="AJG149" s="607"/>
      <c r="AJH149" s="453"/>
      <c r="AJI149" s="289"/>
      <c r="AJJ149" s="453"/>
      <c r="AJK149" s="453"/>
      <c r="AJL149" s="453"/>
      <c r="AJM149" s="453"/>
      <c r="AJN149" s="453"/>
      <c r="AJO149" s="461"/>
      <c r="AJP149" s="461"/>
      <c r="AJQ149" s="461"/>
      <c r="AJR149" s="609"/>
      <c r="AJS149" s="607"/>
      <c r="AJT149" s="607"/>
      <c r="AJU149" s="607"/>
      <c r="AJV149" s="463"/>
      <c r="AJW149" s="454"/>
      <c r="AJX149" s="607"/>
      <c r="AJY149" s="607"/>
      <c r="AJZ149" s="607"/>
      <c r="AKA149" s="607"/>
      <c r="AKB149" s="607"/>
      <c r="AKC149" s="453"/>
      <c r="AKD149" s="289"/>
      <c r="AKE149" s="453"/>
      <c r="AKF149" s="453"/>
      <c r="AKG149" s="453"/>
      <c r="AKH149" s="453"/>
      <c r="AKI149" s="453"/>
      <c r="AKJ149" s="461"/>
      <c r="AKK149" s="461"/>
      <c r="AKL149" s="461"/>
      <c r="AKM149" s="609"/>
      <c r="AKN149" s="607"/>
      <c r="AKO149" s="607"/>
      <c r="AKP149" s="607"/>
      <c r="AKQ149" s="463"/>
      <c r="AKR149" s="454"/>
      <c r="AKS149" s="607"/>
      <c r="AKT149" s="607"/>
      <c r="AKU149" s="607"/>
      <c r="AKV149" s="607"/>
      <c r="AKW149" s="607"/>
      <c r="AKX149" s="453"/>
      <c r="AKY149" s="289"/>
      <c r="AKZ149" s="453"/>
      <c r="ALA149" s="453"/>
      <c r="ALB149" s="453"/>
      <c r="ALC149" s="453"/>
      <c r="ALD149" s="453"/>
      <c r="ALE149" s="461"/>
      <c r="ALF149" s="461"/>
      <c r="ALG149" s="461"/>
      <c r="ALH149" s="609"/>
      <c r="ALI149" s="607"/>
      <c r="ALJ149" s="607"/>
      <c r="ALK149" s="607"/>
      <c r="ALL149" s="463"/>
      <c r="ALM149" s="454"/>
      <c r="ALN149" s="607"/>
      <c r="ALO149" s="607"/>
      <c r="ALP149" s="607"/>
      <c r="ALQ149" s="607"/>
      <c r="ALR149" s="607"/>
      <c r="ALS149" s="453"/>
      <c r="ALT149" s="289"/>
      <c r="ALU149" s="453"/>
      <c r="ALV149" s="453"/>
      <c r="ALW149" s="453"/>
      <c r="ALX149" s="453"/>
      <c r="ALY149" s="453"/>
      <c r="ALZ149" s="461"/>
      <c r="AMA149" s="461"/>
      <c r="AMB149" s="461"/>
      <c r="AMC149" s="609"/>
      <c r="AMD149" s="607"/>
      <c r="AME149" s="607"/>
      <c r="AMF149" s="607"/>
      <c r="AMG149" s="463"/>
      <c r="AMH149" s="454"/>
      <c r="AMI149" s="607"/>
      <c r="AMJ149" s="607"/>
      <c r="AMK149" s="607"/>
      <c r="AML149" s="607"/>
      <c r="AMM149" s="607"/>
      <c r="AMN149" s="453"/>
      <c r="AMO149" s="289"/>
      <c r="AMP149" s="453"/>
      <c r="AMQ149" s="453"/>
      <c r="AMR149" s="453"/>
      <c r="AMS149" s="453"/>
      <c r="AMT149" s="453"/>
      <c r="AMU149" s="461"/>
      <c r="AMV149" s="461"/>
      <c r="AMW149" s="461"/>
      <c r="AMX149" s="609"/>
      <c r="AMY149" s="607"/>
      <c r="AMZ149" s="607"/>
      <c r="ANA149" s="607"/>
      <c r="ANB149" s="463"/>
      <c r="ANC149" s="454"/>
      <c r="AND149" s="607"/>
      <c r="ANE149" s="607"/>
      <c r="ANF149" s="607"/>
      <c r="ANG149" s="607"/>
      <c r="ANH149" s="607"/>
      <c r="ANI149" s="453"/>
      <c r="ANJ149" s="289"/>
      <c r="ANK149" s="453"/>
      <c r="ANL149" s="453"/>
      <c r="ANM149" s="453"/>
      <c r="ANN149" s="453"/>
      <c r="ANO149" s="453"/>
      <c r="ANP149" s="461"/>
      <c r="ANQ149" s="461"/>
      <c r="ANR149" s="461"/>
      <c r="ANS149" s="609"/>
      <c r="ANT149" s="607"/>
      <c r="ANU149" s="607"/>
      <c r="ANV149" s="607"/>
      <c r="ANW149" s="463"/>
      <c r="ANX149" s="454"/>
      <c r="ANY149" s="607"/>
      <c r="ANZ149" s="607"/>
      <c r="AOA149" s="607"/>
      <c r="AOB149" s="607"/>
      <c r="AOC149" s="607"/>
      <c r="AOD149" s="453"/>
      <c r="AOE149" s="289"/>
      <c r="AOF149" s="453"/>
      <c r="AOG149" s="453"/>
      <c r="AOH149" s="453"/>
      <c r="AOI149" s="453"/>
      <c r="AOJ149" s="453"/>
      <c r="AOK149" s="461"/>
      <c r="AOL149" s="461"/>
      <c r="AOM149" s="461"/>
      <c r="AON149" s="609"/>
      <c r="AOO149" s="607"/>
      <c r="AOP149" s="607"/>
      <c r="AOQ149" s="607"/>
      <c r="AOR149" s="463"/>
      <c r="AOS149" s="454"/>
      <c r="AOT149" s="607"/>
      <c r="AOU149" s="607"/>
      <c r="AOV149" s="607"/>
      <c r="AOW149" s="607"/>
      <c r="AOX149" s="607"/>
      <c r="AOY149" s="453"/>
      <c r="AOZ149" s="289"/>
      <c r="APA149" s="453"/>
      <c r="APB149" s="453"/>
      <c r="APC149" s="453"/>
      <c r="APD149" s="453"/>
      <c r="APE149" s="453"/>
      <c r="APF149" s="461"/>
      <c r="APG149" s="461"/>
      <c r="APH149" s="461"/>
      <c r="API149" s="609"/>
      <c r="APJ149" s="607"/>
      <c r="APK149" s="607"/>
      <c r="APL149" s="607"/>
      <c r="APM149" s="463"/>
      <c r="APN149" s="454"/>
      <c r="APO149" s="607"/>
      <c r="APP149" s="607"/>
      <c r="APQ149" s="607"/>
      <c r="APR149" s="607"/>
      <c r="APS149" s="607"/>
      <c r="APT149" s="453"/>
      <c r="APU149" s="289"/>
      <c r="APV149" s="453"/>
      <c r="APW149" s="453"/>
      <c r="APX149" s="453"/>
      <c r="APY149" s="453"/>
      <c r="APZ149" s="453"/>
      <c r="AQA149" s="461"/>
      <c r="AQB149" s="461"/>
      <c r="AQC149" s="461"/>
      <c r="AQD149" s="609"/>
      <c r="AQE149" s="607"/>
      <c r="AQF149" s="607"/>
      <c r="AQG149" s="607"/>
      <c r="AQH149" s="463"/>
      <c r="AQI149" s="454"/>
      <c r="AQJ149" s="607"/>
      <c r="AQK149" s="607"/>
      <c r="AQL149" s="607"/>
      <c r="AQM149" s="607"/>
      <c r="AQN149" s="607"/>
      <c r="AQO149" s="453"/>
      <c r="AQP149" s="289"/>
      <c r="AQQ149" s="453"/>
      <c r="AQR149" s="453"/>
      <c r="AQS149" s="453"/>
      <c r="AQT149" s="453"/>
      <c r="AQU149" s="453"/>
      <c r="AQV149" s="461"/>
      <c r="AQW149" s="461"/>
      <c r="AQX149" s="461"/>
      <c r="AQY149" s="609"/>
      <c r="AQZ149" s="607"/>
      <c r="ARA149" s="607"/>
      <c r="ARB149" s="607"/>
      <c r="ARC149" s="463"/>
      <c r="ARD149" s="454"/>
      <c r="ARE149" s="607"/>
      <c r="ARF149" s="607"/>
      <c r="ARG149" s="607"/>
      <c r="ARH149" s="607"/>
      <c r="ARI149" s="607"/>
      <c r="ARJ149" s="453"/>
      <c r="ARK149" s="289"/>
      <c r="ARL149" s="453"/>
      <c r="ARM149" s="453"/>
      <c r="ARN149" s="453"/>
      <c r="ARO149" s="453"/>
      <c r="ARP149" s="453"/>
      <c r="ARQ149" s="461"/>
      <c r="ARR149" s="461"/>
      <c r="ARS149" s="461"/>
      <c r="ART149" s="609"/>
      <c r="ARU149" s="607"/>
      <c r="ARV149" s="607"/>
      <c r="ARW149" s="607"/>
      <c r="ARX149" s="463"/>
      <c r="ARY149" s="454"/>
      <c r="ARZ149" s="607"/>
      <c r="ASA149" s="607"/>
      <c r="ASB149" s="607"/>
      <c r="ASC149" s="607"/>
      <c r="ASD149" s="607"/>
      <c r="ASE149" s="453"/>
      <c r="ASF149" s="289"/>
      <c r="ASG149" s="453"/>
      <c r="ASH149" s="453"/>
      <c r="ASI149" s="453"/>
      <c r="ASJ149" s="453"/>
      <c r="ASK149" s="453"/>
      <c r="ASL149" s="461"/>
      <c r="ASM149" s="461"/>
      <c r="ASN149" s="461"/>
      <c r="ASO149" s="609"/>
      <c r="ASP149" s="607"/>
      <c r="ASQ149" s="607"/>
      <c r="ASR149" s="607"/>
      <c r="ASS149" s="463"/>
      <c r="AST149" s="454"/>
      <c r="ASU149" s="607"/>
      <c r="ASV149" s="607"/>
      <c r="ASW149" s="607"/>
      <c r="ASX149" s="607"/>
      <c r="ASY149" s="607"/>
      <c r="ASZ149" s="453"/>
      <c r="ATA149" s="289"/>
      <c r="ATB149" s="453"/>
      <c r="ATC149" s="453"/>
      <c r="ATD149" s="453"/>
      <c r="ATE149" s="453"/>
      <c r="ATF149" s="453"/>
      <c r="ATG149" s="461"/>
      <c r="ATH149" s="461"/>
      <c r="ATI149" s="461"/>
      <c r="ATJ149" s="609"/>
      <c r="ATK149" s="607"/>
      <c r="ATL149" s="607"/>
      <c r="ATM149" s="607"/>
      <c r="ATN149" s="463"/>
      <c r="ATO149" s="454"/>
      <c r="ATP149" s="607"/>
      <c r="ATQ149" s="607"/>
      <c r="ATR149" s="607"/>
      <c r="ATS149" s="607"/>
      <c r="ATT149" s="607"/>
      <c r="ATU149" s="453"/>
      <c r="ATV149" s="289"/>
      <c r="ATW149" s="453"/>
      <c r="ATX149" s="453"/>
      <c r="ATY149" s="453"/>
      <c r="ATZ149" s="453"/>
      <c r="AUA149" s="453"/>
      <c r="AUB149" s="461"/>
      <c r="AUC149" s="461"/>
      <c r="AUD149" s="461"/>
      <c r="AUE149" s="609"/>
      <c r="AUF149" s="607"/>
      <c r="AUG149" s="607"/>
      <c r="AUH149" s="607"/>
      <c r="AUI149" s="463"/>
      <c r="AUJ149" s="454"/>
      <c r="AUK149" s="607"/>
      <c r="AUL149" s="607"/>
      <c r="AUM149" s="607"/>
      <c r="AUN149" s="607"/>
      <c r="AUO149" s="607"/>
      <c r="AUP149" s="453"/>
      <c r="AUQ149" s="289"/>
      <c r="AUR149" s="453"/>
      <c r="AUS149" s="453"/>
      <c r="AUT149" s="453"/>
      <c r="AUU149" s="453"/>
      <c r="AUV149" s="453"/>
      <c r="AUW149" s="461"/>
      <c r="AUX149" s="461"/>
      <c r="AUY149" s="461"/>
      <c r="AUZ149" s="609"/>
      <c r="AVA149" s="607"/>
      <c r="AVB149" s="607"/>
      <c r="AVC149" s="607"/>
      <c r="AVD149" s="463"/>
      <c r="AVE149" s="454"/>
      <c r="AVF149" s="607"/>
      <c r="AVG149" s="607"/>
      <c r="AVH149" s="607"/>
      <c r="AVI149" s="607"/>
      <c r="AVJ149" s="607"/>
      <c r="AVK149" s="453"/>
      <c r="AVL149" s="289"/>
      <c r="AVM149" s="453"/>
      <c r="AVN149" s="453"/>
      <c r="AVO149" s="453"/>
      <c r="AVP149" s="453"/>
      <c r="AVQ149" s="453"/>
      <c r="AVR149" s="461"/>
      <c r="AVS149" s="461"/>
      <c r="AVT149" s="461"/>
      <c r="AVU149" s="609"/>
      <c r="AVV149" s="607"/>
      <c r="AVW149" s="607"/>
      <c r="AVX149" s="607"/>
      <c r="AVY149" s="463"/>
      <c r="AVZ149" s="454"/>
      <c r="AWA149" s="607"/>
      <c r="AWB149" s="607"/>
      <c r="AWC149" s="607"/>
      <c r="AWD149" s="607"/>
      <c r="AWE149" s="607"/>
      <c r="AWF149" s="453"/>
      <c r="AWG149" s="289"/>
      <c r="AWH149" s="453"/>
      <c r="AWI149" s="453"/>
      <c r="AWJ149" s="453"/>
      <c r="AWK149" s="453"/>
      <c r="AWL149" s="453"/>
      <c r="AWM149" s="461"/>
      <c r="AWN149" s="461"/>
      <c r="AWO149" s="461"/>
      <c r="AWP149" s="609"/>
      <c r="AWQ149" s="607"/>
      <c r="AWR149" s="607"/>
      <c r="AWS149" s="607"/>
      <c r="AWT149" s="463"/>
      <c r="AWU149" s="454"/>
      <c r="AWV149" s="607"/>
      <c r="AWW149" s="607"/>
      <c r="AWX149" s="607"/>
      <c r="AWY149" s="607"/>
      <c r="AWZ149" s="607"/>
      <c r="AXA149" s="453"/>
      <c r="AXB149" s="289"/>
      <c r="AXC149" s="453"/>
      <c r="AXD149" s="453"/>
      <c r="AXE149" s="453"/>
      <c r="AXF149" s="453"/>
      <c r="AXG149" s="453"/>
      <c r="AXH149" s="461"/>
      <c r="AXI149" s="461"/>
      <c r="AXJ149" s="461"/>
      <c r="AXK149" s="609"/>
      <c r="AXL149" s="607"/>
      <c r="AXM149" s="607"/>
      <c r="AXN149" s="607"/>
      <c r="AXO149" s="463"/>
      <c r="AXP149" s="454"/>
      <c r="AXQ149" s="607"/>
      <c r="AXR149" s="607"/>
      <c r="AXS149" s="607"/>
      <c r="AXT149" s="607"/>
      <c r="AXU149" s="607"/>
      <c r="AXV149" s="453"/>
      <c r="AXW149" s="289"/>
      <c r="AXX149" s="453"/>
      <c r="AXY149" s="453"/>
      <c r="AXZ149" s="453"/>
      <c r="AYA149" s="453"/>
      <c r="AYB149" s="453"/>
      <c r="AYC149" s="461"/>
      <c r="AYD149" s="461"/>
      <c r="AYE149" s="461"/>
      <c r="AYF149" s="609"/>
      <c r="AYG149" s="607"/>
      <c r="AYH149" s="607"/>
      <c r="AYI149" s="607"/>
      <c r="AYJ149" s="463"/>
      <c r="AYK149" s="454"/>
      <c r="AYL149" s="607"/>
      <c r="AYM149" s="607"/>
      <c r="AYN149" s="607"/>
      <c r="AYO149" s="607"/>
      <c r="AYP149" s="607"/>
      <c r="AYQ149" s="453"/>
      <c r="AYR149" s="289"/>
      <c r="AYS149" s="453"/>
      <c r="AYT149" s="453"/>
      <c r="AYU149" s="453"/>
      <c r="AYV149" s="453"/>
      <c r="AYW149" s="453"/>
      <c r="AYX149" s="461"/>
      <c r="AYY149" s="461"/>
      <c r="AYZ149" s="461"/>
      <c r="AZA149" s="609"/>
      <c r="AZB149" s="607"/>
      <c r="AZC149" s="607"/>
      <c r="AZD149" s="607"/>
      <c r="AZE149" s="463"/>
      <c r="AZF149" s="454"/>
      <c r="AZG149" s="607"/>
      <c r="AZH149" s="607"/>
      <c r="AZI149" s="607"/>
      <c r="AZJ149" s="607"/>
      <c r="AZK149" s="607"/>
      <c r="AZL149" s="453"/>
      <c r="AZM149" s="289"/>
      <c r="AZN149" s="453"/>
      <c r="AZO149" s="453"/>
      <c r="AZP149" s="453"/>
      <c r="AZQ149" s="453"/>
      <c r="AZR149" s="453"/>
      <c r="AZS149" s="461"/>
      <c r="AZT149" s="461"/>
      <c r="AZU149" s="461"/>
      <c r="AZV149" s="609"/>
      <c r="AZW149" s="607"/>
      <c r="AZX149" s="607"/>
      <c r="AZY149" s="607"/>
      <c r="AZZ149" s="463"/>
      <c r="BAA149" s="454"/>
      <c r="BAB149" s="607"/>
      <c r="BAC149" s="607"/>
      <c r="BAD149" s="607"/>
      <c r="BAE149" s="607"/>
      <c r="BAF149" s="607"/>
      <c r="BAG149" s="453"/>
      <c r="BAH149" s="289"/>
      <c r="BAI149" s="453"/>
      <c r="BAJ149" s="453"/>
      <c r="BAK149" s="453"/>
      <c r="BAL149" s="453"/>
      <c r="BAM149" s="453"/>
      <c r="BAN149" s="461"/>
      <c r="BAO149" s="461"/>
      <c r="BAP149" s="461"/>
      <c r="BAQ149" s="609"/>
      <c r="BAR149" s="607"/>
      <c r="BAS149" s="607"/>
      <c r="BAT149" s="607"/>
      <c r="BAU149" s="463"/>
      <c r="BAV149" s="454"/>
      <c r="BAW149" s="607"/>
      <c r="BAX149" s="607"/>
      <c r="BAY149" s="607"/>
      <c r="BAZ149" s="607"/>
      <c r="BBA149" s="607"/>
      <c r="BBB149" s="453"/>
      <c r="BBC149" s="289"/>
      <c r="BBD149" s="453"/>
      <c r="BBE149" s="453"/>
      <c r="BBF149" s="453"/>
      <c r="BBG149" s="453"/>
      <c r="BBH149" s="453"/>
      <c r="BBI149" s="461"/>
      <c r="BBJ149" s="461"/>
      <c r="BBK149" s="461"/>
      <c r="BBL149" s="609"/>
      <c r="BBM149" s="607"/>
      <c r="BBN149" s="607"/>
      <c r="BBO149" s="607"/>
      <c r="BBP149" s="463"/>
      <c r="BBQ149" s="454"/>
      <c r="BBR149" s="607"/>
      <c r="BBS149" s="607"/>
      <c r="BBT149" s="607"/>
      <c r="BBU149" s="607"/>
      <c r="BBV149" s="607"/>
      <c r="BBW149" s="453"/>
      <c r="BBX149" s="289"/>
      <c r="BBY149" s="453"/>
      <c r="BBZ149" s="453"/>
      <c r="BCA149" s="453"/>
      <c r="BCB149" s="453"/>
      <c r="BCC149" s="453"/>
      <c r="BCD149" s="461"/>
      <c r="BCE149" s="461"/>
      <c r="BCF149" s="461"/>
      <c r="BCG149" s="609"/>
      <c r="BCH149" s="607"/>
      <c r="BCI149" s="607"/>
      <c r="BCJ149" s="607"/>
      <c r="BCK149" s="463"/>
      <c r="BCL149" s="454"/>
      <c r="BCM149" s="607"/>
      <c r="BCN149" s="607"/>
      <c r="BCO149" s="607"/>
      <c r="BCP149" s="607"/>
      <c r="BCQ149" s="607"/>
      <c r="BCR149" s="453"/>
      <c r="BCS149" s="289"/>
      <c r="BCT149" s="453"/>
      <c r="BCU149" s="453"/>
      <c r="BCV149" s="453"/>
      <c r="BCW149" s="453"/>
      <c r="BCX149" s="453"/>
      <c r="BCY149" s="461"/>
      <c r="BCZ149" s="461"/>
      <c r="BDA149" s="461"/>
      <c r="BDB149" s="609"/>
      <c r="BDC149" s="607"/>
      <c r="BDD149" s="607"/>
      <c r="BDE149" s="607"/>
      <c r="BDF149" s="463"/>
      <c r="BDG149" s="454"/>
      <c r="BDH149" s="607"/>
      <c r="BDI149" s="607"/>
      <c r="BDJ149" s="607"/>
      <c r="BDK149" s="607"/>
      <c r="BDL149" s="607"/>
      <c r="BDM149" s="453"/>
      <c r="BDN149" s="289"/>
      <c r="BDO149" s="453"/>
      <c r="BDP149" s="453"/>
      <c r="BDQ149" s="453"/>
      <c r="BDR149" s="453"/>
      <c r="BDS149" s="453"/>
      <c r="BDT149" s="461"/>
      <c r="BDU149" s="461"/>
      <c r="BDV149" s="461"/>
      <c r="BDW149" s="609"/>
      <c r="BDX149" s="607"/>
      <c r="BDY149" s="607"/>
      <c r="BDZ149" s="607"/>
      <c r="BEA149" s="463"/>
      <c r="BEB149" s="454"/>
      <c r="BEC149" s="607"/>
      <c r="BED149" s="607"/>
      <c r="BEE149" s="607"/>
      <c r="BEF149" s="607"/>
      <c r="BEG149" s="607"/>
      <c r="BEH149" s="453"/>
      <c r="BEI149" s="289"/>
      <c r="BEJ149" s="453"/>
      <c r="BEK149" s="453"/>
      <c r="BEL149" s="453"/>
      <c r="BEM149" s="453"/>
      <c r="BEN149" s="453"/>
      <c r="BEO149" s="461"/>
      <c r="BEP149" s="461"/>
      <c r="BEQ149" s="461"/>
      <c r="BER149" s="609"/>
      <c r="BES149" s="607"/>
      <c r="BET149" s="607"/>
      <c r="BEU149" s="607"/>
      <c r="BEV149" s="463"/>
      <c r="BEW149" s="454"/>
      <c r="BEX149" s="607"/>
      <c r="BEY149" s="607"/>
      <c r="BEZ149" s="607"/>
      <c r="BFA149" s="607"/>
      <c r="BFB149" s="607"/>
      <c r="BFC149" s="453"/>
      <c r="BFD149" s="289"/>
      <c r="BFE149" s="453"/>
      <c r="BFF149" s="453"/>
      <c r="BFG149" s="453"/>
      <c r="BFH149" s="453"/>
      <c r="BFI149" s="453"/>
      <c r="BFJ149" s="461"/>
      <c r="BFK149" s="461"/>
      <c r="BFL149" s="461"/>
      <c r="BFM149" s="609"/>
      <c r="BFN149" s="607"/>
      <c r="BFO149" s="607"/>
      <c r="BFP149" s="607"/>
      <c r="BFQ149" s="463"/>
      <c r="BFR149" s="454"/>
      <c r="BFS149" s="607"/>
      <c r="BFT149" s="607"/>
      <c r="BFU149" s="607"/>
      <c r="BFV149" s="607"/>
      <c r="BFW149" s="607"/>
      <c r="BFX149" s="453"/>
      <c r="BFY149" s="289"/>
      <c r="BFZ149" s="453"/>
      <c r="BGA149" s="453"/>
      <c r="BGB149" s="453"/>
      <c r="BGC149" s="453"/>
      <c r="BGD149" s="453"/>
      <c r="BGE149" s="461"/>
      <c r="BGF149" s="461"/>
      <c r="BGG149" s="461"/>
      <c r="BGH149" s="609"/>
      <c r="BGI149" s="607"/>
      <c r="BGJ149" s="607"/>
      <c r="BGK149" s="607"/>
      <c r="BGL149" s="463"/>
      <c r="BGM149" s="454"/>
      <c r="BGN149" s="607"/>
      <c r="BGO149" s="607"/>
      <c r="BGP149" s="607"/>
      <c r="BGQ149" s="607"/>
      <c r="BGR149" s="607"/>
      <c r="BGS149" s="453"/>
      <c r="BGT149" s="289"/>
      <c r="BGU149" s="453"/>
      <c r="BGV149" s="453"/>
      <c r="BGW149" s="453"/>
      <c r="BGX149" s="453"/>
      <c r="BGY149" s="453"/>
      <c r="BGZ149" s="461"/>
      <c r="BHA149" s="461"/>
      <c r="BHB149" s="461"/>
      <c r="BHC149" s="609"/>
      <c r="BHD149" s="607"/>
      <c r="BHE149" s="607"/>
      <c r="BHF149" s="607"/>
      <c r="BHG149" s="463"/>
      <c r="BHH149" s="454"/>
      <c r="BHI149" s="607"/>
      <c r="BHJ149" s="607"/>
      <c r="BHK149" s="607"/>
      <c r="BHL149" s="607"/>
      <c r="BHM149" s="607"/>
      <c r="BHN149" s="453"/>
      <c r="BHO149" s="289"/>
      <c r="BHP149" s="453"/>
      <c r="BHQ149" s="453"/>
      <c r="BHR149" s="453"/>
      <c r="BHS149" s="453"/>
      <c r="BHT149" s="453"/>
      <c r="BHU149" s="461"/>
      <c r="BHV149" s="461"/>
      <c r="BHW149" s="461"/>
      <c r="BHX149" s="609"/>
      <c r="BHY149" s="607"/>
      <c r="BHZ149" s="607"/>
      <c r="BIA149" s="607"/>
      <c r="BIB149" s="463"/>
      <c r="BIC149" s="454"/>
      <c r="BID149" s="607"/>
      <c r="BIE149" s="607"/>
      <c r="BIF149" s="607"/>
      <c r="BIG149" s="607"/>
      <c r="BIH149" s="607"/>
      <c r="BII149" s="453"/>
      <c r="BIJ149" s="289"/>
      <c r="BIK149" s="453"/>
      <c r="BIL149" s="453"/>
      <c r="BIM149" s="453"/>
      <c r="BIN149" s="453"/>
      <c r="BIO149" s="453"/>
      <c r="BIP149" s="461"/>
      <c r="BIQ149" s="461"/>
      <c r="BIR149" s="461"/>
      <c r="BIS149" s="609"/>
      <c r="BIT149" s="607"/>
      <c r="BIU149" s="607"/>
      <c r="BIV149" s="607"/>
      <c r="BIW149" s="463"/>
      <c r="BIX149" s="454"/>
      <c r="BIY149" s="607"/>
      <c r="BIZ149" s="607"/>
      <c r="BJA149" s="607"/>
      <c r="BJB149" s="607"/>
      <c r="BJC149" s="607"/>
      <c r="BJD149" s="453"/>
      <c r="BJE149" s="289"/>
      <c r="BJF149" s="453"/>
      <c r="BJG149" s="453"/>
      <c r="BJH149" s="453"/>
      <c r="BJI149" s="453"/>
      <c r="BJJ149" s="453"/>
      <c r="BJK149" s="461"/>
      <c r="BJL149" s="461"/>
      <c r="BJM149" s="461"/>
      <c r="BJN149" s="609"/>
      <c r="BJO149" s="607"/>
      <c r="BJP149" s="607"/>
      <c r="BJQ149" s="607"/>
      <c r="BJR149" s="463"/>
      <c r="BJS149" s="454"/>
      <c r="BJT149" s="607"/>
      <c r="BJU149" s="607"/>
      <c r="BJV149" s="607"/>
      <c r="BJW149" s="607"/>
      <c r="BJX149" s="607"/>
      <c r="BJY149" s="453"/>
      <c r="BJZ149" s="289"/>
      <c r="BKA149" s="453"/>
      <c r="BKB149" s="453"/>
      <c r="BKC149" s="453"/>
      <c r="BKD149" s="453"/>
      <c r="BKE149" s="453"/>
      <c r="BKF149" s="461"/>
      <c r="BKG149" s="461"/>
      <c r="BKH149" s="461"/>
      <c r="BKI149" s="609"/>
      <c r="BKJ149" s="607"/>
      <c r="BKK149" s="607"/>
      <c r="BKL149" s="607"/>
      <c r="BKM149" s="463"/>
      <c r="BKN149" s="454"/>
      <c r="BKO149" s="607"/>
      <c r="BKP149" s="607"/>
      <c r="BKQ149" s="607"/>
      <c r="BKR149" s="607"/>
      <c r="BKS149" s="607"/>
      <c r="BKT149" s="453"/>
      <c r="BKU149" s="289"/>
      <c r="BKV149" s="453"/>
      <c r="BKW149" s="453"/>
      <c r="BKX149" s="453"/>
      <c r="BKY149" s="453"/>
      <c r="BKZ149" s="453"/>
      <c r="BLA149" s="461"/>
      <c r="BLB149" s="461"/>
      <c r="BLC149" s="461"/>
      <c r="BLD149" s="609"/>
      <c r="BLE149" s="607"/>
      <c r="BLF149" s="607"/>
      <c r="BLG149" s="607"/>
      <c r="BLH149" s="463"/>
      <c r="BLI149" s="454"/>
      <c r="BLJ149" s="607"/>
      <c r="BLK149" s="607"/>
      <c r="BLL149" s="607"/>
      <c r="BLM149" s="607"/>
      <c r="BLN149" s="607"/>
      <c r="BLO149" s="453"/>
      <c r="BLP149" s="289"/>
      <c r="BLQ149" s="453"/>
      <c r="BLR149" s="453"/>
      <c r="BLS149" s="453"/>
      <c r="BLT149" s="453"/>
      <c r="BLU149" s="453"/>
      <c r="BLV149" s="461"/>
      <c r="BLW149" s="461"/>
      <c r="BLX149" s="461"/>
      <c r="BLY149" s="609"/>
      <c r="BLZ149" s="607"/>
      <c r="BMA149" s="607"/>
      <c r="BMB149" s="607"/>
      <c r="BMC149" s="463"/>
      <c r="BMD149" s="454"/>
      <c r="BME149" s="607"/>
      <c r="BMF149" s="607"/>
      <c r="BMG149" s="607"/>
      <c r="BMH149" s="607"/>
      <c r="BMI149" s="607"/>
      <c r="BMJ149" s="453"/>
      <c r="BMK149" s="289"/>
      <c r="BML149" s="453"/>
      <c r="BMM149" s="453"/>
      <c r="BMN149" s="453"/>
      <c r="BMO149" s="453"/>
      <c r="BMP149" s="453"/>
      <c r="BMQ149" s="461"/>
      <c r="BMR149" s="461"/>
      <c r="BMS149" s="461"/>
      <c r="BMT149" s="609"/>
      <c r="BMU149" s="607"/>
      <c r="BMV149" s="607"/>
      <c r="BMW149" s="607"/>
      <c r="BMX149" s="463"/>
      <c r="BMY149" s="454"/>
      <c r="BMZ149" s="607"/>
      <c r="BNA149" s="607"/>
      <c r="BNB149" s="607"/>
      <c r="BNC149" s="607"/>
      <c r="BND149" s="607"/>
      <c r="BNE149" s="453"/>
      <c r="BNF149" s="289"/>
      <c r="BNG149" s="453"/>
      <c r="BNH149" s="453"/>
      <c r="BNI149" s="453"/>
      <c r="BNJ149" s="453"/>
      <c r="BNK149" s="453"/>
      <c r="BNL149" s="461"/>
      <c r="BNM149" s="461"/>
      <c r="BNN149" s="461"/>
      <c r="BNO149" s="609"/>
      <c r="BNP149" s="607"/>
      <c r="BNQ149" s="607"/>
      <c r="BNR149" s="607"/>
      <c r="BNS149" s="463"/>
      <c r="BNT149" s="454"/>
      <c r="BNU149" s="607"/>
      <c r="BNV149" s="607"/>
      <c r="BNW149" s="607"/>
      <c r="BNX149" s="607"/>
      <c r="BNY149" s="607"/>
      <c r="BNZ149" s="453"/>
      <c r="BOA149" s="289"/>
      <c r="BOB149" s="453"/>
      <c r="BOC149" s="453"/>
      <c r="BOD149" s="453"/>
      <c r="BOE149" s="453"/>
      <c r="BOF149" s="453"/>
      <c r="BOG149" s="461"/>
      <c r="BOH149" s="461"/>
      <c r="BOI149" s="461"/>
      <c r="BOJ149" s="609"/>
      <c r="BOK149" s="607"/>
      <c r="BOL149" s="607"/>
      <c r="BOM149" s="607"/>
      <c r="BON149" s="463"/>
      <c r="BOO149" s="454"/>
      <c r="BOP149" s="607"/>
      <c r="BOQ149" s="607"/>
      <c r="BOR149" s="607"/>
      <c r="BOS149" s="607"/>
      <c r="BOT149" s="607"/>
      <c r="BOU149" s="453"/>
      <c r="BOV149" s="289"/>
      <c r="BOW149" s="453"/>
      <c r="BOX149" s="453"/>
      <c r="BOY149" s="453"/>
      <c r="BOZ149" s="453"/>
      <c r="BPA149" s="453"/>
      <c r="BPB149" s="461"/>
      <c r="BPC149" s="461"/>
      <c r="BPD149" s="461"/>
      <c r="BPE149" s="609"/>
      <c r="BPF149" s="607"/>
      <c r="BPG149" s="607"/>
      <c r="BPH149" s="607"/>
      <c r="BPI149" s="463"/>
      <c r="BPJ149" s="454"/>
      <c r="BPK149" s="607"/>
      <c r="BPL149" s="607"/>
      <c r="BPM149" s="607"/>
      <c r="BPN149" s="607"/>
      <c r="BPO149" s="607"/>
      <c r="BPP149" s="453"/>
      <c r="BPQ149" s="289"/>
      <c r="BPR149" s="453"/>
      <c r="BPS149" s="453"/>
      <c r="BPT149" s="453"/>
      <c r="BPU149" s="453"/>
      <c r="BPV149" s="453"/>
      <c r="BPW149" s="461"/>
      <c r="BPX149" s="461"/>
      <c r="BPY149" s="461"/>
      <c r="BPZ149" s="609"/>
      <c r="BQA149" s="607"/>
      <c r="BQB149" s="607"/>
      <c r="BQC149" s="607"/>
      <c r="BQD149" s="463"/>
      <c r="BQE149" s="454"/>
      <c r="BQF149" s="607"/>
      <c r="BQG149" s="607"/>
      <c r="BQH149" s="607"/>
      <c r="BQI149" s="607"/>
      <c r="BQJ149" s="607"/>
      <c r="BQK149" s="453"/>
      <c r="BQL149" s="289"/>
      <c r="BQM149" s="453"/>
      <c r="BQN149" s="453"/>
      <c r="BQO149" s="453"/>
      <c r="BQP149" s="453"/>
      <c r="BQQ149" s="453"/>
      <c r="BQR149" s="461"/>
      <c r="BQS149" s="461"/>
      <c r="BQT149" s="461"/>
      <c r="BQU149" s="609"/>
      <c r="BQV149" s="607"/>
      <c r="BQW149" s="607"/>
      <c r="BQX149" s="607"/>
      <c r="BQY149" s="463"/>
      <c r="BQZ149" s="454"/>
      <c r="BRA149" s="607"/>
      <c r="BRB149" s="607"/>
      <c r="BRC149" s="607"/>
      <c r="BRD149" s="607"/>
      <c r="BRE149" s="607"/>
      <c r="BRF149" s="453"/>
      <c r="BRG149" s="289"/>
      <c r="BRH149" s="453"/>
      <c r="BRI149" s="453"/>
      <c r="BRJ149" s="453"/>
      <c r="BRK149" s="453"/>
      <c r="BRL149" s="453"/>
      <c r="BRM149" s="461"/>
      <c r="BRN149" s="461"/>
      <c r="BRO149" s="461"/>
      <c r="BRP149" s="609"/>
      <c r="BRQ149" s="607"/>
      <c r="BRR149" s="607"/>
      <c r="BRS149" s="607"/>
      <c r="BRT149" s="463"/>
      <c r="BRU149" s="454"/>
      <c r="BRV149" s="607"/>
      <c r="BRW149" s="607"/>
      <c r="BRX149" s="607"/>
      <c r="BRY149" s="607"/>
      <c r="BRZ149" s="607"/>
      <c r="BSA149" s="453"/>
      <c r="BSB149" s="289"/>
      <c r="BSC149" s="453"/>
      <c r="BSD149" s="453"/>
      <c r="BSE149" s="453"/>
      <c r="BSF149" s="453"/>
      <c r="BSG149" s="453"/>
      <c r="BSH149" s="461"/>
      <c r="BSI149" s="461"/>
      <c r="BSJ149" s="461"/>
      <c r="BSK149" s="609"/>
      <c r="BSL149" s="607"/>
      <c r="BSM149" s="607"/>
      <c r="BSN149" s="607"/>
      <c r="BSO149" s="463"/>
      <c r="BSP149" s="454"/>
      <c r="BSQ149" s="607"/>
      <c r="BSR149" s="607"/>
      <c r="BSS149" s="607"/>
      <c r="BST149" s="607"/>
      <c r="BSU149" s="607"/>
      <c r="BSV149" s="453"/>
      <c r="BSW149" s="289"/>
      <c r="BSX149" s="453"/>
      <c r="BSY149" s="453"/>
      <c r="BSZ149" s="453"/>
      <c r="BTA149" s="453"/>
      <c r="BTB149" s="453"/>
      <c r="BTC149" s="461"/>
      <c r="BTD149" s="461"/>
      <c r="BTE149" s="461"/>
      <c r="BTF149" s="609"/>
      <c r="BTG149" s="607"/>
      <c r="BTH149" s="607"/>
      <c r="BTI149" s="607"/>
      <c r="BTJ149" s="463"/>
      <c r="BTK149" s="454"/>
      <c r="BTL149" s="607"/>
      <c r="BTM149" s="607"/>
      <c r="BTN149" s="607"/>
      <c r="BTO149" s="607"/>
      <c r="BTP149" s="607"/>
      <c r="BTQ149" s="453"/>
      <c r="BTR149" s="289"/>
      <c r="BTS149" s="453"/>
      <c r="BTT149" s="453"/>
      <c r="BTU149" s="453"/>
      <c r="BTV149" s="453"/>
      <c r="BTW149" s="453"/>
      <c r="BTX149" s="461"/>
      <c r="BTY149" s="461"/>
      <c r="BTZ149" s="461"/>
      <c r="BUA149" s="609"/>
      <c r="BUB149" s="607"/>
      <c r="BUC149" s="607"/>
      <c r="BUD149" s="607"/>
      <c r="BUE149" s="463"/>
      <c r="BUF149" s="454"/>
      <c r="BUG149" s="607"/>
      <c r="BUH149" s="607"/>
      <c r="BUI149" s="607"/>
      <c r="BUJ149" s="607"/>
      <c r="BUK149" s="607"/>
      <c r="BUL149" s="453"/>
      <c r="BUM149" s="289"/>
      <c r="BUN149" s="453"/>
      <c r="BUO149" s="453"/>
      <c r="BUP149" s="453"/>
      <c r="BUQ149" s="453"/>
      <c r="BUR149" s="453"/>
      <c r="BUS149" s="461"/>
      <c r="BUT149" s="461"/>
      <c r="BUU149" s="461"/>
      <c r="BUV149" s="609"/>
      <c r="BUW149" s="607"/>
      <c r="BUX149" s="607"/>
      <c r="BUY149" s="607"/>
      <c r="BUZ149" s="463"/>
      <c r="BVA149" s="454"/>
      <c r="BVB149" s="607"/>
      <c r="BVC149" s="607"/>
      <c r="BVD149" s="607"/>
      <c r="BVE149" s="607"/>
      <c r="BVF149" s="607"/>
      <c r="BVG149" s="453"/>
      <c r="BVH149" s="289"/>
      <c r="BVI149" s="453"/>
      <c r="BVJ149" s="453"/>
      <c r="BVK149" s="453"/>
      <c r="BVL149" s="453"/>
      <c r="BVM149" s="453"/>
      <c r="BVN149" s="461"/>
      <c r="BVO149" s="461"/>
      <c r="BVP149" s="461"/>
      <c r="BVQ149" s="609"/>
      <c r="BVR149" s="607"/>
      <c r="BVS149" s="607"/>
      <c r="BVT149" s="607"/>
      <c r="BVU149" s="463"/>
      <c r="BVV149" s="454"/>
      <c r="BVW149" s="607"/>
      <c r="BVX149" s="607"/>
      <c r="BVY149" s="607"/>
      <c r="BVZ149" s="607"/>
      <c r="BWA149" s="607"/>
      <c r="BWB149" s="453"/>
      <c r="BWC149" s="289"/>
      <c r="BWD149" s="453"/>
      <c r="BWE149" s="453"/>
      <c r="BWF149" s="453"/>
      <c r="BWG149" s="453"/>
      <c r="BWH149" s="453"/>
      <c r="BWI149" s="461"/>
      <c r="BWJ149" s="461"/>
      <c r="BWK149" s="461"/>
      <c r="BWL149" s="609"/>
      <c r="BWM149" s="607"/>
      <c r="BWN149" s="607"/>
      <c r="BWO149" s="607"/>
      <c r="BWP149" s="463"/>
      <c r="BWQ149" s="454"/>
      <c r="BWR149" s="607"/>
      <c r="BWS149" s="607"/>
      <c r="BWT149" s="607"/>
      <c r="BWU149" s="607"/>
      <c r="BWV149" s="607"/>
      <c r="BWW149" s="453"/>
      <c r="BWX149" s="289"/>
      <c r="BWY149" s="453"/>
      <c r="BWZ149" s="453"/>
      <c r="BXA149" s="453"/>
      <c r="BXB149" s="453"/>
      <c r="BXC149" s="453"/>
      <c r="BXD149" s="461"/>
      <c r="BXE149" s="461"/>
      <c r="BXF149" s="461"/>
      <c r="BXG149" s="609"/>
      <c r="BXH149" s="607"/>
      <c r="BXI149" s="607"/>
      <c r="BXJ149" s="607"/>
      <c r="BXK149" s="463"/>
      <c r="BXL149" s="454"/>
      <c r="BXM149" s="607"/>
      <c r="BXN149" s="607"/>
      <c r="BXO149" s="607"/>
      <c r="BXP149" s="607"/>
      <c r="BXQ149" s="607"/>
      <c r="BXR149" s="453"/>
      <c r="BXS149" s="289"/>
      <c r="BXT149" s="453"/>
      <c r="BXU149" s="453"/>
      <c r="BXV149" s="453"/>
      <c r="BXW149" s="453"/>
      <c r="BXX149" s="453"/>
      <c r="BXY149" s="461"/>
      <c r="BXZ149" s="461"/>
      <c r="BYA149" s="461"/>
      <c r="BYB149" s="609"/>
      <c r="BYC149" s="607"/>
      <c r="BYD149" s="607"/>
      <c r="BYE149" s="607"/>
      <c r="BYF149" s="463"/>
      <c r="BYG149" s="454"/>
      <c r="BYH149" s="607"/>
      <c r="BYI149" s="607"/>
      <c r="BYJ149" s="607"/>
      <c r="BYK149" s="607"/>
      <c r="BYL149" s="607"/>
      <c r="BYM149" s="453"/>
      <c r="BYN149" s="289"/>
      <c r="BYO149" s="453"/>
      <c r="BYP149" s="453"/>
      <c r="BYQ149" s="453"/>
      <c r="BYR149" s="453"/>
      <c r="BYS149" s="453"/>
      <c r="BYT149" s="461"/>
      <c r="BYU149" s="461"/>
      <c r="BYV149" s="461"/>
      <c r="BYW149" s="609"/>
      <c r="BYX149" s="607"/>
      <c r="BYY149" s="607"/>
      <c r="BYZ149" s="607"/>
      <c r="BZA149" s="463"/>
      <c r="BZB149" s="454"/>
      <c r="BZC149" s="607"/>
      <c r="BZD149" s="607"/>
      <c r="BZE149" s="607"/>
      <c r="BZF149" s="607"/>
      <c r="BZG149" s="607"/>
      <c r="BZH149" s="453"/>
      <c r="BZI149" s="289"/>
      <c r="BZJ149" s="453"/>
      <c r="BZK149" s="453"/>
      <c r="BZL149" s="453"/>
      <c r="BZM149" s="453"/>
      <c r="BZN149" s="453"/>
      <c r="BZO149" s="461"/>
      <c r="BZP149" s="461"/>
      <c r="BZQ149" s="461"/>
      <c r="BZR149" s="609"/>
      <c r="BZS149" s="607"/>
      <c r="BZT149" s="607"/>
      <c r="BZU149" s="607"/>
      <c r="BZV149" s="463"/>
      <c r="BZW149" s="454"/>
      <c r="BZX149" s="607"/>
      <c r="BZY149" s="607"/>
      <c r="BZZ149" s="607"/>
      <c r="CAA149" s="607"/>
      <c r="CAB149" s="607"/>
      <c r="CAC149" s="453"/>
      <c r="CAD149" s="289"/>
      <c r="CAE149" s="453"/>
      <c r="CAF149" s="453"/>
      <c r="CAG149" s="453"/>
      <c r="CAH149" s="453"/>
      <c r="CAI149" s="453"/>
      <c r="CAJ149" s="461"/>
      <c r="CAK149" s="461"/>
      <c r="CAL149" s="461"/>
      <c r="CAM149" s="609"/>
      <c r="CAN149" s="607"/>
      <c r="CAO149" s="607"/>
      <c r="CAP149" s="607"/>
      <c r="CAQ149" s="463"/>
      <c r="CAR149" s="454"/>
      <c r="CAS149" s="607"/>
      <c r="CAT149" s="607"/>
      <c r="CAU149" s="607"/>
      <c r="CAV149" s="607"/>
      <c r="CAW149" s="607"/>
      <c r="CAX149" s="453"/>
      <c r="CAY149" s="289"/>
      <c r="CAZ149" s="453"/>
      <c r="CBA149" s="453"/>
      <c r="CBB149" s="453"/>
      <c r="CBC149" s="453"/>
      <c r="CBD149" s="453"/>
      <c r="CBE149" s="461"/>
      <c r="CBF149" s="461"/>
      <c r="CBG149" s="461"/>
      <c r="CBH149" s="609"/>
      <c r="CBI149" s="607"/>
      <c r="CBJ149" s="607"/>
      <c r="CBK149" s="607"/>
      <c r="CBL149" s="463"/>
      <c r="CBM149" s="454"/>
      <c r="CBN149" s="607"/>
      <c r="CBO149" s="607"/>
      <c r="CBP149" s="607"/>
      <c r="CBQ149" s="607"/>
      <c r="CBR149" s="607"/>
      <c r="CBS149" s="453"/>
      <c r="CBT149" s="289"/>
      <c r="CBU149" s="453"/>
      <c r="CBV149" s="453"/>
      <c r="CBW149" s="453"/>
      <c r="CBX149" s="453"/>
      <c r="CBY149" s="453"/>
      <c r="CBZ149" s="461"/>
      <c r="CCA149" s="461"/>
      <c r="CCB149" s="461"/>
      <c r="CCC149" s="609"/>
      <c r="CCD149" s="607"/>
      <c r="CCE149" s="607"/>
      <c r="CCF149" s="607"/>
      <c r="CCG149" s="463"/>
      <c r="CCH149" s="454"/>
      <c r="CCI149" s="607"/>
      <c r="CCJ149" s="607"/>
      <c r="CCK149" s="607"/>
      <c r="CCL149" s="607"/>
      <c r="CCM149" s="607"/>
      <c r="CCN149" s="453"/>
      <c r="CCO149" s="289"/>
      <c r="CCP149" s="453"/>
      <c r="CCQ149" s="453"/>
      <c r="CCR149" s="453"/>
      <c r="CCS149" s="453"/>
      <c r="CCT149" s="453"/>
      <c r="CCU149" s="461"/>
      <c r="CCV149" s="461"/>
      <c r="CCW149" s="461"/>
      <c r="CCX149" s="609"/>
      <c r="CCY149" s="607"/>
      <c r="CCZ149" s="607"/>
      <c r="CDA149" s="607"/>
      <c r="CDB149" s="463"/>
      <c r="CDC149" s="454"/>
      <c r="CDD149" s="607"/>
      <c r="CDE149" s="607"/>
      <c r="CDF149" s="607"/>
      <c r="CDG149" s="607"/>
      <c r="CDH149" s="607"/>
      <c r="CDI149" s="453"/>
      <c r="CDJ149" s="289"/>
      <c r="CDK149" s="453"/>
      <c r="CDL149" s="453"/>
      <c r="CDM149" s="453"/>
      <c r="CDN149" s="453"/>
      <c r="CDO149" s="453"/>
      <c r="CDP149" s="461"/>
      <c r="CDQ149" s="461"/>
      <c r="CDR149" s="461"/>
      <c r="CDS149" s="609"/>
      <c r="CDT149" s="607"/>
      <c r="CDU149" s="607"/>
      <c r="CDV149" s="607"/>
      <c r="CDW149" s="463"/>
      <c r="CDX149" s="454"/>
      <c r="CDY149" s="607"/>
      <c r="CDZ149" s="607"/>
      <c r="CEA149" s="607"/>
      <c r="CEB149" s="607"/>
      <c r="CEC149" s="607"/>
      <c r="CED149" s="453"/>
      <c r="CEE149" s="289"/>
      <c r="CEF149" s="453"/>
      <c r="CEG149" s="453"/>
      <c r="CEH149" s="453"/>
      <c r="CEI149" s="453"/>
      <c r="CEJ149" s="453"/>
      <c r="CEK149" s="461"/>
      <c r="CEL149" s="461"/>
      <c r="CEM149" s="461"/>
      <c r="CEN149" s="609"/>
      <c r="CEO149" s="607"/>
      <c r="CEP149" s="607"/>
      <c r="CEQ149" s="607"/>
      <c r="CER149" s="463"/>
      <c r="CES149" s="454"/>
      <c r="CET149" s="607"/>
      <c r="CEU149" s="607"/>
      <c r="CEV149" s="607"/>
      <c r="CEW149" s="607"/>
      <c r="CEX149" s="607"/>
      <c r="CEY149" s="453"/>
      <c r="CEZ149" s="289"/>
      <c r="CFA149" s="453"/>
      <c r="CFB149" s="453"/>
      <c r="CFC149" s="453"/>
      <c r="CFD149" s="453"/>
      <c r="CFE149" s="453"/>
      <c r="CFF149" s="461"/>
      <c r="CFG149" s="461"/>
      <c r="CFH149" s="461"/>
      <c r="CFI149" s="609"/>
      <c r="CFJ149" s="607"/>
      <c r="CFK149" s="607"/>
      <c r="CFL149" s="607"/>
      <c r="CFM149" s="463"/>
      <c r="CFN149" s="454"/>
      <c r="CFO149" s="607"/>
      <c r="CFP149" s="607"/>
      <c r="CFQ149" s="607"/>
      <c r="CFR149" s="607"/>
      <c r="CFS149" s="607"/>
      <c r="CFT149" s="453"/>
      <c r="CFU149" s="289"/>
      <c r="CFV149" s="453"/>
      <c r="CFW149" s="453"/>
      <c r="CFX149" s="453"/>
      <c r="CFY149" s="453"/>
      <c r="CFZ149" s="453"/>
      <c r="CGA149" s="461"/>
      <c r="CGB149" s="461"/>
      <c r="CGC149" s="461"/>
      <c r="CGD149" s="609"/>
      <c r="CGE149" s="607"/>
      <c r="CGF149" s="607"/>
      <c r="CGG149" s="607"/>
      <c r="CGH149" s="463"/>
      <c r="CGI149" s="454"/>
      <c r="CGJ149" s="607"/>
      <c r="CGK149" s="607"/>
      <c r="CGL149" s="607"/>
      <c r="CGM149" s="607"/>
      <c r="CGN149" s="607"/>
      <c r="CGO149" s="453"/>
      <c r="CGP149" s="289"/>
      <c r="CGQ149" s="453"/>
      <c r="CGR149" s="453"/>
      <c r="CGS149" s="453"/>
      <c r="CGT149" s="453"/>
      <c r="CGU149" s="453"/>
      <c r="CGV149" s="461"/>
      <c r="CGW149" s="461"/>
      <c r="CGX149" s="461"/>
      <c r="CGY149" s="609"/>
      <c r="CGZ149" s="607"/>
      <c r="CHA149" s="607"/>
      <c r="CHB149" s="607"/>
      <c r="CHC149" s="463"/>
      <c r="CHD149" s="454"/>
      <c r="CHE149" s="607"/>
      <c r="CHF149" s="607"/>
      <c r="CHG149" s="607"/>
      <c r="CHH149" s="607"/>
      <c r="CHI149" s="607"/>
      <c r="CHJ149" s="453"/>
      <c r="CHK149" s="289"/>
      <c r="CHL149" s="453"/>
      <c r="CHM149" s="453"/>
      <c r="CHN149" s="453"/>
      <c r="CHO149" s="453"/>
      <c r="CHP149" s="453"/>
      <c r="CHQ149" s="461"/>
      <c r="CHR149" s="461"/>
      <c r="CHS149" s="461"/>
      <c r="CHT149" s="609"/>
      <c r="CHU149" s="607"/>
      <c r="CHV149" s="607"/>
      <c r="CHW149" s="607"/>
      <c r="CHX149" s="463"/>
      <c r="CHY149" s="454"/>
      <c r="CHZ149" s="607"/>
      <c r="CIA149" s="607"/>
      <c r="CIB149" s="607"/>
      <c r="CIC149" s="607"/>
      <c r="CID149" s="607"/>
      <c r="CIE149" s="453"/>
      <c r="CIF149" s="289"/>
      <c r="CIG149" s="453"/>
      <c r="CIH149" s="453"/>
      <c r="CII149" s="453"/>
      <c r="CIJ149" s="453"/>
      <c r="CIK149" s="453"/>
      <c r="CIL149" s="461"/>
      <c r="CIM149" s="461"/>
      <c r="CIN149" s="461"/>
      <c r="CIO149" s="609"/>
      <c r="CIP149" s="607"/>
      <c r="CIQ149" s="607"/>
      <c r="CIR149" s="607"/>
      <c r="CIS149" s="463"/>
      <c r="CIT149" s="454"/>
      <c r="CIU149" s="607"/>
      <c r="CIV149" s="607"/>
      <c r="CIW149" s="607"/>
      <c r="CIX149" s="607"/>
      <c r="CIY149" s="607"/>
      <c r="CIZ149" s="453"/>
      <c r="CJA149" s="289"/>
      <c r="CJB149" s="453"/>
      <c r="CJC149" s="453"/>
      <c r="CJD149" s="453"/>
      <c r="CJE149" s="453"/>
      <c r="CJF149" s="453"/>
      <c r="CJG149" s="461"/>
      <c r="CJH149" s="461"/>
      <c r="CJI149" s="461"/>
      <c r="CJJ149" s="609"/>
      <c r="CJK149" s="607"/>
      <c r="CJL149" s="607"/>
      <c r="CJM149" s="607"/>
      <c r="CJN149" s="463"/>
      <c r="CJO149" s="454"/>
      <c r="CJP149" s="607"/>
      <c r="CJQ149" s="607"/>
      <c r="CJR149" s="607"/>
      <c r="CJS149" s="607"/>
      <c r="CJT149" s="607"/>
      <c r="CJU149" s="453"/>
      <c r="CJV149" s="289"/>
      <c r="CJW149" s="453"/>
      <c r="CJX149" s="453"/>
      <c r="CJY149" s="453"/>
      <c r="CJZ149" s="453"/>
      <c r="CKA149" s="453"/>
      <c r="CKB149" s="461"/>
      <c r="CKC149" s="461"/>
      <c r="CKD149" s="461"/>
      <c r="CKE149" s="609"/>
      <c r="CKF149" s="607"/>
      <c r="CKG149" s="607"/>
      <c r="CKH149" s="607"/>
      <c r="CKI149" s="463"/>
      <c r="CKJ149" s="454"/>
      <c r="CKK149" s="607"/>
      <c r="CKL149" s="607"/>
      <c r="CKM149" s="607"/>
      <c r="CKN149" s="607"/>
      <c r="CKO149" s="607"/>
      <c r="CKP149" s="453"/>
      <c r="CKQ149" s="289"/>
      <c r="CKR149" s="453"/>
      <c r="CKS149" s="453"/>
      <c r="CKT149" s="453"/>
      <c r="CKU149" s="453"/>
      <c r="CKV149" s="453"/>
      <c r="CKW149" s="461"/>
      <c r="CKX149" s="461"/>
      <c r="CKY149" s="461"/>
      <c r="CKZ149" s="609"/>
      <c r="CLA149" s="607"/>
      <c r="CLB149" s="607"/>
      <c r="CLC149" s="607"/>
      <c r="CLD149" s="463"/>
      <c r="CLE149" s="454"/>
      <c r="CLF149" s="607"/>
      <c r="CLG149" s="607"/>
      <c r="CLH149" s="607"/>
      <c r="CLI149" s="607"/>
      <c r="CLJ149" s="607"/>
      <c r="CLK149" s="453"/>
      <c r="CLL149" s="289"/>
      <c r="CLM149" s="453"/>
      <c r="CLN149" s="453"/>
      <c r="CLO149" s="453"/>
      <c r="CLP149" s="453"/>
      <c r="CLQ149" s="453"/>
      <c r="CLR149" s="461"/>
      <c r="CLS149" s="461"/>
      <c r="CLT149" s="461"/>
      <c r="CLU149" s="609"/>
      <c r="CLV149" s="607"/>
      <c r="CLW149" s="607"/>
      <c r="CLX149" s="607"/>
      <c r="CLY149" s="463"/>
      <c r="CLZ149" s="454"/>
      <c r="CMA149" s="607"/>
      <c r="CMB149" s="607"/>
      <c r="CMC149" s="607"/>
      <c r="CMD149" s="607"/>
      <c r="CME149" s="607"/>
      <c r="CMF149" s="453"/>
      <c r="CMG149" s="289"/>
      <c r="CMH149" s="453"/>
      <c r="CMI149" s="453"/>
      <c r="CMJ149" s="453"/>
      <c r="CMK149" s="453"/>
      <c r="CML149" s="453"/>
      <c r="CMM149" s="461"/>
      <c r="CMN149" s="461"/>
      <c r="CMO149" s="461"/>
      <c r="CMP149" s="609"/>
      <c r="CMQ149" s="607"/>
      <c r="CMR149" s="607"/>
      <c r="CMS149" s="607"/>
      <c r="CMT149" s="463"/>
      <c r="CMU149" s="454"/>
      <c r="CMV149" s="607"/>
      <c r="CMW149" s="607"/>
      <c r="CMX149" s="607"/>
      <c r="CMY149" s="607"/>
      <c r="CMZ149" s="607"/>
      <c r="CNA149" s="453"/>
      <c r="CNB149" s="289"/>
      <c r="CNC149" s="453"/>
      <c r="CND149" s="453"/>
      <c r="CNE149" s="453"/>
      <c r="CNF149" s="453"/>
      <c r="CNG149" s="453"/>
      <c r="CNH149" s="461"/>
      <c r="CNI149" s="461"/>
      <c r="CNJ149" s="461"/>
      <c r="CNK149" s="609"/>
      <c r="CNL149" s="607"/>
      <c r="CNM149" s="607"/>
      <c r="CNN149" s="607"/>
      <c r="CNO149" s="463"/>
      <c r="CNP149" s="454"/>
      <c r="CNQ149" s="607"/>
      <c r="CNR149" s="607"/>
      <c r="CNS149" s="607"/>
      <c r="CNT149" s="607"/>
      <c r="CNU149" s="607"/>
      <c r="CNV149" s="453"/>
      <c r="CNW149" s="289"/>
      <c r="CNX149" s="453"/>
      <c r="CNY149" s="453"/>
      <c r="CNZ149" s="453"/>
      <c r="COA149" s="453"/>
      <c r="COB149" s="453"/>
      <c r="COC149" s="461"/>
      <c r="COD149" s="461"/>
      <c r="COE149" s="461"/>
      <c r="COF149" s="609"/>
      <c r="COG149" s="607"/>
      <c r="COH149" s="607"/>
      <c r="COI149" s="607"/>
      <c r="COJ149" s="463"/>
      <c r="COK149" s="454"/>
      <c r="COL149" s="607"/>
      <c r="COM149" s="607"/>
      <c r="CON149" s="607"/>
      <c r="COO149" s="607"/>
      <c r="COP149" s="607"/>
      <c r="COQ149" s="453"/>
      <c r="COR149" s="289"/>
      <c r="COS149" s="453"/>
      <c r="COT149" s="453"/>
      <c r="COU149" s="453"/>
      <c r="COV149" s="453"/>
      <c r="COW149" s="453"/>
      <c r="COX149" s="461"/>
      <c r="COY149" s="461"/>
      <c r="COZ149" s="461"/>
      <c r="CPA149" s="609"/>
      <c r="CPB149" s="607"/>
      <c r="CPC149" s="607"/>
      <c r="CPD149" s="607"/>
      <c r="CPE149" s="463"/>
      <c r="CPF149" s="454"/>
      <c r="CPG149" s="607"/>
      <c r="CPH149" s="607"/>
      <c r="CPI149" s="607"/>
      <c r="CPJ149" s="607"/>
      <c r="CPK149" s="607"/>
      <c r="CPL149" s="453"/>
      <c r="CPM149" s="289"/>
      <c r="CPN149" s="453"/>
      <c r="CPO149" s="453"/>
      <c r="CPP149" s="453"/>
      <c r="CPQ149" s="453"/>
      <c r="CPR149" s="453"/>
      <c r="CPS149" s="461"/>
      <c r="CPT149" s="461"/>
      <c r="CPU149" s="461"/>
      <c r="CPV149" s="609"/>
      <c r="CPW149" s="607"/>
      <c r="CPX149" s="607"/>
      <c r="CPY149" s="607"/>
      <c r="CPZ149" s="463"/>
      <c r="CQA149" s="454"/>
      <c r="CQB149" s="607"/>
      <c r="CQC149" s="607"/>
      <c r="CQD149" s="607"/>
      <c r="CQE149" s="607"/>
      <c r="CQF149" s="607"/>
      <c r="CQG149" s="453"/>
      <c r="CQH149" s="289"/>
      <c r="CQI149" s="453"/>
      <c r="CQJ149" s="453"/>
      <c r="CQK149" s="453"/>
      <c r="CQL149" s="453"/>
      <c r="CQM149" s="453"/>
      <c r="CQN149" s="461"/>
      <c r="CQO149" s="461"/>
      <c r="CQP149" s="461"/>
      <c r="CQQ149" s="609"/>
      <c r="CQR149" s="607"/>
      <c r="CQS149" s="607"/>
      <c r="CQT149" s="607"/>
      <c r="CQU149" s="463"/>
      <c r="CQV149" s="454"/>
      <c r="CQW149" s="607"/>
      <c r="CQX149" s="607"/>
      <c r="CQY149" s="607"/>
      <c r="CQZ149" s="607"/>
      <c r="CRA149" s="607"/>
      <c r="CRB149" s="453"/>
      <c r="CRC149" s="289"/>
      <c r="CRD149" s="453"/>
      <c r="CRE149" s="453"/>
      <c r="CRF149" s="453"/>
      <c r="CRG149" s="453"/>
      <c r="CRH149" s="453"/>
      <c r="CRI149" s="461"/>
      <c r="CRJ149" s="461"/>
      <c r="CRK149" s="461"/>
      <c r="CRL149" s="609"/>
      <c r="CRM149" s="607"/>
      <c r="CRN149" s="607"/>
      <c r="CRO149" s="607"/>
      <c r="CRP149" s="463"/>
      <c r="CRQ149" s="454"/>
      <c r="CRR149" s="607"/>
      <c r="CRS149" s="607"/>
      <c r="CRT149" s="607"/>
      <c r="CRU149" s="607"/>
      <c r="CRV149" s="607"/>
      <c r="CRW149" s="453"/>
      <c r="CRX149" s="289"/>
      <c r="CRY149" s="453"/>
      <c r="CRZ149" s="453"/>
      <c r="CSA149" s="453"/>
      <c r="CSB149" s="453"/>
      <c r="CSC149" s="453"/>
      <c r="CSD149" s="461"/>
      <c r="CSE149" s="461"/>
      <c r="CSF149" s="461"/>
      <c r="CSG149" s="609"/>
      <c r="CSH149" s="607"/>
      <c r="CSI149" s="607"/>
      <c r="CSJ149" s="607"/>
      <c r="CSK149" s="463"/>
      <c r="CSL149" s="454"/>
      <c r="CSM149" s="607"/>
      <c r="CSN149" s="607"/>
      <c r="CSO149" s="607"/>
      <c r="CSP149" s="607"/>
      <c r="CSQ149" s="607"/>
      <c r="CSR149" s="453"/>
      <c r="CSS149" s="289"/>
      <c r="CST149" s="453"/>
      <c r="CSU149" s="453"/>
      <c r="CSV149" s="453"/>
      <c r="CSW149" s="453"/>
      <c r="CSX149" s="453"/>
      <c r="CSY149" s="461"/>
      <c r="CSZ149" s="461"/>
      <c r="CTA149" s="461"/>
      <c r="CTB149" s="609"/>
      <c r="CTC149" s="607"/>
      <c r="CTD149" s="607"/>
      <c r="CTE149" s="607"/>
      <c r="CTF149" s="463"/>
      <c r="CTG149" s="454"/>
      <c r="CTH149" s="607"/>
      <c r="CTI149" s="607"/>
      <c r="CTJ149" s="607"/>
      <c r="CTK149" s="607"/>
      <c r="CTL149" s="607"/>
      <c r="CTM149" s="453"/>
      <c r="CTN149" s="289"/>
      <c r="CTO149" s="453"/>
      <c r="CTP149" s="453"/>
      <c r="CTQ149" s="453"/>
      <c r="CTR149" s="453"/>
      <c r="CTS149" s="453"/>
      <c r="CTT149" s="461"/>
      <c r="CTU149" s="461"/>
      <c r="CTV149" s="461"/>
      <c r="CTW149" s="609"/>
      <c r="CTX149" s="607"/>
      <c r="CTY149" s="607"/>
      <c r="CTZ149" s="607"/>
      <c r="CUA149" s="463"/>
      <c r="CUB149" s="454"/>
      <c r="CUC149" s="607"/>
      <c r="CUD149" s="607"/>
      <c r="CUE149" s="607"/>
      <c r="CUF149" s="607"/>
      <c r="CUG149" s="607"/>
      <c r="CUH149" s="453"/>
      <c r="CUI149" s="289"/>
      <c r="CUJ149" s="453"/>
      <c r="CUK149" s="453"/>
      <c r="CUL149" s="453"/>
      <c r="CUM149" s="453"/>
      <c r="CUN149" s="453"/>
      <c r="CUO149" s="461"/>
      <c r="CUP149" s="461"/>
      <c r="CUQ149" s="461"/>
      <c r="CUR149" s="609"/>
      <c r="CUS149" s="607"/>
      <c r="CUT149" s="607"/>
      <c r="CUU149" s="607"/>
      <c r="CUV149" s="463"/>
      <c r="CUW149" s="454"/>
      <c r="CUX149" s="607"/>
      <c r="CUY149" s="607"/>
      <c r="CUZ149" s="607"/>
      <c r="CVA149" s="607"/>
      <c r="CVB149" s="607"/>
      <c r="CVC149" s="453"/>
      <c r="CVD149" s="289"/>
      <c r="CVE149" s="453"/>
      <c r="CVF149" s="453"/>
      <c r="CVG149" s="453"/>
      <c r="CVH149" s="453"/>
      <c r="CVI149" s="453"/>
      <c r="CVJ149" s="461"/>
      <c r="CVK149" s="461"/>
      <c r="CVL149" s="461"/>
      <c r="CVM149" s="609"/>
      <c r="CVN149" s="607"/>
      <c r="CVO149" s="607"/>
      <c r="CVP149" s="607"/>
      <c r="CVQ149" s="463"/>
      <c r="CVR149" s="454"/>
      <c r="CVS149" s="607"/>
      <c r="CVT149" s="607"/>
      <c r="CVU149" s="607"/>
      <c r="CVV149" s="607"/>
      <c r="CVW149" s="607"/>
      <c r="CVX149" s="453"/>
      <c r="CVY149" s="289"/>
      <c r="CVZ149" s="453"/>
      <c r="CWA149" s="453"/>
      <c r="CWB149" s="453"/>
      <c r="CWC149" s="453"/>
      <c r="CWD149" s="453"/>
      <c r="CWE149" s="461"/>
      <c r="CWF149" s="461"/>
      <c r="CWG149" s="461"/>
      <c r="CWH149" s="609"/>
      <c r="CWI149" s="607"/>
      <c r="CWJ149" s="607"/>
      <c r="CWK149" s="607"/>
      <c r="CWL149" s="463"/>
      <c r="CWM149" s="454"/>
      <c r="CWN149" s="607"/>
      <c r="CWO149" s="607"/>
      <c r="CWP149" s="607"/>
      <c r="CWQ149" s="607"/>
      <c r="CWR149" s="607"/>
      <c r="CWS149" s="453"/>
      <c r="CWT149" s="289"/>
      <c r="CWU149" s="453"/>
      <c r="CWV149" s="453"/>
      <c r="CWW149" s="453"/>
      <c r="CWX149" s="453"/>
      <c r="CWY149" s="453"/>
      <c r="CWZ149" s="461"/>
      <c r="CXA149" s="461"/>
      <c r="CXB149" s="461"/>
      <c r="CXC149" s="609"/>
      <c r="CXD149" s="607"/>
      <c r="CXE149" s="607"/>
      <c r="CXF149" s="607"/>
      <c r="CXG149" s="463"/>
      <c r="CXH149" s="454"/>
      <c r="CXI149" s="607"/>
      <c r="CXJ149" s="607"/>
      <c r="CXK149" s="607"/>
      <c r="CXL149" s="607"/>
      <c r="CXM149" s="607"/>
      <c r="CXN149" s="453"/>
      <c r="CXO149" s="289"/>
      <c r="CXP149" s="453"/>
      <c r="CXQ149" s="453"/>
      <c r="CXR149" s="453"/>
      <c r="CXS149" s="453"/>
      <c r="CXT149" s="453"/>
      <c r="CXU149" s="461"/>
      <c r="CXV149" s="461"/>
      <c r="CXW149" s="461"/>
      <c r="CXX149" s="609"/>
      <c r="CXY149" s="607"/>
      <c r="CXZ149" s="607"/>
      <c r="CYA149" s="607"/>
      <c r="CYB149" s="463"/>
      <c r="CYC149" s="454"/>
      <c r="CYD149" s="607"/>
      <c r="CYE149" s="607"/>
      <c r="CYF149" s="607"/>
      <c r="CYG149" s="607"/>
      <c r="CYH149" s="607"/>
      <c r="CYI149" s="453"/>
      <c r="CYJ149" s="289"/>
      <c r="CYK149" s="453"/>
      <c r="CYL149" s="453"/>
      <c r="CYM149" s="453"/>
      <c r="CYN149" s="453"/>
      <c r="CYO149" s="453"/>
      <c r="CYP149" s="461"/>
      <c r="CYQ149" s="461"/>
      <c r="CYR149" s="461"/>
      <c r="CYS149" s="609"/>
      <c r="CYT149" s="607"/>
      <c r="CYU149" s="607"/>
      <c r="CYV149" s="607"/>
      <c r="CYW149" s="463"/>
      <c r="CYX149" s="454"/>
      <c r="CYY149" s="607"/>
      <c r="CYZ149" s="607"/>
      <c r="CZA149" s="607"/>
      <c r="CZB149" s="607"/>
      <c r="CZC149" s="607"/>
      <c r="CZD149" s="453"/>
      <c r="CZE149" s="289"/>
      <c r="CZF149" s="453"/>
      <c r="CZG149" s="453"/>
      <c r="CZH149" s="453"/>
      <c r="CZI149" s="453"/>
      <c r="CZJ149" s="453"/>
      <c r="CZK149" s="461"/>
      <c r="CZL149" s="461"/>
      <c r="CZM149" s="461"/>
      <c r="CZN149" s="609"/>
      <c r="CZO149" s="607"/>
      <c r="CZP149" s="607"/>
      <c r="CZQ149" s="607"/>
      <c r="CZR149" s="463"/>
      <c r="CZS149" s="454"/>
      <c r="CZT149" s="607"/>
      <c r="CZU149" s="607"/>
      <c r="CZV149" s="607"/>
      <c r="CZW149" s="607"/>
      <c r="CZX149" s="607"/>
      <c r="CZY149" s="453"/>
      <c r="CZZ149" s="289"/>
      <c r="DAA149" s="453"/>
      <c r="DAB149" s="453"/>
      <c r="DAC149" s="453"/>
      <c r="DAD149" s="453"/>
      <c r="DAE149" s="453"/>
      <c r="DAF149" s="461"/>
      <c r="DAG149" s="461"/>
      <c r="DAH149" s="461"/>
      <c r="DAI149" s="609"/>
      <c r="DAJ149" s="607"/>
      <c r="DAK149" s="607"/>
      <c r="DAL149" s="607"/>
      <c r="DAM149" s="463"/>
      <c r="DAN149" s="454"/>
      <c r="DAO149" s="607"/>
      <c r="DAP149" s="607"/>
      <c r="DAQ149" s="607"/>
      <c r="DAR149" s="607"/>
      <c r="DAS149" s="607"/>
      <c r="DAT149" s="453"/>
      <c r="DAU149" s="289"/>
      <c r="DAV149" s="453"/>
      <c r="DAW149" s="453"/>
      <c r="DAX149" s="453"/>
      <c r="DAY149" s="453"/>
      <c r="DAZ149" s="453"/>
      <c r="DBA149" s="461"/>
      <c r="DBB149" s="461"/>
      <c r="DBC149" s="461"/>
      <c r="DBD149" s="609"/>
      <c r="DBE149" s="607"/>
      <c r="DBF149" s="607"/>
      <c r="DBG149" s="607"/>
      <c r="DBH149" s="463"/>
      <c r="DBI149" s="454"/>
      <c r="DBJ149" s="607"/>
      <c r="DBK149" s="607"/>
      <c r="DBL149" s="607"/>
      <c r="DBM149" s="607"/>
      <c r="DBN149" s="607"/>
      <c r="DBO149" s="453"/>
      <c r="DBP149" s="289"/>
      <c r="DBQ149" s="453"/>
      <c r="DBR149" s="453"/>
      <c r="DBS149" s="453"/>
      <c r="DBT149" s="453"/>
      <c r="DBU149" s="453"/>
      <c r="DBV149" s="461"/>
      <c r="DBW149" s="461"/>
      <c r="DBX149" s="461"/>
      <c r="DBY149" s="609"/>
      <c r="DBZ149" s="607"/>
      <c r="DCA149" s="607"/>
      <c r="DCB149" s="607"/>
      <c r="DCC149" s="463"/>
      <c r="DCD149" s="454"/>
      <c r="DCE149" s="607"/>
      <c r="DCF149" s="607"/>
      <c r="DCG149" s="607"/>
      <c r="DCH149" s="607"/>
      <c r="DCI149" s="607"/>
      <c r="DCJ149" s="453"/>
      <c r="DCK149" s="289"/>
      <c r="DCL149" s="453"/>
      <c r="DCM149" s="453"/>
      <c r="DCN149" s="453"/>
      <c r="DCO149" s="453"/>
      <c r="DCP149" s="453"/>
      <c r="DCQ149" s="461"/>
      <c r="DCR149" s="461"/>
      <c r="DCS149" s="461"/>
      <c r="DCT149" s="609"/>
      <c r="DCU149" s="607"/>
      <c r="DCV149" s="607"/>
      <c r="DCW149" s="607"/>
      <c r="DCX149" s="463"/>
      <c r="DCY149" s="454"/>
      <c r="DCZ149" s="607"/>
      <c r="DDA149" s="607"/>
      <c r="DDB149" s="607"/>
      <c r="DDC149" s="607"/>
      <c r="DDD149" s="607"/>
      <c r="DDE149" s="453"/>
      <c r="DDF149" s="289"/>
      <c r="DDG149" s="453"/>
      <c r="DDH149" s="453"/>
      <c r="DDI149" s="453"/>
      <c r="DDJ149" s="453"/>
      <c r="DDK149" s="453"/>
      <c r="DDL149" s="461"/>
      <c r="DDM149" s="461"/>
      <c r="DDN149" s="461"/>
      <c r="DDO149" s="609"/>
      <c r="DDP149" s="607"/>
      <c r="DDQ149" s="607"/>
      <c r="DDR149" s="607"/>
      <c r="DDS149" s="463"/>
      <c r="DDT149" s="454"/>
      <c r="DDU149" s="607"/>
      <c r="DDV149" s="607"/>
      <c r="DDW149" s="607"/>
      <c r="DDX149" s="607"/>
      <c r="DDY149" s="607"/>
      <c r="DDZ149" s="453"/>
      <c r="DEA149" s="289"/>
      <c r="DEB149" s="453"/>
      <c r="DEC149" s="453"/>
      <c r="DED149" s="453"/>
      <c r="DEE149" s="453"/>
      <c r="DEF149" s="453"/>
      <c r="DEG149" s="461"/>
      <c r="DEH149" s="461"/>
      <c r="DEI149" s="461"/>
      <c r="DEJ149" s="609"/>
      <c r="DEK149" s="607"/>
      <c r="DEL149" s="607"/>
      <c r="DEM149" s="607"/>
      <c r="DEN149" s="463"/>
      <c r="DEO149" s="454"/>
      <c r="DEP149" s="607"/>
      <c r="DEQ149" s="607"/>
      <c r="DER149" s="607"/>
      <c r="DES149" s="607"/>
      <c r="DET149" s="607"/>
      <c r="DEU149" s="453"/>
      <c r="DEV149" s="289"/>
      <c r="DEW149" s="453"/>
      <c r="DEX149" s="453"/>
      <c r="DEY149" s="453"/>
      <c r="DEZ149" s="453"/>
      <c r="DFA149" s="453"/>
      <c r="DFB149" s="461"/>
      <c r="DFC149" s="461"/>
      <c r="DFD149" s="461"/>
      <c r="DFE149" s="609"/>
      <c r="DFF149" s="607"/>
      <c r="DFG149" s="607"/>
      <c r="DFH149" s="607"/>
      <c r="DFI149" s="463"/>
      <c r="DFJ149" s="454"/>
      <c r="DFK149" s="607"/>
      <c r="DFL149" s="607"/>
      <c r="DFM149" s="607"/>
      <c r="DFN149" s="607"/>
      <c r="DFO149" s="607"/>
      <c r="DFP149" s="453"/>
      <c r="DFQ149" s="289"/>
      <c r="DFR149" s="453"/>
      <c r="DFS149" s="453"/>
      <c r="DFT149" s="453"/>
      <c r="DFU149" s="453"/>
      <c r="DFV149" s="453"/>
      <c r="DFW149" s="461"/>
      <c r="DFX149" s="461"/>
      <c r="DFY149" s="461"/>
      <c r="DFZ149" s="609"/>
      <c r="DGA149" s="607"/>
      <c r="DGB149" s="607"/>
      <c r="DGC149" s="607"/>
      <c r="DGD149" s="463"/>
      <c r="DGE149" s="454"/>
      <c r="DGF149" s="607"/>
      <c r="DGG149" s="607"/>
      <c r="DGH149" s="607"/>
      <c r="DGI149" s="607"/>
      <c r="DGJ149" s="607"/>
      <c r="DGK149" s="453"/>
      <c r="DGL149" s="289"/>
      <c r="DGM149" s="453"/>
      <c r="DGN149" s="453"/>
      <c r="DGO149" s="453"/>
      <c r="DGP149" s="453"/>
      <c r="DGQ149" s="453"/>
      <c r="DGR149" s="461"/>
      <c r="DGS149" s="461"/>
      <c r="DGT149" s="461"/>
      <c r="DGU149" s="609"/>
      <c r="DGV149" s="607"/>
      <c r="DGW149" s="607"/>
      <c r="DGX149" s="607"/>
      <c r="DGY149" s="463"/>
      <c r="DGZ149" s="454"/>
      <c r="DHA149" s="607"/>
      <c r="DHB149" s="607"/>
      <c r="DHC149" s="607"/>
      <c r="DHD149" s="607"/>
      <c r="DHE149" s="607"/>
      <c r="DHF149" s="453"/>
      <c r="DHG149" s="289"/>
      <c r="DHH149" s="453"/>
      <c r="DHI149" s="453"/>
      <c r="DHJ149" s="453"/>
      <c r="DHK149" s="453"/>
      <c r="DHL149" s="453"/>
      <c r="DHM149" s="461"/>
      <c r="DHN149" s="461"/>
      <c r="DHO149" s="461"/>
      <c r="DHP149" s="609"/>
      <c r="DHQ149" s="607"/>
      <c r="DHR149" s="607"/>
      <c r="DHS149" s="607"/>
      <c r="DHT149" s="463"/>
      <c r="DHU149" s="454"/>
      <c r="DHV149" s="607"/>
      <c r="DHW149" s="607"/>
      <c r="DHX149" s="607"/>
      <c r="DHY149" s="607"/>
      <c r="DHZ149" s="607"/>
      <c r="DIA149" s="453"/>
      <c r="DIB149" s="289"/>
      <c r="DIC149" s="453"/>
      <c r="DID149" s="453"/>
      <c r="DIE149" s="453"/>
      <c r="DIF149" s="453"/>
      <c r="DIG149" s="453"/>
      <c r="DIH149" s="461"/>
      <c r="DII149" s="461"/>
      <c r="DIJ149" s="461"/>
      <c r="DIK149" s="609"/>
      <c r="DIL149" s="607"/>
      <c r="DIM149" s="607"/>
      <c r="DIN149" s="607"/>
      <c r="DIO149" s="463"/>
      <c r="DIP149" s="454"/>
      <c r="DIQ149" s="607"/>
      <c r="DIR149" s="607"/>
      <c r="DIS149" s="607"/>
      <c r="DIT149" s="607"/>
      <c r="DIU149" s="607"/>
      <c r="DIV149" s="453"/>
      <c r="DIW149" s="289"/>
      <c r="DIX149" s="453"/>
      <c r="DIY149" s="453"/>
      <c r="DIZ149" s="453"/>
      <c r="DJA149" s="453"/>
      <c r="DJB149" s="453"/>
      <c r="DJC149" s="461"/>
      <c r="DJD149" s="461"/>
      <c r="DJE149" s="461"/>
      <c r="DJF149" s="609"/>
      <c r="DJG149" s="607"/>
      <c r="DJH149" s="607"/>
      <c r="DJI149" s="607"/>
      <c r="DJJ149" s="463"/>
      <c r="DJK149" s="454"/>
      <c r="DJL149" s="607"/>
      <c r="DJM149" s="607"/>
      <c r="DJN149" s="607"/>
      <c r="DJO149" s="607"/>
      <c r="DJP149" s="607"/>
      <c r="DJQ149" s="453"/>
      <c r="DJR149" s="289"/>
      <c r="DJS149" s="453"/>
      <c r="DJT149" s="453"/>
      <c r="DJU149" s="453"/>
      <c r="DJV149" s="453"/>
      <c r="DJW149" s="453"/>
      <c r="DJX149" s="461"/>
      <c r="DJY149" s="461"/>
      <c r="DJZ149" s="461"/>
      <c r="DKA149" s="609"/>
      <c r="DKB149" s="607"/>
      <c r="DKC149" s="607"/>
      <c r="DKD149" s="607"/>
      <c r="DKE149" s="463"/>
      <c r="DKF149" s="454"/>
      <c r="DKG149" s="607"/>
      <c r="DKH149" s="607"/>
      <c r="DKI149" s="607"/>
      <c r="DKJ149" s="607"/>
      <c r="DKK149" s="607"/>
      <c r="DKL149" s="453"/>
      <c r="DKM149" s="289"/>
      <c r="DKN149" s="453"/>
      <c r="DKO149" s="453"/>
      <c r="DKP149" s="453"/>
      <c r="DKQ149" s="453"/>
      <c r="DKR149" s="453"/>
      <c r="DKS149" s="461"/>
      <c r="DKT149" s="461"/>
      <c r="DKU149" s="461"/>
      <c r="DKV149" s="609"/>
      <c r="DKW149" s="607"/>
      <c r="DKX149" s="607"/>
      <c r="DKY149" s="607"/>
      <c r="DKZ149" s="463"/>
      <c r="DLA149" s="454"/>
      <c r="DLB149" s="607"/>
      <c r="DLC149" s="607"/>
      <c r="DLD149" s="607"/>
      <c r="DLE149" s="607"/>
      <c r="DLF149" s="607"/>
      <c r="DLG149" s="453"/>
      <c r="DLH149" s="289"/>
      <c r="DLI149" s="453"/>
      <c r="DLJ149" s="453"/>
      <c r="DLK149" s="453"/>
      <c r="DLL149" s="453"/>
      <c r="DLM149" s="453"/>
      <c r="DLN149" s="461"/>
      <c r="DLO149" s="461"/>
      <c r="DLP149" s="461"/>
      <c r="DLQ149" s="609"/>
      <c r="DLR149" s="607"/>
      <c r="DLS149" s="607"/>
      <c r="DLT149" s="607"/>
      <c r="DLU149" s="463"/>
      <c r="DLV149" s="454"/>
      <c r="DLW149" s="607"/>
      <c r="DLX149" s="607"/>
      <c r="DLY149" s="607"/>
      <c r="DLZ149" s="607"/>
      <c r="DMA149" s="607"/>
      <c r="DMB149" s="453"/>
      <c r="DMC149" s="289"/>
      <c r="DMD149" s="453"/>
      <c r="DME149" s="453"/>
      <c r="DMF149" s="453"/>
      <c r="DMG149" s="453"/>
      <c r="DMH149" s="453"/>
      <c r="DMI149" s="461"/>
      <c r="DMJ149" s="461"/>
      <c r="DMK149" s="461"/>
      <c r="DML149" s="609"/>
      <c r="DMM149" s="607"/>
      <c r="DMN149" s="607"/>
      <c r="DMO149" s="607"/>
      <c r="DMP149" s="463"/>
      <c r="DMQ149" s="454"/>
      <c r="DMR149" s="607"/>
      <c r="DMS149" s="607"/>
      <c r="DMT149" s="607"/>
      <c r="DMU149" s="607"/>
      <c r="DMV149" s="607"/>
      <c r="DMW149" s="453"/>
      <c r="DMX149" s="289"/>
      <c r="DMY149" s="453"/>
      <c r="DMZ149" s="453"/>
      <c r="DNA149" s="453"/>
      <c r="DNB149" s="453"/>
      <c r="DNC149" s="453"/>
      <c r="DND149" s="461"/>
      <c r="DNE149" s="461"/>
      <c r="DNF149" s="461"/>
      <c r="DNG149" s="609"/>
      <c r="DNH149" s="607"/>
      <c r="DNI149" s="607"/>
      <c r="DNJ149" s="607"/>
      <c r="DNK149" s="463"/>
      <c r="DNL149" s="454"/>
      <c r="DNM149" s="607"/>
      <c r="DNN149" s="607"/>
      <c r="DNO149" s="607"/>
      <c r="DNP149" s="607"/>
      <c r="DNQ149" s="607"/>
      <c r="DNR149" s="453"/>
      <c r="DNS149" s="289"/>
      <c r="DNT149" s="453"/>
      <c r="DNU149" s="453"/>
      <c r="DNV149" s="453"/>
      <c r="DNW149" s="453"/>
      <c r="DNX149" s="453"/>
      <c r="DNY149" s="461"/>
      <c r="DNZ149" s="461"/>
      <c r="DOA149" s="461"/>
      <c r="DOB149" s="609"/>
      <c r="DOC149" s="607"/>
      <c r="DOD149" s="607"/>
      <c r="DOE149" s="607"/>
      <c r="DOF149" s="463"/>
      <c r="DOG149" s="454"/>
      <c r="DOH149" s="607"/>
      <c r="DOI149" s="607"/>
      <c r="DOJ149" s="607"/>
      <c r="DOK149" s="607"/>
      <c r="DOL149" s="607"/>
      <c r="DOM149" s="453"/>
      <c r="DON149" s="289"/>
      <c r="DOO149" s="453"/>
      <c r="DOP149" s="453"/>
      <c r="DOQ149" s="453"/>
      <c r="DOR149" s="453"/>
      <c r="DOS149" s="453"/>
      <c r="DOT149" s="461"/>
      <c r="DOU149" s="461"/>
      <c r="DOV149" s="461"/>
      <c r="DOW149" s="609"/>
      <c r="DOX149" s="607"/>
      <c r="DOY149" s="607"/>
      <c r="DOZ149" s="607"/>
      <c r="DPA149" s="463"/>
      <c r="DPB149" s="454"/>
      <c r="DPC149" s="607"/>
      <c r="DPD149" s="607"/>
      <c r="DPE149" s="607"/>
      <c r="DPF149" s="607"/>
      <c r="DPG149" s="607"/>
      <c r="DPH149" s="453"/>
      <c r="DPI149" s="289"/>
      <c r="DPJ149" s="453"/>
      <c r="DPK149" s="453"/>
      <c r="DPL149" s="453"/>
      <c r="DPM149" s="453"/>
      <c r="DPN149" s="453"/>
      <c r="DPO149" s="461"/>
      <c r="DPP149" s="461"/>
      <c r="DPQ149" s="461"/>
      <c r="DPR149" s="609"/>
      <c r="DPS149" s="607"/>
      <c r="DPT149" s="607"/>
      <c r="DPU149" s="607"/>
      <c r="DPV149" s="463"/>
      <c r="DPW149" s="454"/>
      <c r="DPX149" s="607"/>
      <c r="DPY149" s="607"/>
      <c r="DPZ149" s="607"/>
      <c r="DQA149" s="607"/>
      <c r="DQB149" s="607"/>
      <c r="DQC149" s="453"/>
      <c r="DQD149" s="289"/>
      <c r="DQE149" s="453"/>
      <c r="DQF149" s="453"/>
      <c r="DQG149" s="453"/>
      <c r="DQH149" s="453"/>
      <c r="DQI149" s="453"/>
      <c r="DQJ149" s="461"/>
      <c r="DQK149" s="461"/>
      <c r="DQL149" s="461"/>
      <c r="DQM149" s="609"/>
      <c r="DQN149" s="607"/>
      <c r="DQO149" s="607"/>
      <c r="DQP149" s="607"/>
      <c r="DQQ149" s="463"/>
      <c r="DQR149" s="454"/>
      <c r="DQS149" s="607"/>
      <c r="DQT149" s="607"/>
      <c r="DQU149" s="607"/>
      <c r="DQV149" s="607"/>
      <c r="DQW149" s="607"/>
      <c r="DQX149" s="453"/>
      <c r="DQY149" s="289"/>
      <c r="DQZ149" s="453"/>
      <c r="DRA149" s="453"/>
      <c r="DRB149" s="453"/>
      <c r="DRC149" s="453"/>
      <c r="DRD149" s="453"/>
      <c r="DRE149" s="461"/>
      <c r="DRF149" s="461"/>
      <c r="DRG149" s="461"/>
      <c r="DRH149" s="609"/>
      <c r="DRI149" s="607"/>
      <c r="DRJ149" s="607"/>
      <c r="DRK149" s="607"/>
      <c r="DRL149" s="463"/>
      <c r="DRM149" s="454"/>
      <c r="DRN149" s="607"/>
      <c r="DRO149" s="607"/>
      <c r="DRP149" s="607"/>
      <c r="DRQ149" s="607"/>
      <c r="DRR149" s="607"/>
      <c r="DRS149" s="453"/>
      <c r="DRT149" s="289"/>
      <c r="DRU149" s="453"/>
      <c r="DRV149" s="453"/>
      <c r="DRW149" s="453"/>
      <c r="DRX149" s="453"/>
      <c r="DRY149" s="453"/>
      <c r="DRZ149" s="461"/>
      <c r="DSA149" s="461"/>
      <c r="DSB149" s="461"/>
      <c r="DSC149" s="609"/>
      <c r="DSD149" s="607"/>
      <c r="DSE149" s="607"/>
      <c r="DSF149" s="607"/>
      <c r="DSG149" s="463"/>
      <c r="DSH149" s="454"/>
      <c r="DSI149" s="607"/>
      <c r="DSJ149" s="607"/>
      <c r="DSK149" s="607"/>
      <c r="DSL149" s="607"/>
      <c r="DSM149" s="607"/>
      <c r="DSN149" s="453"/>
      <c r="DSO149" s="289"/>
      <c r="DSP149" s="453"/>
      <c r="DSQ149" s="453"/>
      <c r="DSR149" s="453"/>
      <c r="DSS149" s="453"/>
      <c r="DST149" s="453"/>
      <c r="DSU149" s="461"/>
      <c r="DSV149" s="461"/>
      <c r="DSW149" s="461"/>
      <c r="DSX149" s="609"/>
      <c r="DSY149" s="607"/>
      <c r="DSZ149" s="607"/>
      <c r="DTA149" s="607"/>
      <c r="DTB149" s="463"/>
      <c r="DTC149" s="454"/>
      <c r="DTD149" s="607"/>
      <c r="DTE149" s="607"/>
      <c r="DTF149" s="607"/>
      <c r="DTG149" s="607"/>
      <c r="DTH149" s="607"/>
      <c r="DTI149" s="453"/>
      <c r="DTJ149" s="289"/>
      <c r="DTK149" s="453"/>
      <c r="DTL149" s="453"/>
      <c r="DTM149" s="453"/>
      <c r="DTN149" s="453"/>
      <c r="DTO149" s="453"/>
      <c r="DTP149" s="461"/>
      <c r="DTQ149" s="461"/>
      <c r="DTR149" s="461"/>
      <c r="DTS149" s="609"/>
      <c r="DTT149" s="607"/>
      <c r="DTU149" s="607"/>
      <c r="DTV149" s="607"/>
      <c r="DTW149" s="463"/>
      <c r="DTX149" s="454"/>
      <c r="DTY149" s="607"/>
      <c r="DTZ149" s="607"/>
      <c r="DUA149" s="607"/>
      <c r="DUB149" s="607"/>
      <c r="DUC149" s="607"/>
      <c r="DUD149" s="453"/>
      <c r="DUE149" s="289"/>
      <c r="DUF149" s="453"/>
      <c r="DUG149" s="453"/>
      <c r="DUH149" s="453"/>
      <c r="DUI149" s="453"/>
      <c r="DUJ149" s="453"/>
      <c r="DUK149" s="461"/>
      <c r="DUL149" s="461"/>
      <c r="DUM149" s="461"/>
      <c r="DUN149" s="609"/>
      <c r="DUO149" s="607"/>
      <c r="DUP149" s="607"/>
      <c r="DUQ149" s="607"/>
      <c r="DUR149" s="463"/>
      <c r="DUS149" s="454"/>
      <c r="DUT149" s="607"/>
      <c r="DUU149" s="607"/>
      <c r="DUV149" s="607"/>
      <c r="DUW149" s="607"/>
      <c r="DUX149" s="607"/>
      <c r="DUY149" s="453"/>
      <c r="DUZ149" s="289"/>
      <c r="DVA149" s="453"/>
      <c r="DVB149" s="453"/>
      <c r="DVC149" s="453"/>
      <c r="DVD149" s="453"/>
      <c r="DVE149" s="453"/>
      <c r="DVF149" s="461"/>
      <c r="DVG149" s="461"/>
      <c r="DVH149" s="461"/>
      <c r="DVI149" s="609"/>
      <c r="DVJ149" s="607"/>
      <c r="DVK149" s="607"/>
      <c r="DVL149" s="607"/>
      <c r="DVM149" s="463"/>
      <c r="DVN149" s="454"/>
      <c r="DVO149" s="607"/>
      <c r="DVP149" s="607"/>
      <c r="DVQ149" s="607"/>
      <c r="DVR149" s="607"/>
      <c r="DVS149" s="607"/>
      <c r="DVT149" s="453"/>
      <c r="DVU149" s="289"/>
      <c r="DVV149" s="453"/>
      <c r="DVW149" s="453"/>
      <c r="DVX149" s="453"/>
      <c r="DVY149" s="453"/>
      <c r="DVZ149" s="453"/>
      <c r="DWA149" s="461"/>
      <c r="DWB149" s="461"/>
      <c r="DWC149" s="461"/>
      <c r="DWD149" s="609"/>
      <c r="DWE149" s="607"/>
      <c r="DWF149" s="607"/>
      <c r="DWG149" s="607"/>
      <c r="DWH149" s="463"/>
      <c r="DWI149" s="454"/>
      <c r="DWJ149" s="607"/>
      <c r="DWK149" s="607"/>
      <c r="DWL149" s="607"/>
      <c r="DWM149" s="607"/>
      <c r="DWN149" s="607"/>
      <c r="DWO149" s="453"/>
      <c r="DWP149" s="289"/>
      <c r="DWQ149" s="453"/>
      <c r="DWR149" s="453"/>
      <c r="DWS149" s="453"/>
      <c r="DWT149" s="453"/>
      <c r="DWU149" s="453"/>
      <c r="DWV149" s="461"/>
      <c r="DWW149" s="461"/>
      <c r="DWX149" s="461"/>
      <c r="DWY149" s="609"/>
      <c r="DWZ149" s="607"/>
      <c r="DXA149" s="607"/>
      <c r="DXB149" s="607"/>
      <c r="DXC149" s="463"/>
      <c r="DXD149" s="454"/>
      <c r="DXE149" s="607"/>
      <c r="DXF149" s="607"/>
      <c r="DXG149" s="607"/>
      <c r="DXH149" s="607"/>
      <c r="DXI149" s="607"/>
      <c r="DXJ149" s="453"/>
      <c r="DXK149" s="289"/>
      <c r="DXL149" s="453"/>
      <c r="DXM149" s="453"/>
      <c r="DXN149" s="453"/>
      <c r="DXO149" s="453"/>
      <c r="DXP149" s="453"/>
      <c r="DXQ149" s="461"/>
      <c r="DXR149" s="461"/>
      <c r="DXS149" s="461"/>
      <c r="DXT149" s="609"/>
      <c r="DXU149" s="607"/>
      <c r="DXV149" s="607"/>
      <c r="DXW149" s="607"/>
      <c r="DXX149" s="463"/>
      <c r="DXY149" s="454"/>
      <c r="DXZ149" s="607"/>
      <c r="DYA149" s="607"/>
      <c r="DYB149" s="607"/>
      <c r="DYC149" s="607"/>
      <c r="DYD149" s="607"/>
      <c r="DYE149" s="453"/>
      <c r="DYF149" s="289"/>
      <c r="DYG149" s="453"/>
      <c r="DYH149" s="453"/>
      <c r="DYI149" s="453"/>
      <c r="DYJ149" s="453"/>
      <c r="DYK149" s="453"/>
      <c r="DYL149" s="461"/>
      <c r="DYM149" s="461"/>
      <c r="DYN149" s="461"/>
      <c r="DYO149" s="609"/>
      <c r="DYP149" s="607"/>
      <c r="DYQ149" s="607"/>
      <c r="DYR149" s="607"/>
      <c r="DYS149" s="463"/>
      <c r="DYT149" s="454"/>
      <c r="DYU149" s="607"/>
      <c r="DYV149" s="607"/>
      <c r="DYW149" s="607"/>
      <c r="DYX149" s="607"/>
      <c r="DYY149" s="607"/>
      <c r="DYZ149" s="453"/>
      <c r="DZA149" s="289"/>
      <c r="DZB149" s="453"/>
      <c r="DZC149" s="453"/>
      <c r="DZD149" s="453"/>
      <c r="DZE149" s="453"/>
      <c r="DZF149" s="453"/>
      <c r="DZG149" s="461"/>
      <c r="DZH149" s="461"/>
      <c r="DZI149" s="461"/>
      <c r="DZJ149" s="609"/>
      <c r="DZK149" s="607"/>
      <c r="DZL149" s="607"/>
      <c r="DZM149" s="607"/>
      <c r="DZN149" s="463"/>
      <c r="DZO149" s="454"/>
      <c r="DZP149" s="607"/>
      <c r="DZQ149" s="607"/>
      <c r="DZR149" s="607"/>
      <c r="DZS149" s="607"/>
      <c r="DZT149" s="607"/>
      <c r="DZU149" s="453"/>
      <c r="DZV149" s="289"/>
      <c r="DZW149" s="453"/>
      <c r="DZX149" s="453"/>
      <c r="DZY149" s="453"/>
      <c r="DZZ149" s="453"/>
      <c r="EAA149" s="453"/>
      <c r="EAB149" s="461"/>
      <c r="EAC149" s="461"/>
      <c r="EAD149" s="461"/>
      <c r="EAE149" s="609"/>
      <c r="EAF149" s="607"/>
      <c r="EAG149" s="607"/>
      <c r="EAH149" s="607"/>
      <c r="EAI149" s="463"/>
      <c r="EAJ149" s="454"/>
      <c r="EAK149" s="607"/>
      <c r="EAL149" s="607"/>
      <c r="EAM149" s="607"/>
      <c r="EAN149" s="607"/>
      <c r="EAO149" s="607"/>
      <c r="EAP149" s="453"/>
      <c r="EAQ149" s="289"/>
      <c r="EAR149" s="453"/>
      <c r="EAS149" s="453"/>
      <c r="EAT149" s="453"/>
      <c r="EAU149" s="453"/>
      <c r="EAV149" s="453"/>
      <c r="EAW149" s="461"/>
      <c r="EAX149" s="461"/>
      <c r="EAY149" s="461"/>
      <c r="EAZ149" s="609"/>
      <c r="EBA149" s="607"/>
      <c r="EBB149" s="607"/>
      <c r="EBC149" s="607"/>
      <c r="EBD149" s="463"/>
      <c r="EBE149" s="454"/>
      <c r="EBF149" s="607"/>
      <c r="EBG149" s="607"/>
      <c r="EBH149" s="607"/>
      <c r="EBI149" s="607"/>
      <c r="EBJ149" s="607"/>
      <c r="EBK149" s="453"/>
      <c r="EBL149" s="289"/>
      <c r="EBM149" s="453"/>
      <c r="EBN149" s="453"/>
      <c r="EBO149" s="453"/>
      <c r="EBP149" s="453"/>
      <c r="EBQ149" s="453"/>
      <c r="EBR149" s="461"/>
      <c r="EBS149" s="461"/>
      <c r="EBT149" s="461"/>
      <c r="EBU149" s="609"/>
      <c r="EBV149" s="607"/>
      <c r="EBW149" s="607"/>
      <c r="EBX149" s="607"/>
      <c r="EBY149" s="463"/>
      <c r="EBZ149" s="454"/>
      <c r="ECA149" s="607"/>
      <c r="ECB149" s="607"/>
      <c r="ECC149" s="607"/>
      <c r="ECD149" s="607"/>
      <c r="ECE149" s="607"/>
      <c r="ECF149" s="453"/>
      <c r="ECG149" s="289"/>
      <c r="ECH149" s="453"/>
      <c r="ECI149" s="453"/>
      <c r="ECJ149" s="453"/>
      <c r="ECK149" s="453"/>
      <c r="ECL149" s="453"/>
      <c r="ECM149" s="461"/>
      <c r="ECN149" s="461"/>
      <c r="ECO149" s="461"/>
      <c r="ECP149" s="609"/>
      <c r="ECQ149" s="607"/>
      <c r="ECR149" s="607"/>
      <c r="ECS149" s="607"/>
      <c r="ECT149" s="463"/>
      <c r="ECU149" s="454"/>
      <c r="ECV149" s="607"/>
      <c r="ECW149" s="607"/>
      <c r="ECX149" s="607"/>
      <c r="ECY149" s="607"/>
      <c r="ECZ149" s="607"/>
      <c r="EDA149" s="453"/>
      <c r="EDB149" s="289"/>
      <c r="EDC149" s="453"/>
      <c r="EDD149" s="453"/>
      <c r="EDE149" s="453"/>
      <c r="EDF149" s="453"/>
      <c r="EDG149" s="453"/>
      <c r="EDH149" s="461"/>
      <c r="EDI149" s="461"/>
      <c r="EDJ149" s="461"/>
      <c r="EDK149" s="609"/>
      <c r="EDL149" s="607"/>
      <c r="EDM149" s="607"/>
      <c r="EDN149" s="607"/>
      <c r="EDO149" s="463"/>
      <c r="EDP149" s="454"/>
      <c r="EDQ149" s="607"/>
      <c r="EDR149" s="607"/>
      <c r="EDS149" s="607"/>
      <c r="EDT149" s="607"/>
      <c r="EDU149" s="607"/>
      <c r="EDV149" s="453"/>
      <c r="EDW149" s="289"/>
      <c r="EDX149" s="453"/>
      <c r="EDY149" s="453"/>
      <c r="EDZ149" s="453"/>
      <c r="EEA149" s="453"/>
      <c r="EEB149" s="453"/>
      <c r="EEC149" s="461"/>
      <c r="EED149" s="461"/>
      <c r="EEE149" s="461"/>
      <c r="EEF149" s="609"/>
      <c r="EEG149" s="607"/>
      <c r="EEH149" s="607"/>
      <c r="EEI149" s="607"/>
      <c r="EEJ149" s="463"/>
      <c r="EEK149" s="454"/>
      <c r="EEL149" s="607"/>
      <c r="EEM149" s="607"/>
      <c r="EEN149" s="607"/>
      <c r="EEO149" s="607"/>
      <c r="EEP149" s="607"/>
      <c r="EEQ149" s="453"/>
      <c r="EER149" s="289"/>
      <c r="EES149" s="453"/>
      <c r="EET149" s="453"/>
      <c r="EEU149" s="453"/>
      <c r="EEV149" s="453"/>
      <c r="EEW149" s="453"/>
      <c r="EEX149" s="461"/>
      <c r="EEY149" s="461"/>
      <c r="EEZ149" s="461"/>
      <c r="EFA149" s="609"/>
      <c r="EFB149" s="607"/>
      <c r="EFC149" s="607"/>
      <c r="EFD149" s="607"/>
      <c r="EFE149" s="463"/>
      <c r="EFF149" s="454"/>
      <c r="EFG149" s="607"/>
      <c r="EFH149" s="607"/>
      <c r="EFI149" s="607"/>
      <c r="EFJ149" s="607"/>
      <c r="EFK149" s="607"/>
      <c r="EFL149" s="453"/>
      <c r="EFM149" s="289"/>
      <c r="EFN149" s="453"/>
      <c r="EFO149" s="453"/>
      <c r="EFP149" s="453"/>
      <c r="EFQ149" s="453"/>
      <c r="EFR149" s="453"/>
      <c r="EFS149" s="461"/>
      <c r="EFT149" s="461"/>
      <c r="EFU149" s="461"/>
      <c r="EFV149" s="609"/>
      <c r="EFW149" s="607"/>
      <c r="EFX149" s="607"/>
      <c r="EFY149" s="607"/>
      <c r="EFZ149" s="463"/>
      <c r="EGA149" s="454"/>
      <c r="EGB149" s="607"/>
      <c r="EGC149" s="607"/>
      <c r="EGD149" s="607"/>
      <c r="EGE149" s="607"/>
      <c r="EGF149" s="607"/>
      <c r="EGG149" s="453"/>
      <c r="EGH149" s="289"/>
      <c r="EGI149" s="453"/>
      <c r="EGJ149" s="453"/>
      <c r="EGK149" s="453"/>
      <c r="EGL149" s="453"/>
      <c r="EGM149" s="453"/>
      <c r="EGN149" s="461"/>
      <c r="EGO149" s="461"/>
      <c r="EGP149" s="461"/>
      <c r="EGQ149" s="609"/>
      <c r="EGR149" s="607"/>
      <c r="EGS149" s="607"/>
      <c r="EGT149" s="607"/>
      <c r="EGU149" s="463"/>
      <c r="EGV149" s="454"/>
      <c r="EGW149" s="607"/>
      <c r="EGX149" s="607"/>
      <c r="EGY149" s="607"/>
      <c r="EGZ149" s="607"/>
      <c r="EHA149" s="607"/>
      <c r="EHB149" s="453"/>
      <c r="EHC149" s="289"/>
      <c r="EHD149" s="453"/>
      <c r="EHE149" s="453"/>
      <c r="EHF149" s="453"/>
      <c r="EHG149" s="453"/>
      <c r="EHH149" s="453"/>
      <c r="EHI149" s="461"/>
      <c r="EHJ149" s="461"/>
      <c r="EHK149" s="461"/>
      <c r="EHL149" s="609"/>
      <c r="EHM149" s="607"/>
      <c r="EHN149" s="607"/>
      <c r="EHO149" s="607"/>
      <c r="EHP149" s="463"/>
      <c r="EHQ149" s="454"/>
      <c r="EHR149" s="607"/>
      <c r="EHS149" s="607"/>
      <c r="EHT149" s="607"/>
      <c r="EHU149" s="607"/>
      <c r="EHV149" s="607"/>
      <c r="EHW149" s="453"/>
      <c r="EHX149" s="289"/>
      <c r="EHY149" s="453"/>
      <c r="EHZ149" s="453"/>
      <c r="EIA149" s="453"/>
      <c r="EIB149" s="453"/>
      <c r="EIC149" s="453"/>
      <c r="EID149" s="461"/>
      <c r="EIE149" s="461"/>
      <c r="EIF149" s="461"/>
      <c r="EIG149" s="609"/>
      <c r="EIH149" s="607"/>
      <c r="EII149" s="607"/>
      <c r="EIJ149" s="607"/>
      <c r="EIK149" s="463"/>
      <c r="EIL149" s="454"/>
      <c r="EIM149" s="607"/>
      <c r="EIN149" s="607"/>
      <c r="EIO149" s="607"/>
      <c r="EIP149" s="607"/>
      <c r="EIQ149" s="607"/>
      <c r="EIR149" s="453"/>
      <c r="EIS149" s="289"/>
      <c r="EIT149" s="453"/>
      <c r="EIU149" s="453"/>
      <c r="EIV149" s="453"/>
      <c r="EIW149" s="453"/>
      <c r="EIX149" s="453"/>
      <c r="EIY149" s="461"/>
      <c r="EIZ149" s="461"/>
      <c r="EJA149" s="461"/>
      <c r="EJB149" s="609"/>
      <c r="EJC149" s="607"/>
      <c r="EJD149" s="607"/>
      <c r="EJE149" s="607"/>
      <c r="EJF149" s="463"/>
      <c r="EJG149" s="454"/>
      <c r="EJH149" s="607"/>
      <c r="EJI149" s="607"/>
      <c r="EJJ149" s="607"/>
      <c r="EJK149" s="607"/>
      <c r="EJL149" s="607"/>
      <c r="EJM149" s="453"/>
      <c r="EJN149" s="289"/>
      <c r="EJO149" s="453"/>
      <c r="EJP149" s="453"/>
      <c r="EJQ149" s="453"/>
      <c r="EJR149" s="453"/>
      <c r="EJS149" s="453"/>
      <c r="EJT149" s="461"/>
      <c r="EJU149" s="461"/>
      <c r="EJV149" s="461"/>
      <c r="EJW149" s="609"/>
      <c r="EJX149" s="607"/>
      <c r="EJY149" s="607"/>
      <c r="EJZ149" s="607"/>
      <c r="EKA149" s="463"/>
      <c r="EKB149" s="454"/>
      <c r="EKC149" s="607"/>
      <c r="EKD149" s="607"/>
      <c r="EKE149" s="607"/>
      <c r="EKF149" s="607"/>
      <c r="EKG149" s="607"/>
      <c r="EKH149" s="453"/>
      <c r="EKI149" s="289"/>
      <c r="EKJ149" s="453"/>
      <c r="EKK149" s="453"/>
      <c r="EKL149" s="453"/>
      <c r="EKM149" s="453"/>
      <c r="EKN149" s="453"/>
      <c r="EKO149" s="461"/>
      <c r="EKP149" s="461"/>
      <c r="EKQ149" s="461"/>
      <c r="EKR149" s="609"/>
      <c r="EKS149" s="607"/>
      <c r="EKT149" s="607"/>
      <c r="EKU149" s="607"/>
      <c r="EKV149" s="463"/>
      <c r="EKW149" s="454"/>
      <c r="EKX149" s="607"/>
      <c r="EKY149" s="607"/>
      <c r="EKZ149" s="607"/>
      <c r="ELA149" s="607"/>
      <c r="ELB149" s="607"/>
      <c r="ELC149" s="453"/>
      <c r="ELD149" s="289"/>
      <c r="ELE149" s="453"/>
      <c r="ELF149" s="453"/>
      <c r="ELG149" s="453"/>
      <c r="ELH149" s="453"/>
      <c r="ELI149" s="453"/>
      <c r="ELJ149" s="461"/>
      <c r="ELK149" s="461"/>
      <c r="ELL149" s="461"/>
      <c r="ELM149" s="609"/>
      <c r="ELN149" s="607"/>
      <c r="ELO149" s="607"/>
      <c r="ELP149" s="607"/>
      <c r="ELQ149" s="463"/>
      <c r="ELR149" s="454"/>
      <c r="ELS149" s="607"/>
      <c r="ELT149" s="607"/>
      <c r="ELU149" s="607"/>
      <c r="ELV149" s="607"/>
      <c r="ELW149" s="607"/>
      <c r="ELX149" s="453"/>
      <c r="ELY149" s="289"/>
      <c r="ELZ149" s="453"/>
      <c r="EMA149" s="453"/>
      <c r="EMB149" s="453"/>
      <c r="EMC149" s="453"/>
      <c r="EMD149" s="453"/>
      <c r="EME149" s="461"/>
      <c r="EMF149" s="461"/>
      <c r="EMG149" s="461"/>
      <c r="EMH149" s="609"/>
      <c r="EMI149" s="607"/>
      <c r="EMJ149" s="607"/>
      <c r="EMK149" s="607"/>
      <c r="EML149" s="463"/>
      <c r="EMM149" s="454"/>
      <c r="EMN149" s="607"/>
      <c r="EMO149" s="607"/>
      <c r="EMP149" s="607"/>
      <c r="EMQ149" s="607"/>
      <c r="EMR149" s="607"/>
      <c r="EMS149" s="453"/>
      <c r="EMT149" s="289"/>
      <c r="EMU149" s="453"/>
      <c r="EMV149" s="453"/>
      <c r="EMW149" s="453"/>
      <c r="EMX149" s="453"/>
      <c r="EMY149" s="453"/>
      <c r="EMZ149" s="461"/>
      <c r="ENA149" s="461"/>
      <c r="ENB149" s="461"/>
      <c r="ENC149" s="609"/>
      <c r="END149" s="607"/>
      <c r="ENE149" s="607"/>
      <c r="ENF149" s="607"/>
      <c r="ENG149" s="463"/>
      <c r="ENH149" s="454"/>
      <c r="ENI149" s="607"/>
      <c r="ENJ149" s="607"/>
      <c r="ENK149" s="607"/>
      <c r="ENL149" s="607"/>
      <c r="ENM149" s="607"/>
      <c r="ENN149" s="453"/>
      <c r="ENO149" s="289"/>
      <c r="ENP149" s="453"/>
      <c r="ENQ149" s="453"/>
      <c r="ENR149" s="453"/>
      <c r="ENS149" s="453"/>
      <c r="ENT149" s="453"/>
      <c r="ENU149" s="461"/>
      <c r="ENV149" s="461"/>
      <c r="ENW149" s="461"/>
      <c r="ENX149" s="609"/>
      <c r="ENY149" s="607"/>
      <c r="ENZ149" s="607"/>
      <c r="EOA149" s="607"/>
      <c r="EOB149" s="463"/>
      <c r="EOC149" s="454"/>
      <c r="EOD149" s="607"/>
      <c r="EOE149" s="607"/>
      <c r="EOF149" s="607"/>
      <c r="EOG149" s="607"/>
      <c r="EOH149" s="607"/>
      <c r="EOI149" s="453"/>
      <c r="EOJ149" s="289"/>
      <c r="EOK149" s="453"/>
      <c r="EOL149" s="453"/>
      <c r="EOM149" s="453"/>
      <c r="EON149" s="453"/>
      <c r="EOO149" s="453"/>
      <c r="EOP149" s="461"/>
      <c r="EOQ149" s="461"/>
      <c r="EOR149" s="461"/>
      <c r="EOS149" s="609"/>
      <c r="EOT149" s="607"/>
      <c r="EOU149" s="607"/>
      <c r="EOV149" s="607"/>
      <c r="EOW149" s="463"/>
      <c r="EOX149" s="454"/>
      <c r="EOY149" s="607"/>
      <c r="EOZ149" s="607"/>
      <c r="EPA149" s="607"/>
      <c r="EPB149" s="607"/>
      <c r="EPC149" s="607"/>
      <c r="EPD149" s="453"/>
      <c r="EPE149" s="289"/>
      <c r="EPF149" s="453"/>
      <c r="EPG149" s="453"/>
      <c r="EPH149" s="453"/>
      <c r="EPI149" s="453"/>
      <c r="EPJ149" s="453"/>
      <c r="EPK149" s="461"/>
      <c r="EPL149" s="461"/>
      <c r="EPM149" s="461"/>
      <c r="EPN149" s="609"/>
      <c r="EPO149" s="607"/>
      <c r="EPP149" s="607"/>
      <c r="EPQ149" s="607"/>
      <c r="EPR149" s="463"/>
      <c r="EPS149" s="454"/>
      <c r="EPT149" s="607"/>
      <c r="EPU149" s="607"/>
      <c r="EPV149" s="607"/>
      <c r="EPW149" s="607"/>
      <c r="EPX149" s="607"/>
      <c r="EPY149" s="453"/>
      <c r="EPZ149" s="289"/>
      <c r="EQA149" s="453"/>
      <c r="EQB149" s="453"/>
      <c r="EQC149" s="453"/>
      <c r="EQD149" s="453"/>
      <c r="EQE149" s="453"/>
      <c r="EQF149" s="461"/>
      <c r="EQG149" s="461"/>
      <c r="EQH149" s="461"/>
      <c r="EQI149" s="609"/>
      <c r="EQJ149" s="607"/>
      <c r="EQK149" s="607"/>
      <c r="EQL149" s="607"/>
      <c r="EQM149" s="463"/>
      <c r="EQN149" s="454"/>
      <c r="EQO149" s="607"/>
      <c r="EQP149" s="607"/>
      <c r="EQQ149" s="607"/>
      <c r="EQR149" s="607"/>
      <c r="EQS149" s="607"/>
      <c r="EQT149" s="453"/>
      <c r="EQU149" s="289"/>
      <c r="EQV149" s="453"/>
      <c r="EQW149" s="453"/>
      <c r="EQX149" s="453"/>
      <c r="EQY149" s="453"/>
      <c r="EQZ149" s="453"/>
      <c r="ERA149" s="461"/>
      <c r="ERB149" s="461"/>
      <c r="ERC149" s="461"/>
      <c r="ERD149" s="609"/>
      <c r="ERE149" s="607"/>
      <c r="ERF149" s="607"/>
      <c r="ERG149" s="607"/>
      <c r="ERH149" s="463"/>
      <c r="ERI149" s="454"/>
      <c r="ERJ149" s="607"/>
      <c r="ERK149" s="607"/>
      <c r="ERL149" s="607"/>
      <c r="ERM149" s="607"/>
      <c r="ERN149" s="607"/>
      <c r="ERO149" s="453"/>
      <c r="ERP149" s="289"/>
      <c r="ERQ149" s="453"/>
      <c r="ERR149" s="453"/>
      <c r="ERS149" s="453"/>
      <c r="ERT149" s="453"/>
      <c r="ERU149" s="453"/>
      <c r="ERV149" s="461"/>
      <c r="ERW149" s="461"/>
      <c r="ERX149" s="461"/>
      <c r="ERY149" s="609"/>
      <c r="ERZ149" s="607"/>
      <c r="ESA149" s="607"/>
      <c r="ESB149" s="607"/>
      <c r="ESC149" s="463"/>
      <c r="ESD149" s="454"/>
      <c r="ESE149" s="607"/>
      <c r="ESF149" s="607"/>
      <c r="ESG149" s="607"/>
      <c r="ESH149" s="607"/>
      <c r="ESI149" s="607"/>
      <c r="ESJ149" s="453"/>
      <c r="ESK149" s="289"/>
      <c r="ESL149" s="453"/>
      <c r="ESM149" s="453"/>
      <c r="ESN149" s="453"/>
      <c r="ESO149" s="453"/>
      <c r="ESP149" s="453"/>
      <c r="ESQ149" s="461"/>
      <c r="ESR149" s="461"/>
      <c r="ESS149" s="461"/>
      <c r="EST149" s="609"/>
      <c r="ESU149" s="607"/>
      <c r="ESV149" s="607"/>
      <c r="ESW149" s="607"/>
      <c r="ESX149" s="463"/>
      <c r="ESY149" s="454"/>
      <c r="ESZ149" s="607"/>
      <c r="ETA149" s="607"/>
      <c r="ETB149" s="607"/>
      <c r="ETC149" s="607"/>
      <c r="ETD149" s="607"/>
      <c r="ETE149" s="453"/>
      <c r="ETF149" s="289"/>
      <c r="ETG149" s="453"/>
      <c r="ETH149" s="453"/>
      <c r="ETI149" s="453"/>
      <c r="ETJ149" s="453"/>
      <c r="ETK149" s="453"/>
      <c r="ETL149" s="461"/>
      <c r="ETM149" s="461"/>
      <c r="ETN149" s="461"/>
      <c r="ETO149" s="609"/>
      <c r="ETP149" s="607"/>
      <c r="ETQ149" s="607"/>
      <c r="ETR149" s="607"/>
      <c r="ETS149" s="463"/>
      <c r="ETT149" s="454"/>
      <c r="ETU149" s="607"/>
      <c r="ETV149" s="607"/>
      <c r="ETW149" s="607"/>
      <c r="ETX149" s="607"/>
      <c r="ETY149" s="607"/>
      <c r="ETZ149" s="453"/>
      <c r="EUA149" s="289"/>
      <c r="EUB149" s="453"/>
      <c r="EUC149" s="453"/>
      <c r="EUD149" s="453"/>
      <c r="EUE149" s="453"/>
      <c r="EUF149" s="453"/>
      <c r="EUG149" s="461"/>
      <c r="EUH149" s="461"/>
      <c r="EUI149" s="461"/>
      <c r="EUJ149" s="609"/>
      <c r="EUK149" s="607"/>
      <c r="EUL149" s="607"/>
      <c r="EUM149" s="607"/>
      <c r="EUN149" s="463"/>
      <c r="EUO149" s="454"/>
      <c r="EUP149" s="607"/>
      <c r="EUQ149" s="607"/>
      <c r="EUR149" s="607"/>
      <c r="EUS149" s="607"/>
      <c r="EUT149" s="607"/>
      <c r="EUU149" s="453"/>
      <c r="EUV149" s="289"/>
      <c r="EUW149" s="453"/>
      <c r="EUX149" s="453"/>
      <c r="EUY149" s="453"/>
      <c r="EUZ149" s="453"/>
      <c r="EVA149" s="453"/>
      <c r="EVB149" s="461"/>
      <c r="EVC149" s="461"/>
      <c r="EVD149" s="461"/>
      <c r="EVE149" s="609"/>
      <c r="EVF149" s="607"/>
      <c r="EVG149" s="607"/>
      <c r="EVH149" s="607"/>
      <c r="EVI149" s="463"/>
      <c r="EVJ149" s="454"/>
      <c r="EVK149" s="607"/>
      <c r="EVL149" s="607"/>
      <c r="EVM149" s="607"/>
      <c r="EVN149" s="607"/>
      <c r="EVO149" s="607"/>
      <c r="EVP149" s="453"/>
      <c r="EVQ149" s="289"/>
      <c r="EVR149" s="453"/>
      <c r="EVS149" s="453"/>
      <c r="EVT149" s="453"/>
      <c r="EVU149" s="453"/>
      <c r="EVV149" s="453"/>
      <c r="EVW149" s="461"/>
      <c r="EVX149" s="461"/>
      <c r="EVY149" s="461"/>
      <c r="EVZ149" s="609"/>
      <c r="EWA149" s="607"/>
      <c r="EWB149" s="607"/>
      <c r="EWC149" s="607"/>
      <c r="EWD149" s="463"/>
      <c r="EWE149" s="454"/>
      <c r="EWF149" s="607"/>
      <c r="EWG149" s="607"/>
      <c r="EWH149" s="607"/>
      <c r="EWI149" s="607"/>
      <c r="EWJ149" s="607"/>
      <c r="EWK149" s="453"/>
      <c r="EWL149" s="289"/>
      <c r="EWM149" s="453"/>
      <c r="EWN149" s="453"/>
      <c r="EWO149" s="453"/>
      <c r="EWP149" s="453"/>
      <c r="EWQ149" s="453"/>
      <c r="EWR149" s="461"/>
      <c r="EWS149" s="461"/>
      <c r="EWT149" s="461"/>
      <c r="EWU149" s="609"/>
      <c r="EWV149" s="607"/>
      <c r="EWW149" s="607"/>
      <c r="EWX149" s="607"/>
      <c r="EWY149" s="463"/>
      <c r="EWZ149" s="454"/>
      <c r="EXA149" s="607"/>
      <c r="EXB149" s="607"/>
      <c r="EXC149" s="607"/>
      <c r="EXD149" s="607"/>
      <c r="EXE149" s="607"/>
      <c r="EXF149" s="453"/>
      <c r="EXG149" s="289"/>
      <c r="EXH149" s="453"/>
      <c r="EXI149" s="453"/>
      <c r="EXJ149" s="453"/>
      <c r="EXK149" s="453"/>
      <c r="EXL149" s="453"/>
      <c r="EXM149" s="461"/>
      <c r="EXN149" s="461"/>
      <c r="EXO149" s="461"/>
      <c r="EXP149" s="609"/>
      <c r="EXQ149" s="607"/>
      <c r="EXR149" s="607"/>
      <c r="EXS149" s="607"/>
      <c r="EXT149" s="463"/>
      <c r="EXU149" s="454"/>
      <c r="EXV149" s="607"/>
      <c r="EXW149" s="607"/>
      <c r="EXX149" s="607"/>
      <c r="EXY149" s="607"/>
      <c r="EXZ149" s="607"/>
      <c r="EYA149" s="453"/>
      <c r="EYB149" s="289"/>
      <c r="EYC149" s="453"/>
      <c r="EYD149" s="453"/>
      <c r="EYE149" s="453"/>
      <c r="EYF149" s="453"/>
      <c r="EYG149" s="453"/>
      <c r="EYH149" s="461"/>
      <c r="EYI149" s="461"/>
      <c r="EYJ149" s="461"/>
      <c r="EYK149" s="609"/>
      <c r="EYL149" s="607"/>
      <c r="EYM149" s="607"/>
      <c r="EYN149" s="607"/>
      <c r="EYO149" s="463"/>
      <c r="EYP149" s="454"/>
      <c r="EYQ149" s="607"/>
      <c r="EYR149" s="607"/>
      <c r="EYS149" s="607"/>
      <c r="EYT149" s="607"/>
      <c r="EYU149" s="607"/>
      <c r="EYV149" s="453"/>
      <c r="EYW149" s="289"/>
      <c r="EYX149" s="453"/>
      <c r="EYY149" s="453"/>
      <c r="EYZ149" s="453"/>
      <c r="EZA149" s="453"/>
      <c r="EZB149" s="453"/>
      <c r="EZC149" s="461"/>
      <c r="EZD149" s="461"/>
      <c r="EZE149" s="461"/>
      <c r="EZF149" s="609"/>
      <c r="EZG149" s="607"/>
      <c r="EZH149" s="607"/>
      <c r="EZI149" s="607"/>
      <c r="EZJ149" s="463"/>
      <c r="EZK149" s="454"/>
      <c r="EZL149" s="607"/>
      <c r="EZM149" s="607"/>
      <c r="EZN149" s="607"/>
      <c r="EZO149" s="607"/>
      <c r="EZP149" s="607"/>
      <c r="EZQ149" s="453"/>
      <c r="EZR149" s="289"/>
      <c r="EZS149" s="453"/>
      <c r="EZT149" s="453"/>
      <c r="EZU149" s="453"/>
      <c r="EZV149" s="453"/>
      <c r="EZW149" s="453"/>
      <c r="EZX149" s="461"/>
      <c r="EZY149" s="461"/>
      <c r="EZZ149" s="461"/>
      <c r="FAA149" s="609"/>
      <c r="FAB149" s="607"/>
      <c r="FAC149" s="607"/>
      <c r="FAD149" s="607"/>
      <c r="FAE149" s="463"/>
      <c r="FAF149" s="454"/>
      <c r="FAG149" s="607"/>
      <c r="FAH149" s="607"/>
      <c r="FAI149" s="607"/>
      <c r="FAJ149" s="607"/>
      <c r="FAK149" s="607"/>
      <c r="FAL149" s="453"/>
      <c r="FAM149" s="289"/>
      <c r="FAN149" s="453"/>
      <c r="FAO149" s="453"/>
      <c r="FAP149" s="453"/>
      <c r="FAQ149" s="453"/>
      <c r="FAR149" s="453"/>
      <c r="FAS149" s="461"/>
      <c r="FAT149" s="461"/>
      <c r="FAU149" s="461"/>
      <c r="FAV149" s="609"/>
      <c r="FAW149" s="607"/>
      <c r="FAX149" s="607"/>
      <c r="FAY149" s="607"/>
      <c r="FAZ149" s="463"/>
      <c r="FBA149" s="454"/>
      <c r="FBB149" s="607"/>
      <c r="FBC149" s="607"/>
      <c r="FBD149" s="607"/>
      <c r="FBE149" s="607"/>
      <c r="FBF149" s="607"/>
      <c r="FBG149" s="453"/>
      <c r="FBH149" s="289"/>
      <c r="FBI149" s="453"/>
      <c r="FBJ149" s="453"/>
      <c r="FBK149" s="453"/>
      <c r="FBL149" s="453"/>
      <c r="FBM149" s="453"/>
      <c r="FBN149" s="461"/>
      <c r="FBO149" s="461"/>
      <c r="FBP149" s="461"/>
      <c r="FBQ149" s="609"/>
      <c r="FBR149" s="607"/>
      <c r="FBS149" s="607"/>
      <c r="FBT149" s="607"/>
      <c r="FBU149" s="463"/>
      <c r="FBV149" s="454"/>
      <c r="FBW149" s="607"/>
      <c r="FBX149" s="607"/>
      <c r="FBY149" s="607"/>
      <c r="FBZ149" s="607"/>
      <c r="FCA149" s="607"/>
      <c r="FCB149" s="453"/>
      <c r="FCC149" s="289"/>
      <c r="FCD149" s="453"/>
      <c r="FCE149" s="453"/>
      <c r="FCF149" s="453"/>
      <c r="FCG149" s="453"/>
      <c r="FCH149" s="453"/>
      <c r="FCI149" s="461"/>
      <c r="FCJ149" s="461"/>
      <c r="FCK149" s="461"/>
      <c r="FCL149" s="609"/>
      <c r="FCM149" s="607"/>
      <c r="FCN149" s="607"/>
      <c r="FCO149" s="607"/>
      <c r="FCP149" s="463"/>
      <c r="FCQ149" s="454"/>
      <c r="FCR149" s="607"/>
      <c r="FCS149" s="607"/>
      <c r="FCT149" s="607"/>
      <c r="FCU149" s="607"/>
      <c r="FCV149" s="607"/>
      <c r="FCW149" s="453"/>
      <c r="FCX149" s="289"/>
      <c r="FCY149" s="453"/>
      <c r="FCZ149" s="453"/>
      <c r="FDA149" s="453"/>
      <c r="FDB149" s="453"/>
      <c r="FDC149" s="453"/>
      <c r="FDD149" s="461"/>
      <c r="FDE149" s="461"/>
      <c r="FDF149" s="461"/>
      <c r="FDG149" s="609"/>
      <c r="FDH149" s="607"/>
      <c r="FDI149" s="607"/>
      <c r="FDJ149" s="607"/>
      <c r="FDK149" s="463"/>
      <c r="FDL149" s="454"/>
      <c r="FDM149" s="607"/>
      <c r="FDN149" s="607"/>
      <c r="FDO149" s="607"/>
      <c r="FDP149" s="607"/>
      <c r="FDQ149" s="607"/>
      <c r="FDR149" s="453"/>
      <c r="FDS149" s="289"/>
      <c r="FDT149" s="453"/>
      <c r="FDU149" s="453"/>
      <c r="FDV149" s="453"/>
      <c r="FDW149" s="453"/>
      <c r="FDX149" s="453"/>
      <c r="FDY149" s="461"/>
      <c r="FDZ149" s="461"/>
      <c r="FEA149" s="461"/>
      <c r="FEB149" s="609"/>
      <c r="FEC149" s="607"/>
      <c r="FED149" s="607"/>
      <c r="FEE149" s="607"/>
      <c r="FEF149" s="463"/>
      <c r="FEG149" s="454"/>
      <c r="FEH149" s="607"/>
      <c r="FEI149" s="607"/>
      <c r="FEJ149" s="607"/>
      <c r="FEK149" s="607"/>
      <c r="FEL149" s="607"/>
      <c r="FEM149" s="453"/>
      <c r="FEN149" s="289"/>
      <c r="FEO149" s="453"/>
      <c r="FEP149" s="453"/>
      <c r="FEQ149" s="453"/>
      <c r="FER149" s="453"/>
      <c r="FES149" s="453"/>
      <c r="FET149" s="461"/>
      <c r="FEU149" s="461"/>
      <c r="FEV149" s="461"/>
      <c r="FEW149" s="609"/>
      <c r="FEX149" s="607"/>
      <c r="FEY149" s="607"/>
      <c r="FEZ149" s="607"/>
      <c r="FFA149" s="463"/>
      <c r="FFB149" s="454"/>
      <c r="FFC149" s="607"/>
      <c r="FFD149" s="607"/>
      <c r="FFE149" s="607"/>
      <c r="FFF149" s="607"/>
      <c r="FFG149" s="607"/>
      <c r="FFH149" s="453"/>
      <c r="FFI149" s="289"/>
      <c r="FFJ149" s="453"/>
      <c r="FFK149" s="453"/>
      <c r="FFL149" s="453"/>
      <c r="FFM149" s="453"/>
      <c r="FFN149" s="453"/>
      <c r="FFO149" s="461"/>
      <c r="FFP149" s="461"/>
      <c r="FFQ149" s="461"/>
      <c r="FFR149" s="609"/>
      <c r="FFS149" s="607"/>
      <c r="FFT149" s="607"/>
      <c r="FFU149" s="607"/>
      <c r="FFV149" s="463"/>
      <c r="FFW149" s="454"/>
      <c r="FFX149" s="607"/>
      <c r="FFY149" s="607"/>
      <c r="FFZ149" s="607"/>
      <c r="FGA149" s="607"/>
      <c r="FGB149" s="607"/>
      <c r="FGC149" s="453"/>
      <c r="FGD149" s="289"/>
      <c r="FGE149" s="453"/>
      <c r="FGF149" s="453"/>
      <c r="FGG149" s="453"/>
      <c r="FGH149" s="453"/>
      <c r="FGI149" s="453"/>
      <c r="FGJ149" s="461"/>
      <c r="FGK149" s="461"/>
      <c r="FGL149" s="461"/>
      <c r="FGM149" s="609"/>
      <c r="FGN149" s="607"/>
      <c r="FGO149" s="607"/>
      <c r="FGP149" s="607"/>
      <c r="FGQ149" s="463"/>
      <c r="FGR149" s="454"/>
      <c r="FGS149" s="607"/>
      <c r="FGT149" s="607"/>
      <c r="FGU149" s="607"/>
      <c r="FGV149" s="607"/>
      <c r="FGW149" s="607"/>
      <c r="FGX149" s="453"/>
      <c r="FGY149" s="289"/>
      <c r="FGZ149" s="453"/>
      <c r="FHA149" s="453"/>
      <c r="FHB149" s="453"/>
      <c r="FHC149" s="453"/>
      <c r="FHD149" s="453"/>
      <c r="FHE149" s="461"/>
      <c r="FHF149" s="461"/>
      <c r="FHG149" s="461"/>
      <c r="FHH149" s="609"/>
      <c r="FHI149" s="607"/>
      <c r="FHJ149" s="607"/>
      <c r="FHK149" s="607"/>
      <c r="FHL149" s="463"/>
      <c r="FHM149" s="454"/>
      <c r="FHN149" s="607"/>
      <c r="FHO149" s="607"/>
      <c r="FHP149" s="607"/>
      <c r="FHQ149" s="607"/>
      <c r="FHR149" s="607"/>
      <c r="FHS149" s="453"/>
      <c r="FHT149" s="289"/>
      <c r="FHU149" s="453"/>
      <c r="FHV149" s="453"/>
      <c r="FHW149" s="453"/>
      <c r="FHX149" s="453"/>
      <c r="FHY149" s="453"/>
      <c r="FHZ149" s="461"/>
      <c r="FIA149" s="461"/>
      <c r="FIB149" s="461"/>
      <c r="FIC149" s="609"/>
      <c r="FID149" s="607"/>
      <c r="FIE149" s="607"/>
      <c r="FIF149" s="607"/>
      <c r="FIG149" s="463"/>
      <c r="FIH149" s="454"/>
      <c r="FII149" s="607"/>
      <c r="FIJ149" s="607"/>
      <c r="FIK149" s="607"/>
      <c r="FIL149" s="607"/>
      <c r="FIM149" s="607"/>
      <c r="FIN149" s="453"/>
      <c r="FIO149" s="289"/>
      <c r="FIP149" s="453"/>
      <c r="FIQ149" s="453"/>
      <c r="FIR149" s="453"/>
      <c r="FIS149" s="453"/>
      <c r="FIT149" s="453"/>
      <c r="FIU149" s="461"/>
      <c r="FIV149" s="461"/>
      <c r="FIW149" s="461"/>
      <c r="FIX149" s="609"/>
      <c r="FIY149" s="607"/>
      <c r="FIZ149" s="607"/>
      <c r="FJA149" s="607"/>
      <c r="FJB149" s="463"/>
      <c r="FJC149" s="454"/>
      <c r="FJD149" s="607"/>
      <c r="FJE149" s="607"/>
      <c r="FJF149" s="607"/>
      <c r="FJG149" s="607"/>
      <c r="FJH149" s="607"/>
      <c r="FJI149" s="453"/>
      <c r="FJJ149" s="289"/>
      <c r="FJK149" s="453"/>
      <c r="FJL149" s="453"/>
      <c r="FJM149" s="453"/>
      <c r="FJN149" s="453"/>
      <c r="FJO149" s="453"/>
      <c r="FJP149" s="461"/>
      <c r="FJQ149" s="461"/>
      <c r="FJR149" s="461"/>
      <c r="FJS149" s="609"/>
      <c r="FJT149" s="607"/>
      <c r="FJU149" s="607"/>
      <c r="FJV149" s="607"/>
      <c r="FJW149" s="463"/>
      <c r="FJX149" s="454"/>
      <c r="FJY149" s="607"/>
      <c r="FJZ149" s="607"/>
      <c r="FKA149" s="607"/>
      <c r="FKB149" s="607"/>
      <c r="FKC149" s="607"/>
      <c r="FKD149" s="453"/>
      <c r="FKE149" s="289"/>
      <c r="FKF149" s="453"/>
      <c r="FKG149" s="453"/>
      <c r="FKH149" s="453"/>
      <c r="FKI149" s="453"/>
      <c r="FKJ149" s="453"/>
      <c r="FKK149" s="461"/>
      <c r="FKL149" s="461"/>
      <c r="FKM149" s="461"/>
      <c r="FKN149" s="609"/>
      <c r="FKO149" s="607"/>
      <c r="FKP149" s="607"/>
      <c r="FKQ149" s="607"/>
      <c r="FKR149" s="463"/>
      <c r="FKS149" s="454"/>
      <c r="FKT149" s="607"/>
      <c r="FKU149" s="607"/>
      <c r="FKV149" s="607"/>
      <c r="FKW149" s="607"/>
      <c r="FKX149" s="607"/>
      <c r="FKY149" s="453"/>
      <c r="FKZ149" s="289"/>
      <c r="FLA149" s="453"/>
      <c r="FLB149" s="453"/>
      <c r="FLC149" s="453"/>
      <c r="FLD149" s="453"/>
      <c r="FLE149" s="453"/>
      <c r="FLF149" s="461"/>
      <c r="FLG149" s="461"/>
      <c r="FLH149" s="461"/>
      <c r="FLI149" s="609"/>
      <c r="FLJ149" s="607"/>
      <c r="FLK149" s="607"/>
      <c r="FLL149" s="607"/>
      <c r="FLM149" s="463"/>
      <c r="FLN149" s="454"/>
      <c r="FLO149" s="607"/>
      <c r="FLP149" s="607"/>
      <c r="FLQ149" s="607"/>
      <c r="FLR149" s="607"/>
      <c r="FLS149" s="607"/>
      <c r="FLT149" s="453"/>
      <c r="FLU149" s="289"/>
      <c r="FLV149" s="453"/>
      <c r="FLW149" s="453"/>
      <c r="FLX149" s="453"/>
      <c r="FLY149" s="453"/>
      <c r="FLZ149" s="453"/>
      <c r="FMA149" s="461"/>
      <c r="FMB149" s="461"/>
      <c r="FMC149" s="461"/>
      <c r="FMD149" s="609"/>
      <c r="FME149" s="607"/>
      <c r="FMF149" s="607"/>
      <c r="FMG149" s="607"/>
      <c r="FMH149" s="463"/>
      <c r="FMI149" s="454"/>
      <c r="FMJ149" s="607"/>
      <c r="FMK149" s="607"/>
      <c r="FML149" s="607"/>
      <c r="FMM149" s="607"/>
      <c r="FMN149" s="607"/>
      <c r="FMO149" s="453"/>
      <c r="FMP149" s="289"/>
      <c r="FMQ149" s="453"/>
      <c r="FMR149" s="453"/>
      <c r="FMS149" s="453"/>
      <c r="FMT149" s="453"/>
      <c r="FMU149" s="453"/>
      <c r="FMV149" s="461"/>
      <c r="FMW149" s="461"/>
      <c r="FMX149" s="461"/>
      <c r="FMY149" s="609"/>
      <c r="FMZ149" s="607"/>
      <c r="FNA149" s="607"/>
      <c r="FNB149" s="607"/>
      <c r="FNC149" s="463"/>
      <c r="FND149" s="454"/>
      <c r="FNE149" s="607"/>
      <c r="FNF149" s="607"/>
      <c r="FNG149" s="607"/>
      <c r="FNH149" s="607"/>
      <c r="FNI149" s="607"/>
      <c r="FNJ149" s="453"/>
      <c r="FNK149" s="289"/>
      <c r="FNL149" s="453"/>
      <c r="FNM149" s="453"/>
      <c r="FNN149" s="453"/>
      <c r="FNO149" s="453"/>
      <c r="FNP149" s="453"/>
      <c r="FNQ149" s="461"/>
      <c r="FNR149" s="461"/>
      <c r="FNS149" s="461"/>
      <c r="FNT149" s="609"/>
      <c r="FNU149" s="607"/>
      <c r="FNV149" s="607"/>
      <c r="FNW149" s="607"/>
      <c r="FNX149" s="463"/>
      <c r="FNY149" s="454"/>
      <c r="FNZ149" s="607"/>
      <c r="FOA149" s="607"/>
      <c r="FOB149" s="607"/>
      <c r="FOC149" s="607"/>
      <c r="FOD149" s="607"/>
      <c r="FOE149" s="453"/>
      <c r="FOF149" s="289"/>
      <c r="FOG149" s="453"/>
      <c r="FOH149" s="453"/>
      <c r="FOI149" s="453"/>
      <c r="FOJ149" s="453"/>
      <c r="FOK149" s="453"/>
      <c r="FOL149" s="461"/>
      <c r="FOM149" s="461"/>
      <c r="FON149" s="461"/>
      <c r="FOO149" s="609"/>
      <c r="FOP149" s="607"/>
      <c r="FOQ149" s="607"/>
      <c r="FOR149" s="607"/>
      <c r="FOS149" s="463"/>
      <c r="FOT149" s="454"/>
      <c r="FOU149" s="607"/>
      <c r="FOV149" s="607"/>
      <c r="FOW149" s="607"/>
      <c r="FOX149" s="607"/>
      <c r="FOY149" s="607"/>
      <c r="FOZ149" s="453"/>
      <c r="FPA149" s="289"/>
      <c r="FPB149" s="453"/>
      <c r="FPC149" s="453"/>
      <c r="FPD149" s="453"/>
      <c r="FPE149" s="453"/>
      <c r="FPF149" s="453"/>
      <c r="FPG149" s="461"/>
      <c r="FPH149" s="461"/>
      <c r="FPI149" s="461"/>
      <c r="FPJ149" s="609"/>
      <c r="FPK149" s="607"/>
      <c r="FPL149" s="607"/>
      <c r="FPM149" s="607"/>
      <c r="FPN149" s="463"/>
      <c r="FPO149" s="454"/>
      <c r="FPP149" s="607"/>
      <c r="FPQ149" s="607"/>
      <c r="FPR149" s="607"/>
      <c r="FPS149" s="607"/>
      <c r="FPT149" s="607"/>
      <c r="FPU149" s="453"/>
      <c r="FPV149" s="289"/>
      <c r="FPW149" s="453"/>
      <c r="FPX149" s="453"/>
      <c r="FPY149" s="453"/>
      <c r="FPZ149" s="453"/>
      <c r="FQA149" s="453"/>
      <c r="FQB149" s="461"/>
      <c r="FQC149" s="461"/>
      <c r="FQD149" s="461"/>
      <c r="FQE149" s="609"/>
      <c r="FQF149" s="607"/>
      <c r="FQG149" s="607"/>
      <c r="FQH149" s="607"/>
      <c r="FQI149" s="463"/>
      <c r="FQJ149" s="454"/>
      <c r="FQK149" s="607"/>
      <c r="FQL149" s="607"/>
      <c r="FQM149" s="607"/>
      <c r="FQN149" s="607"/>
      <c r="FQO149" s="607"/>
      <c r="FQP149" s="453"/>
      <c r="FQQ149" s="289"/>
      <c r="FQR149" s="453"/>
      <c r="FQS149" s="453"/>
      <c r="FQT149" s="453"/>
      <c r="FQU149" s="453"/>
      <c r="FQV149" s="453"/>
      <c r="FQW149" s="461"/>
      <c r="FQX149" s="461"/>
      <c r="FQY149" s="461"/>
      <c r="FQZ149" s="609"/>
      <c r="FRA149" s="607"/>
      <c r="FRB149" s="607"/>
      <c r="FRC149" s="607"/>
      <c r="FRD149" s="463"/>
      <c r="FRE149" s="454"/>
      <c r="FRF149" s="607"/>
      <c r="FRG149" s="607"/>
      <c r="FRH149" s="607"/>
      <c r="FRI149" s="607"/>
      <c r="FRJ149" s="607"/>
      <c r="FRK149" s="453"/>
      <c r="FRL149" s="289"/>
      <c r="FRM149" s="453"/>
      <c r="FRN149" s="453"/>
      <c r="FRO149" s="453"/>
      <c r="FRP149" s="453"/>
      <c r="FRQ149" s="453"/>
      <c r="FRR149" s="461"/>
      <c r="FRS149" s="461"/>
      <c r="FRT149" s="461"/>
      <c r="FRU149" s="609"/>
      <c r="FRV149" s="607"/>
      <c r="FRW149" s="607"/>
      <c r="FRX149" s="607"/>
      <c r="FRY149" s="463"/>
      <c r="FRZ149" s="454"/>
      <c r="FSA149" s="607"/>
      <c r="FSB149" s="607"/>
      <c r="FSC149" s="607"/>
      <c r="FSD149" s="607"/>
      <c r="FSE149" s="607"/>
      <c r="FSF149" s="453"/>
      <c r="FSG149" s="289"/>
      <c r="FSH149" s="453"/>
      <c r="FSI149" s="453"/>
      <c r="FSJ149" s="453"/>
      <c r="FSK149" s="453"/>
      <c r="FSL149" s="453"/>
      <c r="FSM149" s="461"/>
      <c r="FSN149" s="461"/>
      <c r="FSO149" s="461"/>
      <c r="FSP149" s="609"/>
      <c r="FSQ149" s="607"/>
      <c r="FSR149" s="607"/>
      <c r="FSS149" s="607"/>
      <c r="FST149" s="463"/>
      <c r="FSU149" s="454"/>
      <c r="FSV149" s="607"/>
      <c r="FSW149" s="607"/>
      <c r="FSX149" s="607"/>
      <c r="FSY149" s="607"/>
      <c r="FSZ149" s="607"/>
      <c r="FTA149" s="453"/>
      <c r="FTB149" s="289"/>
      <c r="FTC149" s="453"/>
      <c r="FTD149" s="453"/>
      <c r="FTE149" s="453"/>
      <c r="FTF149" s="453"/>
      <c r="FTG149" s="453"/>
      <c r="FTH149" s="461"/>
      <c r="FTI149" s="461"/>
      <c r="FTJ149" s="461"/>
      <c r="FTK149" s="609"/>
      <c r="FTL149" s="607"/>
      <c r="FTM149" s="607"/>
      <c r="FTN149" s="607"/>
      <c r="FTO149" s="463"/>
      <c r="FTP149" s="454"/>
      <c r="FTQ149" s="607"/>
      <c r="FTR149" s="607"/>
      <c r="FTS149" s="607"/>
      <c r="FTT149" s="607"/>
      <c r="FTU149" s="607"/>
      <c r="FTV149" s="453"/>
      <c r="FTW149" s="289"/>
      <c r="FTX149" s="453"/>
      <c r="FTY149" s="453"/>
      <c r="FTZ149" s="453"/>
      <c r="FUA149" s="453"/>
      <c r="FUB149" s="453"/>
      <c r="FUC149" s="461"/>
      <c r="FUD149" s="461"/>
      <c r="FUE149" s="461"/>
      <c r="FUF149" s="609"/>
      <c r="FUG149" s="607"/>
      <c r="FUH149" s="607"/>
      <c r="FUI149" s="607"/>
      <c r="FUJ149" s="463"/>
      <c r="FUK149" s="454"/>
      <c r="FUL149" s="607"/>
      <c r="FUM149" s="607"/>
      <c r="FUN149" s="607"/>
      <c r="FUO149" s="607"/>
      <c r="FUP149" s="607"/>
      <c r="FUQ149" s="453"/>
      <c r="FUR149" s="289"/>
      <c r="FUS149" s="453"/>
      <c r="FUT149" s="453"/>
      <c r="FUU149" s="453"/>
      <c r="FUV149" s="453"/>
      <c r="FUW149" s="453"/>
      <c r="FUX149" s="461"/>
      <c r="FUY149" s="461"/>
      <c r="FUZ149" s="461"/>
      <c r="FVA149" s="609"/>
      <c r="FVB149" s="607"/>
      <c r="FVC149" s="607"/>
      <c r="FVD149" s="607"/>
      <c r="FVE149" s="463"/>
      <c r="FVF149" s="454"/>
      <c r="FVG149" s="607"/>
      <c r="FVH149" s="607"/>
      <c r="FVI149" s="607"/>
      <c r="FVJ149" s="607"/>
      <c r="FVK149" s="607"/>
      <c r="FVL149" s="453"/>
      <c r="FVM149" s="289"/>
      <c r="FVN149" s="453"/>
      <c r="FVO149" s="453"/>
      <c r="FVP149" s="453"/>
      <c r="FVQ149" s="453"/>
      <c r="FVR149" s="453"/>
      <c r="FVS149" s="461"/>
      <c r="FVT149" s="461"/>
      <c r="FVU149" s="461"/>
      <c r="FVV149" s="609"/>
      <c r="FVW149" s="607"/>
      <c r="FVX149" s="607"/>
      <c r="FVY149" s="607"/>
      <c r="FVZ149" s="463"/>
      <c r="FWA149" s="454"/>
      <c r="FWB149" s="607"/>
      <c r="FWC149" s="607"/>
      <c r="FWD149" s="607"/>
      <c r="FWE149" s="607"/>
      <c r="FWF149" s="607"/>
      <c r="FWG149" s="453"/>
      <c r="FWH149" s="289"/>
      <c r="FWI149" s="453"/>
      <c r="FWJ149" s="453"/>
      <c r="FWK149" s="453"/>
      <c r="FWL149" s="453"/>
      <c r="FWM149" s="453"/>
      <c r="FWN149" s="461"/>
      <c r="FWO149" s="461"/>
      <c r="FWP149" s="461"/>
      <c r="FWQ149" s="609"/>
      <c r="FWR149" s="607"/>
      <c r="FWS149" s="607"/>
      <c r="FWT149" s="607"/>
      <c r="FWU149" s="463"/>
      <c r="FWV149" s="454"/>
      <c r="FWW149" s="607"/>
      <c r="FWX149" s="607"/>
      <c r="FWY149" s="607"/>
      <c r="FWZ149" s="607"/>
      <c r="FXA149" s="607"/>
      <c r="FXB149" s="453"/>
      <c r="FXC149" s="289"/>
      <c r="FXD149" s="453"/>
      <c r="FXE149" s="453"/>
      <c r="FXF149" s="453"/>
      <c r="FXG149" s="453"/>
      <c r="FXH149" s="453"/>
      <c r="FXI149" s="461"/>
      <c r="FXJ149" s="461"/>
      <c r="FXK149" s="461"/>
      <c r="FXL149" s="609"/>
      <c r="FXM149" s="607"/>
      <c r="FXN149" s="607"/>
      <c r="FXO149" s="607"/>
      <c r="FXP149" s="463"/>
      <c r="FXQ149" s="454"/>
      <c r="FXR149" s="607"/>
      <c r="FXS149" s="607"/>
      <c r="FXT149" s="607"/>
      <c r="FXU149" s="607"/>
      <c r="FXV149" s="607"/>
      <c r="FXW149" s="453"/>
      <c r="FXX149" s="289"/>
      <c r="FXY149" s="453"/>
      <c r="FXZ149" s="453"/>
      <c r="FYA149" s="453"/>
      <c r="FYB149" s="453"/>
      <c r="FYC149" s="453"/>
      <c r="FYD149" s="461"/>
      <c r="FYE149" s="461"/>
      <c r="FYF149" s="461"/>
      <c r="FYG149" s="609"/>
      <c r="FYH149" s="607"/>
      <c r="FYI149" s="607"/>
      <c r="FYJ149" s="607"/>
      <c r="FYK149" s="463"/>
      <c r="FYL149" s="454"/>
      <c r="FYM149" s="607"/>
      <c r="FYN149" s="607"/>
      <c r="FYO149" s="607"/>
      <c r="FYP149" s="607"/>
      <c r="FYQ149" s="607"/>
      <c r="FYR149" s="453"/>
      <c r="FYS149" s="289"/>
      <c r="FYT149" s="453"/>
      <c r="FYU149" s="453"/>
      <c r="FYV149" s="453"/>
      <c r="FYW149" s="453"/>
      <c r="FYX149" s="453"/>
      <c r="FYY149" s="461"/>
      <c r="FYZ149" s="461"/>
      <c r="FZA149" s="461"/>
      <c r="FZB149" s="609"/>
      <c r="FZC149" s="607"/>
      <c r="FZD149" s="607"/>
      <c r="FZE149" s="607"/>
      <c r="FZF149" s="463"/>
      <c r="FZG149" s="454"/>
      <c r="FZH149" s="607"/>
      <c r="FZI149" s="607"/>
      <c r="FZJ149" s="607"/>
      <c r="FZK149" s="607"/>
      <c r="FZL149" s="607"/>
      <c r="FZM149" s="453"/>
      <c r="FZN149" s="289"/>
      <c r="FZO149" s="453"/>
      <c r="FZP149" s="453"/>
      <c r="FZQ149" s="453"/>
      <c r="FZR149" s="453"/>
      <c r="FZS149" s="453"/>
      <c r="FZT149" s="461"/>
      <c r="FZU149" s="461"/>
      <c r="FZV149" s="461"/>
      <c r="FZW149" s="609"/>
      <c r="FZX149" s="607"/>
      <c r="FZY149" s="607"/>
      <c r="FZZ149" s="607"/>
      <c r="GAA149" s="463"/>
      <c r="GAB149" s="454"/>
      <c r="GAC149" s="607"/>
      <c r="GAD149" s="607"/>
      <c r="GAE149" s="607"/>
      <c r="GAF149" s="607"/>
      <c r="GAG149" s="607"/>
      <c r="GAH149" s="453"/>
      <c r="GAI149" s="289"/>
      <c r="GAJ149" s="453"/>
      <c r="GAK149" s="453"/>
      <c r="GAL149" s="453"/>
      <c r="GAM149" s="453"/>
      <c r="GAN149" s="453"/>
      <c r="GAO149" s="461"/>
      <c r="GAP149" s="461"/>
      <c r="GAQ149" s="461"/>
      <c r="GAR149" s="609"/>
      <c r="GAS149" s="607"/>
      <c r="GAT149" s="607"/>
      <c r="GAU149" s="607"/>
      <c r="GAV149" s="463"/>
      <c r="GAW149" s="454"/>
      <c r="GAX149" s="607"/>
      <c r="GAY149" s="607"/>
      <c r="GAZ149" s="607"/>
      <c r="GBA149" s="607"/>
      <c r="GBB149" s="607"/>
      <c r="GBC149" s="453"/>
      <c r="GBD149" s="289"/>
      <c r="GBE149" s="453"/>
      <c r="GBF149" s="453"/>
      <c r="GBG149" s="453"/>
      <c r="GBH149" s="453"/>
      <c r="GBI149" s="453"/>
      <c r="GBJ149" s="461"/>
      <c r="GBK149" s="461"/>
      <c r="GBL149" s="461"/>
      <c r="GBM149" s="609"/>
      <c r="GBN149" s="607"/>
      <c r="GBO149" s="607"/>
      <c r="GBP149" s="607"/>
      <c r="GBQ149" s="463"/>
      <c r="GBR149" s="454"/>
      <c r="GBS149" s="607"/>
      <c r="GBT149" s="607"/>
      <c r="GBU149" s="607"/>
      <c r="GBV149" s="607"/>
      <c r="GBW149" s="607"/>
      <c r="GBX149" s="453"/>
      <c r="GBY149" s="289"/>
      <c r="GBZ149" s="453"/>
      <c r="GCA149" s="453"/>
      <c r="GCB149" s="453"/>
      <c r="GCC149" s="453"/>
      <c r="GCD149" s="453"/>
      <c r="GCE149" s="461"/>
      <c r="GCF149" s="461"/>
      <c r="GCG149" s="461"/>
      <c r="GCH149" s="609"/>
      <c r="GCI149" s="607"/>
      <c r="GCJ149" s="607"/>
      <c r="GCK149" s="607"/>
      <c r="GCL149" s="463"/>
      <c r="GCM149" s="454"/>
      <c r="GCN149" s="607"/>
      <c r="GCO149" s="607"/>
      <c r="GCP149" s="607"/>
      <c r="GCQ149" s="607"/>
      <c r="GCR149" s="607"/>
      <c r="GCS149" s="453"/>
      <c r="GCT149" s="289"/>
      <c r="GCU149" s="453"/>
      <c r="GCV149" s="453"/>
      <c r="GCW149" s="453"/>
      <c r="GCX149" s="453"/>
      <c r="GCY149" s="453"/>
      <c r="GCZ149" s="461"/>
      <c r="GDA149" s="461"/>
      <c r="GDB149" s="461"/>
      <c r="GDC149" s="609"/>
      <c r="GDD149" s="607"/>
      <c r="GDE149" s="607"/>
      <c r="GDF149" s="607"/>
      <c r="GDG149" s="463"/>
      <c r="GDH149" s="454"/>
      <c r="GDI149" s="607"/>
      <c r="GDJ149" s="607"/>
      <c r="GDK149" s="607"/>
      <c r="GDL149" s="607"/>
      <c r="GDM149" s="607"/>
      <c r="GDN149" s="453"/>
      <c r="GDO149" s="289"/>
      <c r="GDP149" s="453"/>
      <c r="GDQ149" s="453"/>
      <c r="GDR149" s="453"/>
      <c r="GDS149" s="453"/>
      <c r="GDT149" s="453"/>
      <c r="GDU149" s="461"/>
      <c r="GDV149" s="461"/>
      <c r="GDW149" s="461"/>
      <c r="GDX149" s="609"/>
      <c r="GDY149" s="607"/>
      <c r="GDZ149" s="607"/>
      <c r="GEA149" s="607"/>
      <c r="GEB149" s="463"/>
      <c r="GEC149" s="454"/>
      <c r="GED149" s="607"/>
      <c r="GEE149" s="607"/>
      <c r="GEF149" s="607"/>
      <c r="GEG149" s="607"/>
      <c r="GEH149" s="607"/>
      <c r="GEI149" s="453"/>
      <c r="GEJ149" s="289"/>
      <c r="GEK149" s="453"/>
      <c r="GEL149" s="453"/>
      <c r="GEM149" s="453"/>
      <c r="GEN149" s="453"/>
      <c r="GEO149" s="453"/>
      <c r="GEP149" s="461"/>
      <c r="GEQ149" s="461"/>
      <c r="GER149" s="461"/>
      <c r="GES149" s="609"/>
      <c r="GET149" s="607"/>
      <c r="GEU149" s="607"/>
      <c r="GEV149" s="607"/>
      <c r="GEW149" s="463"/>
      <c r="GEX149" s="454"/>
      <c r="GEY149" s="607"/>
      <c r="GEZ149" s="607"/>
      <c r="GFA149" s="607"/>
      <c r="GFB149" s="607"/>
      <c r="GFC149" s="607"/>
      <c r="GFD149" s="453"/>
      <c r="GFE149" s="289"/>
      <c r="GFF149" s="453"/>
      <c r="GFG149" s="453"/>
      <c r="GFH149" s="453"/>
      <c r="GFI149" s="453"/>
      <c r="GFJ149" s="453"/>
      <c r="GFK149" s="461"/>
      <c r="GFL149" s="461"/>
      <c r="GFM149" s="461"/>
      <c r="GFN149" s="609"/>
      <c r="GFO149" s="607"/>
      <c r="GFP149" s="607"/>
      <c r="GFQ149" s="607"/>
      <c r="GFR149" s="463"/>
      <c r="GFS149" s="454"/>
      <c r="GFT149" s="607"/>
      <c r="GFU149" s="607"/>
      <c r="GFV149" s="607"/>
      <c r="GFW149" s="607"/>
      <c r="GFX149" s="607"/>
      <c r="GFY149" s="453"/>
      <c r="GFZ149" s="289"/>
      <c r="GGA149" s="453"/>
      <c r="GGB149" s="453"/>
      <c r="GGC149" s="453"/>
      <c r="GGD149" s="453"/>
      <c r="GGE149" s="453"/>
      <c r="GGF149" s="461"/>
      <c r="GGG149" s="461"/>
      <c r="GGH149" s="461"/>
      <c r="GGI149" s="609"/>
      <c r="GGJ149" s="607"/>
      <c r="GGK149" s="607"/>
      <c r="GGL149" s="607"/>
      <c r="GGM149" s="463"/>
      <c r="GGN149" s="454"/>
      <c r="GGO149" s="607"/>
      <c r="GGP149" s="607"/>
      <c r="GGQ149" s="607"/>
      <c r="GGR149" s="607"/>
      <c r="GGS149" s="607"/>
      <c r="GGT149" s="453"/>
      <c r="GGU149" s="289"/>
      <c r="GGV149" s="453"/>
      <c r="GGW149" s="453"/>
      <c r="GGX149" s="453"/>
      <c r="GGY149" s="453"/>
      <c r="GGZ149" s="453"/>
      <c r="GHA149" s="461"/>
      <c r="GHB149" s="461"/>
      <c r="GHC149" s="461"/>
      <c r="GHD149" s="609"/>
      <c r="GHE149" s="607"/>
      <c r="GHF149" s="607"/>
      <c r="GHG149" s="607"/>
      <c r="GHH149" s="463"/>
      <c r="GHI149" s="454"/>
      <c r="GHJ149" s="607"/>
      <c r="GHK149" s="607"/>
      <c r="GHL149" s="607"/>
      <c r="GHM149" s="607"/>
      <c r="GHN149" s="607"/>
      <c r="GHO149" s="453"/>
      <c r="GHP149" s="289"/>
      <c r="GHQ149" s="453"/>
      <c r="GHR149" s="453"/>
      <c r="GHS149" s="453"/>
      <c r="GHT149" s="453"/>
      <c r="GHU149" s="453"/>
      <c r="GHV149" s="461"/>
      <c r="GHW149" s="461"/>
      <c r="GHX149" s="461"/>
      <c r="GHY149" s="609"/>
      <c r="GHZ149" s="607"/>
      <c r="GIA149" s="607"/>
      <c r="GIB149" s="607"/>
      <c r="GIC149" s="463"/>
      <c r="GID149" s="454"/>
      <c r="GIE149" s="607"/>
      <c r="GIF149" s="607"/>
      <c r="GIG149" s="607"/>
      <c r="GIH149" s="607"/>
      <c r="GII149" s="607"/>
      <c r="GIJ149" s="453"/>
      <c r="GIK149" s="289"/>
      <c r="GIL149" s="453"/>
      <c r="GIM149" s="453"/>
      <c r="GIN149" s="453"/>
      <c r="GIO149" s="453"/>
      <c r="GIP149" s="453"/>
      <c r="GIQ149" s="461"/>
      <c r="GIR149" s="461"/>
      <c r="GIS149" s="461"/>
      <c r="GIT149" s="609"/>
      <c r="GIU149" s="607"/>
      <c r="GIV149" s="607"/>
      <c r="GIW149" s="607"/>
      <c r="GIX149" s="463"/>
      <c r="GIY149" s="454"/>
      <c r="GIZ149" s="607"/>
      <c r="GJA149" s="607"/>
      <c r="GJB149" s="607"/>
      <c r="GJC149" s="607"/>
      <c r="GJD149" s="607"/>
      <c r="GJE149" s="453"/>
      <c r="GJF149" s="289"/>
      <c r="GJG149" s="453"/>
      <c r="GJH149" s="453"/>
      <c r="GJI149" s="453"/>
      <c r="GJJ149" s="453"/>
      <c r="GJK149" s="453"/>
      <c r="GJL149" s="461"/>
      <c r="GJM149" s="461"/>
      <c r="GJN149" s="461"/>
      <c r="GJO149" s="609"/>
      <c r="GJP149" s="607"/>
      <c r="GJQ149" s="607"/>
      <c r="GJR149" s="607"/>
      <c r="GJS149" s="463"/>
      <c r="GJT149" s="454"/>
      <c r="GJU149" s="607"/>
      <c r="GJV149" s="607"/>
      <c r="GJW149" s="607"/>
      <c r="GJX149" s="607"/>
      <c r="GJY149" s="607"/>
      <c r="GJZ149" s="453"/>
      <c r="GKA149" s="289"/>
      <c r="GKB149" s="453"/>
      <c r="GKC149" s="453"/>
      <c r="GKD149" s="453"/>
      <c r="GKE149" s="453"/>
      <c r="GKF149" s="453"/>
      <c r="GKG149" s="461"/>
      <c r="GKH149" s="461"/>
      <c r="GKI149" s="461"/>
      <c r="GKJ149" s="609"/>
      <c r="GKK149" s="607"/>
      <c r="GKL149" s="607"/>
      <c r="GKM149" s="607"/>
      <c r="GKN149" s="463"/>
      <c r="GKO149" s="454"/>
      <c r="GKP149" s="607"/>
      <c r="GKQ149" s="607"/>
      <c r="GKR149" s="607"/>
      <c r="GKS149" s="607"/>
      <c r="GKT149" s="607"/>
      <c r="GKU149" s="453"/>
      <c r="GKV149" s="289"/>
      <c r="GKW149" s="453"/>
      <c r="GKX149" s="453"/>
      <c r="GKY149" s="453"/>
      <c r="GKZ149" s="453"/>
      <c r="GLA149" s="453"/>
      <c r="GLB149" s="461"/>
      <c r="GLC149" s="461"/>
      <c r="GLD149" s="461"/>
      <c r="GLE149" s="609"/>
      <c r="GLF149" s="607"/>
      <c r="GLG149" s="607"/>
      <c r="GLH149" s="607"/>
      <c r="GLI149" s="463"/>
      <c r="GLJ149" s="454"/>
      <c r="GLK149" s="607"/>
      <c r="GLL149" s="607"/>
      <c r="GLM149" s="607"/>
      <c r="GLN149" s="607"/>
      <c r="GLO149" s="607"/>
      <c r="GLP149" s="453"/>
      <c r="GLQ149" s="289"/>
      <c r="GLR149" s="453"/>
      <c r="GLS149" s="453"/>
      <c r="GLT149" s="453"/>
      <c r="GLU149" s="453"/>
      <c r="GLV149" s="453"/>
      <c r="GLW149" s="461"/>
      <c r="GLX149" s="461"/>
      <c r="GLY149" s="461"/>
      <c r="GLZ149" s="609"/>
      <c r="GMA149" s="607"/>
      <c r="GMB149" s="607"/>
      <c r="GMC149" s="607"/>
      <c r="GMD149" s="463"/>
      <c r="GME149" s="454"/>
      <c r="GMF149" s="607"/>
      <c r="GMG149" s="607"/>
      <c r="GMH149" s="607"/>
      <c r="GMI149" s="607"/>
      <c r="GMJ149" s="607"/>
      <c r="GMK149" s="453"/>
      <c r="GML149" s="289"/>
      <c r="GMM149" s="453"/>
      <c r="GMN149" s="453"/>
      <c r="GMO149" s="453"/>
      <c r="GMP149" s="453"/>
      <c r="GMQ149" s="453"/>
      <c r="GMR149" s="461"/>
      <c r="GMS149" s="461"/>
      <c r="GMT149" s="461"/>
      <c r="GMU149" s="609"/>
      <c r="GMV149" s="607"/>
      <c r="GMW149" s="607"/>
      <c r="GMX149" s="607"/>
      <c r="GMY149" s="463"/>
      <c r="GMZ149" s="454"/>
      <c r="GNA149" s="607"/>
      <c r="GNB149" s="607"/>
      <c r="GNC149" s="607"/>
      <c r="GND149" s="607"/>
      <c r="GNE149" s="607"/>
      <c r="GNF149" s="453"/>
      <c r="GNG149" s="289"/>
      <c r="GNH149" s="453"/>
      <c r="GNI149" s="453"/>
      <c r="GNJ149" s="453"/>
      <c r="GNK149" s="453"/>
      <c r="GNL149" s="453"/>
      <c r="GNM149" s="461"/>
      <c r="GNN149" s="461"/>
      <c r="GNO149" s="461"/>
      <c r="GNP149" s="609"/>
      <c r="GNQ149" s="607"/>
      <c r="GNR149" s="607"/>
      <c r="GNS149" s="607"/>
      <c r="GNT149" s="463"/>
      <c r="GNU149" s="454"/>
      <c r="GNV149" s="607"/>
      <c r="GNW149" s="607"/>
      <c r="GNX149" s="607"/>
      <c r="GNY149" s="607"/>
      <c r="GNZ149" s="607"/>
      <c r="GOA149" s="453"/>
      <c r="GOB149" s="289"/>
      <c r="GOC149" s="453"/>
      <c r="GOD149" s="453"/>
      <c r="GOE149" s="453"/>
      <c r="GOF149" s="453"/>
      <c r="GOG149" s="453"/>
      <c r="GOH149" s="461"/>
      <c r="GOI149" s="461"/>
      <c r="GOJ149" s="461"/>
      <c r="GOK149" s="609"/>
      <c r="GOL149" s="607"/>
      <c r="GOM149" s="607"/>
      <c r="GON149" s="607"/>
      <c r="GOO149" s="463"/>
      <c r="GOP149" s="454"/>
      <c r="GOQ149" s="607"/>
      <c r="GOR149" s="607"/>
      <c r="GOS149" s="607"/>
      <c r="GOT149" s="607"/>
      <c r="GOU149" s="607"/>
      <c r="GOV149" s="453"/>
      <c r="GOW149" s="289"/>
      <c r="GOX149" s="453"/>
      <c r="GOY149" s="453"/>
      <c r="GOZ149" s="453"/>
      <c r="GPA149" s="453"/>
      <c r="GPB149" s="453"/>
      <c r="GPC149" s="461"/>
      <c r="GPD149" s="461"/>
      <c r="GPE149" s="461"/>
      <c r="GPF149" s="609"/>
      <c r="GPG149" s="607"/>
      <c r="GPH149" s="607"/>
      <c r="GPI149" s="607"/>
      <c r="GPJ149" s="463"/>
      <c r="GPK149" s="454"/>
      <c r="GPL149" s="607"/>
      <c r="GPM149" s="607"/>
      <c r="GPN149" s="607"/>
      <c r="GPO149" s="607"/>
      <c r="GPP149" s="607"/>
      <c r="GPQ149" s="453"/>
      <c r="GPR149" s="289"/>
      <c r="GPS149" s="453"/>
      <c r="GPT149" s="453"/>
      <c r="GPU149" s="453"/>
      <c r="GPV149" s="453"/>
      <c r="GPW149" s="453"/>
      <c r="GPX149" s="461"/>
      <c r="GPY149" s="461"/>
      <c r="GPZ149" s="461"/>
      <c r="GQA149" s="609"/>
      <c r="GQB149" s="607"/>
      <c r="GQC149" s="607"/>
      <c r="GQD149" s="607"/>
      <c r="GQE149" s="463"/>
      <c r="GQF149" s="454"/>
      <c r="GQG149" s="607"/>
      <c r="GQH149" s="607"/>
      <c r="GQI149" s="607"/>
      <c r="GQJ149" s="607"/>
      <c r="GQK149" s="607"/>
      <c r="GQL149" s="453"/>
      <c r="GQM149" s="289"/>
      <c r="GQN149" s="453"/>
      <c r="GQO149" s="453"/>
      <c r="GQP149" s="453"/>
      <c r="GQQ149" s="453"/>
      <c r="GQR149" s="453"/>
      <c r="GQS149" s="461"/>
      <c r="GQT149" s="461"/>
      <c r="GQU149" s="461"/>
      <c r="GQV149" s="609"/>
      <c r="GQW149" s="607"/>
      <c r="GQX149" s="607"/>
      <c r="GQY149" s="607"/>
      <c r="GQZ149" s="463"/>
      <c r="GRA149" s="454"/>
      <c r="GRB149" s="607"/>
      <c r="GRC149" s="607"/>
      <c r="GRD149" s="607"/>
      <c r="GRE149" s="607"/>
      <c r="GRF149" s="607"/>
      <c r="GRG149" s="453"/>
      <c r="GRH149" s="289"/>
      <c r="GRI149" s="453"/>
      <c r="GRJ149" s="453"/>
      <c r="GRK149" s="453"/>
      <c r="GRL149" s="453"/>
      <c r="GRM149" s="453"/>
      <c r="GRN149" s="461"/>
      <c r="GRO149" s="461"/>
      <c r="GRP149" s="461"/>
      <c r="GRQ149" s="609"/>
      <c r="GRR149" s="607"/>
      <c r="GRS149" s="607"/>
      <c r="GRT149" s="607"/>
      <c r="GRU149" s="463"/>
      <c r="GRV149" s="454"/>
      <c r="GRW149" s="607"/>
      <c r="GRX149" s="607"/>
      <c r="GRY149" s="607"/>
      <c r="GRZ149" s="607"/>
      <c r="GSA149" s="607"/>
      <c r="GSB149" s="453"/>
      <c r="GSC149" s="289"/>
      <c r="GSD149" s="453"/>
      <c r="GSE149" s="453"/>
      <c r="GSF149" s="453"/>
      <c r="GSG149" s="453"/>
      <c r="GSH149" s="453"/>
      <c r="GSI149" s="461"/>
      <c r="GSJ149" s="461"/>
      <c r="GSK149" s="461"/>
      <c r="GSL149" s="609"/>
      <c r="GSM149" s="607"/>
      <c r="GSN149" s="607"/>
      <c r="GSO149" s="607"/>
      <c r="GSP149" s="463"/>
      <c r="GSQ149" s="454"/>
      <c r="GSR149" s="607"/>
      <c r="GSS149" s="607"/>
      <c r="GST149" s="607"/>
      <c r="GSU149" s="607"/>
      <c r="GSV149" s="607"/>
      <c r="GSW149" s="453"/>
      <c r="GSX149" s="289"/>
      <c r="GSY149" s="453"/>
      <c r="GSZ149" s="453"/>
      <c r="GTA149" s="453"/>
      <c r="GTB149" s="453"/>
      <c r="GTC149" s="453"/>
      <c r="GTD149" s="461"/>
      <c r="GTE149" s="461"/>
      <c r="GTF149" s="461"/>
      <c r="GTG149" s="609"/>
      <c r="GTH149" s="607"/>
      <c r="GTI149" s="607"/>
      <c r="GTJ149" s="607"/>
      <c r="GTK149" s="463"/>
      <c r="GTL149" s="454"/>
      <c r="GTM149" s="607"/>
      <c r="GTN149" s="607"/>
      <c r="GTO149" s="607"/>
      <c r="GTP149" s="607"/>
      <c r="GTQ149" s="607"/>
      <c r="GTR149" s="453"/>
      <c r="GTS149" s="289"/>
      <c r="GTT149" s="453"/>
      <c r="GTU149" s="453"/>
      <c r="GTV149" s="453"/>
      <c r="GTW149" s="453"/>
      <c r="GTX149" s="453"/>
      <c r="GTY149" s="461"/>
      <c r="GTZ149" s="461"/>
      <c r="GUA149" s="461"/>
      <c r="GUB149" s="609"/>
      <c r="GUC149" s="607"/>
      <c r="GUD149" s="607"/>
      <c r="GUE149" s="607"/>
      <c r="GUF149" s="463"/>
      <c r="GUG149" s="454"/>
      <c r="GUH149" s="607"/>
      <c r="GUI149" s="607"/>
      <c r="GUJ149" s="607"/>
      <c r="GUK149" s="607"/>
      <c r="GUL149" s="607"/>
      <c r="GUM149" s="453"/>
      <c r="GUN149" s="289"/>
      <c r="GUO149" s="453"/>
      <c r="GUP149" s="453"/>
      <c r="GUQ149" s="453"/>
      <c r="GUR149" s="453"/>
      <c r="GUS149" s="453"/>
      <c r="GUT149" s="461"/>
      <c r="GUU149" s="461"/>
      <c r="GUV149" s="461"/>
      <c r="GUW149" s="609"/>
      <c r="GUX149" s="607"/>
      <c r="GUY149" s="607"/>
      <c r="GUZ149" s="607"/>
      <c r="GVA149" s="463"/>
      <c r="GVB149" s="454"/>
      <c r="GVC149" s="607"/>
      <c r="GVD149" s="607"/>
      <c r="GVE149" s="607"/>
      <c r="GVF149" s="607"/>
      <c r="GVG149" s="607"/>
      <c r="GVH149" s="453"/>
      <c r="GVI149" s="289"/>
      <c r="GVJ149" s="453"/>
      <c r="GVK149" s="453"/>
      <c r="GVL149" s="453"/>
      <c r="GVM149" s="453"/>
      <c r="GVN149" s="453"/>
      <c r="GVO149" s="461"/>
      <c r="GVP149" s="461"/>
      <c r="GVQ149" s="461"/>
      <c r="GVR149" s="609"/>
      <c r="GVS149" s="607"/>
      <c r="GVT149" s="607"/>
      <c r="GVU149" s="607"/>
      <c r="GVV149" s="463"/>
      <c r="GVW149" s="454"/>
      <c r="GVX149" s="607"/>
      <c r="GVY149" s="607"/>
      <c r="GVZ149" s="607"/>
      <c r="GWA149" s="607"/>
      <c r="GWB149" s="607"/>
      <c r="GWC149" s="453"/>
      <c r="GWD149" s="289"/>
      <c r="GWE149" s="453"/>
      <c r="GWF149" s="453"/>
      <c r="GWG149" s="453"/>
      <c r="GWH149" s="453"/>
      <c r="GWI149" s="453"/>
      <c r="GWJ149" s="461"/>
      <c r="GWK149" s="461"/>
      <c r="GWL149" s="461"/>
      <c r="GWM149" s="609"/>
      <c r="GWN149" s="607"/>
      <c r="GWO149" s="607"/>
      <c r="GWP149" s="607"/>
      <c r="GWQ149" s="463"/>
      <c r="GWR149" s="454"/>
      <c r="GWS149" s="607"/>
      <c r="GWT149" s="607"/>
      <c r="GWU149" s="607"/>
      <c r="GWV149" s="607"/>
      <c r="GWW149" s="607"/>
      <c r="GWX149" s="453"/>
      <c r="GWY149" s="289"/>
      <c r="GWZ149" s="453"/>
      <c r="GXA149" s="453"/>
      <c r="GXB149" s="453"/>
      <c r="GXC149" s="453"/>
      <c r="GXD149" s="453"/>
      <c r="GXE149" s="461"/>
      <c r="GXF149" s="461"/>
      <c r="GXG149" s="461"/>
      <c r="GXH149" s="609"/>
      <c r="GXI149" s="607"/>
      <c r="GXJ149" s="607"/>
      <c r="GXK149" s="607"/>
      <c r="GXL149" s="463"/>
      <c r="GXM149" s="454"/>
      <c r="GXN149" s="607"/>
      <c r="GXO149" s="607"/>
      <c r="GXP149" s="607"/>
      <c r="GXQ149" s="607"/>
      <c r="GXR149" s="607"/>
      <c r="GXS149" s="453"/>
      <c r="GXT149" s="289"/>
      <c r="GXU149" s="453"/>
      <c r="GXV149" s="453"/>
      <c r="GXW149" s="453"/>
      <c r="GXX149" s="453"/>
      <c r="GXY149" s="453"/>
      <c r="GXZ149" s="461"/>
      <c r="GYA149" s="461"/>
      <c r="GYB149" s="461"/>
      <c r="GYC149" s="609"/>
      <c r="GYD149" s="607"/>
      <c r="GYE149" s="607"/>
      <c r="GYF149" s="607"/>
      <c r="GYG149" s="463"/>
      <c r="GYH149" s="454"/>
      <c r="GYI149" s="607"/>
      <c r="GYJ149" s="607"/>
      <c r="GYK149" s="607"/>
      <c r="GYL149" s="607"/>
      <c r="GYM149" s="607"/>
      <c r="GYN149" s="453"/>
      <c r="GYO149" s="289"/>
      <c r="GYP149" s="453"/>
      <c r="GYQ149" s="453"/>
      <c r="GYR149" s="453"/>
      <c r="GYS149" s="453"/>
      <c r="GYT149" s="453"/>
      <c r="GYU149" s="461"/>
      <c r="GYV149" s="461"/>
      <c r="GYW149" s="461"/>
      <c r="GYX149" s="609"/>
      <c r="GYY149" s="607"/>
      <c r="GYZ149" s="607"/>
      <c r="GZA149" s="607"/>
      <c r="GZB149" s="463"/>
      <c r="GZC149" s="454"/>
      <c r="GZD149" s="607"/>
      <c r="GZE149" s="607"/>
      <c r="GZF149" s="607"/>
      <c r="GZG149" s="607"/>
      <c r="GZH149" s="607"/>
      <c r="GZI149" s="453"/>
      <c r="GZJ149" s="289"/>
      <c r="GZK149" s="453"/>
      <c r="GZL149" s="453"/>
      <c r="GZM149" s="453"/>
      <c r="GZN149" s="453"/>
      <c r="GZO149" s="453"/>
      <c r="GZP149" s="461"/>
      <c r="GZQ149" s="461"/>
      <c r="GZR149" s="461"/>
      <c r="GZS149" s="609"/>
      <c r="GZT149" s="607"/>
      <c r="GZU149" s="607"/>
      <c r="GZV149" s="607"/>
      <c r="GZW149" s="463"/>
      <c r="GZX149" s="454"/>
      <c r="GZY149" s="607"/>
      <c r="GZZ149" s="607"/>
      <c r="HAA149" s="607"/>
      <c r="HAB149" s="607"/>
      <c r="HAC149" s="607"/>
      <c r="HAD149" s="453"/>
      <c r="HAE149" s="289"/>
      <c r="HAF149" s="453"/>
      <c r="HAG149" s="453"/>
      <c r="HAH149" s="453"/>
      <c r="HAI149" s="453"/>
      <c r="HAJ149" s="453"/>
      <c r="HAK149" s="461"/>
      <c r="HAL149" s="461"/>
      <c r="HAM149" s="461"/>
      <c r="HAN149" s="609"/>
      <c r="HAO149" s="607"/>
      <c r="HAP149" s="607"/>
      <c r="HAQ149" s="607"/>
      <c r="HAR149" s="463"/>
      <c r="HAS149" s="454"/>
      <c r="HAT149" s="607"/>
      <c r="HAU149" s="607"/>
      <c r="HAV149" s="607"/>
      <c r="HAW149" s="607"/>
      <c r="HAX149" s="607"/>
      <c r="HAY149" s="453"/>
      <c r="HAZ149" s="289"/>
      <c r="HBA149" s="453"/>
      <c r="HBB149" s="453"/>
      <c r="HBC149" s="453"/>
      <c r="HBD149" s="453"/>
      <c r="HBE149" s="453"/>
      <c r="HBF149" s="461"/>
      <c r="HBG149" s="461"/>
      <c r="HBH149" s="461"/>
      <c r="HBI149" s="609"/>
      <c r="HBJ149" s="607"/>
      <c r="HBK149" s="607"/>
      <c r="HBL149" s="607"/>
      <c r="HBM149" s="463"/>
      <c r="HBN149" s="454"/>
      <c r="HBO149" s="607"/>
      <c r="HBP149" s="607"/>
      <c r="HBQ149" s="607"/>
      <c r="HBR149" s="607"/>
      <c r="HBS149" s="607"/>
      <c r="HBT149" s="453"/>
      <c r="HBU149" s="289"/>
      <c r="HBV149" s="453"/>
      <c r="HBW149" s="453"/>
      <c r="HBX149" s="453"/>
      <c r="HBY149" s="453"/>
      <c r="HBZ149" s="453"/>
      <c r="HCA149" s="461"/>
      <c r="HCB149" s="461"/>
      <c r="HCC149" s="461"/>
      <c r="HCD149" s="609"/>
      <c r="HCE149" s="607"/>
      <c r="HCF149" s="607"/>
      <c r="HCG149" s="607"/>
      <c r="HCH149" s="463"/>
      <c r="HCI149" s="454"/>
      <c r="HCJ149" s="607"/>
      <c r="HCK149" s="607"/>
      <c r="HCL149" s="607"/>
      <c r="HCM149" s="607"/>
      <c r="HCN149" s="607"/>
      <c r="HCO149" s="453"/>
      <c r="HCP149" s="289"/>
      <c r="HCQ149" s="453"/>
      <c r="HCR149" s="453"/>
      <c r="HCS149" s="453"/>
      <c r="HCT149" s="453"/>
      <c r="HCU149" s="453"/>
      <c r="HCV149" s="461"/>
      <c r="HCW149" s="461"/>
      <c r="HCX149" s="461"/>
      <c r="HCY149" s="609"/>
      <c r="HCZ149" s="607"/>
      <c r="HDA149" s="607"/>
      <c r="HDB149" s="607"/>
      <c r="HDC149" s="463"/>
      <c r="HDD149" s="454"/>
      <c r="HDE149" s="607"/>
      <c r="HDF149" s="607"/>
      <c r="HDG149" s="607"/>
      <c r="HDH149" s="607"/>
      <c r="HDI149" s="607"/>
      <c r="HDJ149" s="453"/>
      <c r="HDK149" s="289"/>
      <c r="HDL149" s="453"/>
      <c r="HDM149" s="453"/>
      <c r="HDN149" s="453"/>
      <c r="HDO149" s="453"/>
      <c r="HDP149" s="453"/>
      <c r="HDQ149" s="461"/>
      <c r="HDR149" s="461"/>
      <c r="HDS149" s="461"/>
      <c r="HDT149" s="609"/>
      <c r="HDU149" s="607"/>
      <c r="HDV149" s="607"/>
      <c r="HDW149" s="607"/>
      <c r="HDX149" s="463"/>
      <c r="HDY149" s="454"/>
      <c r="HDZ149" s="607"/>
      <c r="HEA149" s="607"/>
      <c r="HEB149" s="607"/>
      <c r="HEC149" s="607"/>
      <c r="HED149" s="607"/>
      <c r="HEE149" s="453"/>
      <c r="HEF149" s="289"/>
      <c r="HEG149" s="453"/>
      <c r="HEH149" s="453"/>
      <c r="HEI149" s="453"/>
      <c r="HEJ149" s="453"/>
      <c r="HEK149" s="453"/>
      <c r="HEL149" s="461"/>
      <c r="HEM149" s="461"/>
      <c r="HEN149" s="461"/>
      <c r="HEO149" s="609"/>
      <c r="HEP149" s="607"/>
      <c r="HEQ149" s="607"/>
      <c r="HER149" s="607"/>
      <c r="HES149" s="463"/>
      <c r="HET149" s="454"/>
      <c r="HEU149" s="607"/>
      <c r="HEV149" s="607"/>
      <c r="HEW149" s="607"/>
      <c r="HEX149" s="607"/>
      <c r="HEY149" s="607"/>
      <c r="HEZ149" s="453"/>
      <c r="HFA149" s="289"/>
      <c r="HFB149" s="453"/>
      <c r="HFC149" s="453"/>
      <c r="HFD149" s="453"/>
      <c r="HFE149" s="453"/>
      <c r="HFF149" s="453"/>
      <c r="HFG149" s="461"/>
      <c r="HFH149" s="461"/>
      <c r="HFI149" s="461"/>
      <c r="HFJ149" s="609"/>
      <c r="HFK149" s="607"/>
      <c r="HFL149" s="607"/>
      <c r="HFM149" s="607"/>
      <c r="HFN149" s="463"/>
      <c r="HFO149" s="454"/>
      <c r="HFP149" s="607"/>
      <c r="HFQ149" s="607"/>
      <c r="HFR149" s="607"/>
      <c r="HFS149" s="607"/>
      <c r="HFT149" s="607"/>
      <c r="HFU149" s="453"/>
      <c r="HFV149" s="289"/>
      <c r="HFW149" s="453"/>
      <c r="HFX149" s="453"/>
      <c r="HFY149" s="453"/>
      <c r="HFZ149" s="453"/>
      <c r="HGA149" s="453"/>
      <c r="HGB149" s="461"/>
      <c r="HGC149" s="461"/>
      <c r="HGD149" s="461"/>
      <c r="HGE149" s="609"/>
      <c r="HGF149" s="607"/>
      <c r="HGG149" s="607"/>
      <c r="HGH149" s="607"/>
      <c r="HGI149" s="463"/>
      <c r="HGJ149" s="454"/>
      <c r="HGK149" s="607"/>
      <c r="HGL149" s="607"/>
      <c r="HGM149" s="607"/>
      <c r="HGN149" s="607"/>
      <c r="HGO149" s="607"/>
      <c r="HGP149" s="453"/>
      <c r="HGQ149" s="289"/>
      <c r="HGR149" s="453"/>
      <c r="HGS149" s="453"/>
      <c r="HGT149" s="453"/>
      <c r="HGU149" s="453"/>
      <c r="HGV149" s="453"/>
      <c r="HGW149" s="461"/>
      <c r="HGX149" s="461"/>
      <c r="HGY149" s="461"/>
      <c r="HGZ149" s="609"/>
      <c r="HHA149" s="607"/>
      <c r="HHB149" s="607"/>
      <c r="HHC149" s="607"/>
      <c r="HHD149" s="463"/>
      <c r="HHE149" s="454"/>
      <c r="HHF149" s="607"/>
      <c r="HHG149" s="607"/>
      <c r="HHH149" s="607"/>
      <c r="HHI149" s="607"/>
      <c r="HHJ149" s="607"/>
      <c r="HHK149" s="453"/>
      <c r="HHL149" s="289"/>
      <c r="HHM149" s="453"/>
      <c r="HHN149" s="453"/>
      <c r="HHO149" s="453"/>
      <c r="HHP149" s="453"/>
      <c r="HHQ149" s="453"/>
      <c r="HHR149" s="461"/>
      <c r="HHS149" s="461"/>
      <c r="HHT149" s="461"/>
      <c r="HHU149" s="609"/>
      <c r="HHV149" s="607"/>
      <c r="HHW149" s="607"/>
      <c r="HHX149" s="607"/>
      <c r="HHY149" s="463"/>
      <c r="HHZ149" s="454"/>
      <c r="HIA149" s="607"/>
      <c r="HIB149" s="607"/>
      <c r="HIC149" s="607"/>
      <c r="HID149" s="607"/>
      <c r="HIE149" s="607"/>
      <c r="HIF149" s="453"/>
      <c r="HIG149" s="289"/>
      <c r="HIH149" s="453"/>
      <c r="HII149" s="453"/>
      <c r="HIJ149" s="453"/>
      <c r="HIK149" s="453"/>
      <c r="HIL149" s="453"/>
      <c r="HIM149" s="461"/>
      <c r="HIN149" s="461"/>
      <c r="HIO149" s="461"/>
      <c r="HIP149" s="609"/>
      <c r="HIQ149" s="607"/>
      <c r="HIR149" s="607"/>
      <c r="HIS149" s="607"/>
      <c r="HIT149" s="463"/>
      <c r="HIU149" s="454"/>
      <c r="HIV149" s="607"/>
      <c r="HIW149" s="607"/>
      <c r="HIX149" s="607"/>
      <c r="HIY149" s="607"/>
      <c r="HIZ149" s="607"/>
      <c r="HJA149" s="453"/>
      <c r="HJB149" s="289"/>
      <c r="HJC149" s="453"/>
      <c r="HJD149" s="453"/>
      <c r="HJE149" s="453"/>
      <c r="HJF149" s="453"/>
      <c r="HJG149" s="453"/>
      <c r="HJH149" s="461"/>
      <c r="HJI149" s="461"/>
      <c r="HJJ149" s="461"/>
      <c r="HJK149" s="609"/>
      <c r="HJL149" s="607"/>
      <c r="HJM149" s="607"/>
      <c r="HJN149" s="607"/>
      <c r="HJO149" s="463"/>
      <c r="HJP149" s="454"/>
      <c r="HJQ149" s="607"/>
      <c r="HJR149" s="607"/>
      <c r="HJS149" s="607"/>
      <c r="HJT149" s="607"/>
      <c r="HJU149" s="607"/>
      <c r="HJV149" s="453"/>
      <c r="HJW149" s="289"/>
      <c r="HJX149" s="453"/>
      <c r="HJY149" s="453"/>
      <c r="HJZ149" s="453"/>
      <c r="HKA149" s="453"/>
      <c r="HKB149" s="453"/>
      <c r="HKC149" s="461"/>
      <c r="HKD149" s="461"/>
      <c r="HKE149" s="461"/>
      <c r="HKF149" s="609"/>
      <c r="HKG149" s="607"/>
      <c r="HKH149" s="607"/>
      <c r="HKI149" s="607"/>
      <c r="HKJ149" s="463"/>
      <c r="HKK149" s="454"/>
      <c r="HKL149" s="607"/>
      <c r="HKM149" s="607"/>
      <c r="HKN149" s="607"/>
      <c r="HKO149" s="607"/>
      <c r="HKP149" s="607"/>
      <c r="HKQ149" s="453"/>
      <c r="HKR149" s="289"/>
      <c r="HKS149" s="453"/>
      <c r="HKT149" s="453"/>
      <c r="HKU149" s="453"/>
      <c r="HKV149" s="453"/>
      <c r="HKW149" s="453"/>
      <c r="HKX149" s="461"/>
      <c r="HKY149" s="461"/>
      <c r="HKZ149" s="461"/>
      <c r="HLA149" s="609"/>
      <c r="HLB149" s="607"/>
      <c r="HLC149" s="607"/>
      <c r="HLD149" s="607"/>
      <c r="HLE149" s="463"/>
      <c r="HLF149" s="454"/>
      <c r="HLG149" s="607"/>
      <c r="HLH149" s="607"/>
      <c r="HLI149" s="607"/>
      <c r="HLJ149" s="607"/>
      <c r="HLK149" s="607"/>
      <c r="HLL149" s="453"/>
      <c r="HLM149" s="289"/>
      <c r="HLN149" s="453"/>
      <c r="HLO149" s="453"/>
      <c r="HLP149" s="453"/>
      <c r="HLQ149" s="453"/>
      <c r="HLR149" s="453"/>
      <c r="HLS149" s="461"/>
      <c r="HLT149" s="461"/>
      <c r="HLU149" s="461"/>
      <c r="HLV149" s="609"/>
      <c r="HLW149" s="607"/>
      <c r="HLX149" s="607"/>
      <c r="HLY149" s="607"/>
      <c r="HLZ149" s="463"/>
      <c r="HMA149" s="454"/>
      <c r="HMB149" s="607"/>
      <c r="HMC149" s="607"/>
      <c r="HMD149" s="607"/>
      <c r="HME149" s="607"/>
      <c r="HMF149" s="607"/>
      <c r="HMG149" s="453"/>
      <c r="HMH149" s="289"/>
      <c r="HMI149" s="453"/>
      <c r="HMJ149" s="453"/>
      <c r="HMK149" s="453"/>
      <c r="HML149" s="453"/>
      <c r="HMM149" s="453"/>
      <c r="HMN149" s="461"/>
      <c r="HMO149" s="461"/>
      <c r="HMP149" s="461"/>
      <c r="HMQ149" s="609"/>
      <c r="HMR149" s="607"/>
      <c r="HMS149" s="607"/>
      <c r="HMT149" s="607"/>
      <c r="HMU149" s="463"/>
      <c r="HMV149" s="454"/>
      <c r="HMW149" s="607"/>
      <c r="HMX149" s="607"/>
      <c r="HMY149" s="607"/>
      <c r="HMZ149" s="607"/>
      <c r="HNA149" s="607"/>
      <c r="HNB149" s="453"/>
      <c r="HNC149" s="289"/>
      <c r="HND149" s="453"/>
      <c r="HNE149" s="453"/>
      <c r="HNF149" s="453"/>
      <c r="HNG149" s="453"/>
      <c r="HNH149" s="453"/>
      <c r="HNI149" s="461"/>
      <c r="HNJ149" s="461"/>
      <c r="HNK149" s="461"/>
      <c r="HNL149" s="609"/>
      <c r="HNM149" s="607"/>
      <c r="HNN149" s="607"/>
      <c r="HNO149" s="607"/>
      <c r="HNP149" s="463"/>
      <c r="HNQ149" s="454"/>
      <c r="HNR149" s="607"/>
      <c r="HNS149" s="607"/>
      <c r="HNT149" s="607"/>
      <c r="HNU149" s="607"/>
      <c r="HNV149" s="607"/>
      <c r="HNW149" s="453"/>
      <c r="HNX149" s="289"/>
      <c r="HNY149" s="453"/>
      <c r="HNZ149" s="453"/>
      <c r="HOA149" s="453"/>
      <c r="HOB149" s="453"/>
      <c r="HOC149" s="453"/>
      <c r="HOD149" s="461"/>
      <c r="HOE149" s="461"/>
      <c r="HOF149" s="461"/>
      <c r="HOG149" s="609"/>
      <c r="HOH149" s="607"/>
      <c r="HOI149" s="607"/>
      <c r="HOJ149" s="607"/>
      <c r="HOK149" s="463"/>
      <c r="HOL149" s="454"/>
      <c r="HOM149" s="607"/>
      <c r="HON149" s="607"/>
      <c r="HOO149" s="607"/>
      <c r="HOP149" s="607"/>
      <c r="HOQ149" s="607"/>
      <c r="HOR149" s="453"/>
      <c r="HOS149" s="289"/>
      <c r="HOT149" s="453"/>
      <c r="HOU149" s="453"/>
      <c r="HOV149" s="453"/>
      <c r="HOW149" s="453"/>
      <c r="HOX149" s="453"/>
      <c r="HOY149" s="461"/>
      <c r="HOZ149" s="461"/>
      <c r="HPA149" s="461"/>
      <c r="HPB149" s="609"/>
      <c r="HPC149" s="607"/>
      <c r="HPD149" s="607"/>
      <c r="HPE149" s="607"/>
      <c r="HPF149" s="463"/>
      <c r="HPG149" s="454"/>
      <c r="HPH149" s="607"/>
      <c r="HPI149" s="607"/>
      <c r="HPJ149" s="607"/>
      <c r="HPK149" s="607"/>
      <c r="HPL149" s="607"/>
      <c r="HPM149" s="453"/>
      <c r="HPN149" s="289"/>
      <c r="HPO149" s="453"/>
      <c r="HPP149" s="453"/>
      <c r="HPQ149" s="453"/>
      <c r="HPR149" s="453"/>
      <c r="HPS149" s="453"/>
      <c r="HPT149" s="461"/>
      <c r="HPU149" s="461"/>
      <c r="HPV149" s="461"/>
      <c r="HPW149" s="609"/>
      <c r="HPX149" s="607"/>
      <c r="HPY149" s="607"/>
      <c r="HPZ149" s="607"/>
      <c r="HQA149" s="463"/>
      <c r="HQB149" s="454"/>
      <c r="HQC149" s="607"/>
      <c r="HQD149" s="607"/>
      <c r="HQE149" s="607"/>
      <c r="HQF149" s="607"/>
      <c r="HQG149" s="607"/>
      <c r="HQH149" s="453"/>
      <c r="HQI149" s="289"/>
      <c r="HQJ149" s="453"/>
      <c r="HQK149" s="453"/>
      <c r="HQL149" s="453"/>
      <c r="HQM149" s="453"/>
      <c r="HQN149" s="453"/>
      <c r="HQO149" s="461"/>
      <c r="HQP149" s="461"/>
      <c r="HQQ149" s="461"/>
      <c r="HQR149" s="609"/>
      <c r="HQS149" s="607"/>
      <c r="HQT149" s="607"/>
      <c r="HQU149" s="607"/>
      <c r="HQV149" s="463"/>
      <c r="HQW149" s="454"/>
      <c r="HQX149" s="607"/>
      <c r="HQY149" s="607"/>
      <c r="HQZ149" s="607"/>
      <c r="HRA149" s="607"/>
      <c r="HRB149" s="607"/>
      <c r="HRC149" s="453"/>
      <c r="HRD149" s="289"/>
      <c r="HRE149" s="453"/>
      <c r="HRF149" s="453"/>
      <c r="HRG149" s="453"/>
      <c r="HRH149" s="453"/>
      <c r="HRI149" s="453"/>
      <c r="HRJ149" s="461"/>
      <c r="HRK149" s="461"/>
      <c r="HRL149" s="461"/>
      <c r="HRM149" s="609"/>
      <c r="HRN149" s="607"/>
      <c r="HRO149" s="607"/>
      <c r="HRP149" s="607"/>
      <c r="HRQ149" s="463"/>
      <c r="HRR149" s="454"/>
      <c r="HRS149" s="607"/>
      <c r="HRT149" s="607"/>
      <c r="HRU149" s="607"/>
      <c r="HRV149" s="607"/>
      <c r="HRW149" s="607"/>
      <c r="HRX149" s="453"/>
      <c r="HRY149" s="289"/>
      <c r="HRZ149" s="453"/>
      <c r="HSA149" s="453"/>
      <c r="HSB149" s="453"/>
      <c r="HSC149" s="453"/>
      <c r="HSD149" s="453"/>
      <c r="HSE149" s="461"/>
      <c r="HSF149" s="461"/>
      <c r="HSG149" s="461"/>
      <c r="HSH149" s="609"/>
      <c r="HSI149" s="607"/>
      <c r="HSJ149" s="607"/>
      <c r="HSK149" s="607"/>
      <c r="HSL149" s="463"/>
      <c r="HSM149" s="454"/>
      <c r="HSN149" s="607"/>
      <c r="HSO149" s="607"/>
      <c r="HSP149" s="607"/>
      <c r="HSQ149" s="607"/>
      <c r="HSR149" s="607"/>
      <c r="HSS149" s="453"/>
      <c r="HST149" s="289"/>
      <c r="HSU149" s="453"/>
      <c r="HSV149" s="453"/>
      <c r="HSW149" s="453"/>
      <c r="HSX149" s="453"/>
      <c r="HSY149" s="453"/>
      <c r="HSZ149" s="461"/>
      <c r="HTA149" s="461"/>
      <c r="HTB149" s="461"/>
      <c r="HTC149" s="609"/>
      <c r="HTD149" s="607"/>
      <c r="HTE149" s="607"/>
      <c r="HTF149" s="607"/>
      <c r="HTG149" s="463"/>
      <c r="HTH149" s="454"/>
      <c r="HTI149" s="607"/>
      <c r="HTJ149" s="607"/>
      <c r="HTK149" s="607"/>
      <c r="HTL149" s="607"/>
      <c r="HTM149" s="607"/>
      <c r="HTN149" s="453"/>
      <c r="HTO149" s="289"/>
      <c r="HTP149" s="453"/>
      <c r="HTQ149" s="453"/>
      <c r="HTR149" s="453"/>
      <c r="HTS149" s="453"/>
      <c r="HTT149" s="453"/>
      <c r="HTU149" s="461"/>
      <c r="HTV149" s="461"/>
      <c r="HTW149" s="461"/>
      <c r="HTX149" s="609"/>
      <c r="HTY149" s="607"/>
      <c r="HTZ149" s="607"/>
      <c r="HUA149" s="607"/>
      <c r="HUB149" s="463"/>
      <c r="HUC149" s="454"/>
      <c r="HUD149" s="607"/>
      <c r="HUE149" s="607"/>
      <c r="HUF149" s="607"/>
      <c r="HUG149" s="607"/>
      <c r="HUH149" s="607"/>
      <c r="HUI149" s="453"/>
      <c r="HUJ149" s="289"/>
      <c r="HUK149" s="453"/>
      <c r="HUL149" s="453"/>
      <c r="HUM149" s="453"/>
      <c r="HUN149" s="453"/>
      <c r="HUO149" s="453"/>
      <c r="HUP149" s="461"/>
      <c r="HUQ149" s="461"/>
      <c r="HUR149" s="461"/>
      <c r="HUS149" s="609"/>
      <c r="HUT149" s="607"/>
      <c r="HUU149" s="607"/>
      <c r="HUV149" s="607"/>
      <c r="HUW149" s="463"/>
      <c r="HUX149" s="454"/>
      <c r="HUY149" s="607"/>
      <c r="HUZ149" s="607"/>
      <c r="HVA149" s="607"/>
      <c r="HVB149" s="607"/>
      <c r="HVC149" s="607"/>
      <c r="HVD149" s="453"/>
      <c r="HVE149" s="289"/>
      <c r="HVF149" s="453"/>
      <c r="HVG149" s="453"/>
      <c r="HVH149" s="453"/>
      <c r="HVI149" s="453"/>
      <c r="HVJ149" s="453"/>
      <c r="HVK149" s="461"/>
      <c r="HVL149" s="461"/>
      <c r="HVM149" s="461"/>
      <c r="HVN149" s="609"/>
      <c r="HVO149" s="607"/>
      <c r="HVP149" s="607"/>
      <c r="HVQ149" s="607"/>
      <c r="HVR149" s="463"/>
      <c r="HVS149" s="454"/>
      <c r="HVT149" s="607"/>
      <c r="HVU149" s="607"/>
      <c r="HVV149" s="607"/>
      <c r="HVW149" s="607"/>
      <c r="HVX149" s="607"/>
      <c r="HVY149" s="453"/>
      <c r="HVZ149" s="289"/>
      <c r="HWA149" s="453"/>
      <c r="HWB149" s="453"/>
      <c r="HWC149" s="453"/>
      <c r="HWD149" s="453"/>
      <c r="HWE149" s="453"/>
      <c r="HWF149" s="461"/>
      <c r="HWG149" s="461"/>
      <c r="HWH149" s="461"/>
      <c r="HWI149" s="609"/>
      <c r="HWJ149" s="607"/>
      <c r="HWK149" s="607"/>
      <c r="HWL149" s="607"/>
      <c r="HWM149" s="463"/>
      <c r="HWN149" s="454"/>
      <c r="HWO149" s="607"/>
      <c r="HWP149" s="607"/>
      <c r="HWQ149" s="607"/>
      <c r="HWR149" s="607"/>
      <c r="HWS149" s="607"/>
      <c r="HWT149" s="453"/>
      <c r="HWU149" s="289"/>
      <c r="HWV149" s="453"/>
      <c r="HWW149" s="453"/>
      <c r="HWX149" s="453"/>
      <c r="HWY149" s="453"/>
      <c r="HWZ149" s="453"/>
      <c r="HXA149" s="461"/>
      <c r="HXB149" s="461"/>
      <c r="HXC149" s="461"/>
      <c r="HXD149" s="609"/>
      <c r="HXE149" s="607"/>
      <c r="HXF149" s="607"/>
      <c r="HXG149" s="607"/>
      <c r="HXH149" s="463"/>
      <c r="HXI149" s="454"/>
      <c r="HXJ149" s="607"/>
      <c r="HXK149" s="607"/>
      <c r="HXL149" s="607"/>
      <c r="HXM149" s="607"/>
      <c r="HXN149" s="607"/>
      <c r="HXO149" s="453"/>
      <c r="HXP149" s="289"/>
      <c r="HXQ149" s="453"/>
      <c r="HXR149" s="453"/>
      <c r="HXS149" s="453"/>
      <c r="HXT149" s="453"/>
      <c r="HXU149" s="453"/>
      <c r="HXV149" s="461"/>
      <c r="HXW149" s="461"/>
      <c r="HXX149" s="461"/>
      <c r="HXY149" s="609"/>
      <c r="HXZ149" s="607"/>
      <c r="HYA149" s="607"/>
      <c r="HYB149" s="607"/>
      <c r="HYC149" s="463"/>
      <c r="HYD149" s="454"/>
      <c r="HYE149" s="607"/>
      <c r="HYF149" s="607"/>
      <c r="HYG149" s="607"/>
      <c r="HYH149" s="607"/>
      <c r="HYI149" s="607"/>
      <c r="HYJ149" s="453"/>
      <c r="HYK149" s="289"/>
      <c r="HYL149" s="453"/>
      <c r="HYM149" s="453"/>
      <c r="HYN149" s="453"/>
      <c r="HYO149" s="453"/>
      <c r="HYP149" s="453"/>
      <c r="HYQ149" s="461"/>
      <c r="HYR149" s="461"/>
      <c r="HYS149" s="461"/>
      <c r="HYT149" s="609"/>
      <c r="HYU149" s="607"/>
      <c r="HYV149" s="607"/>
      <c r="HYW149" s="607"/>
      <c r="HYX149" s="463"/>
      <c r="HYY149" s="454"/>
      <c r="HYZ149" s="607"/>
      <c r="HZA149" s="607"/>
      <c r="HZB149" s="607"/>
      <c r="HZC149" s="607"/>
      <c r="HZD149" s="607"/>
      <c r="HZE149" s="453"/>
      <c r="HZF149" s="289"/>
      <c r="HZG149" s="453"/>
      <c r="HZH149" s="453"/>
      <c r="HZI149" s="453"/>
      <c r="HZJ149" s="453"/>
      <c r="HZK149" s="453"/>
      <c r="HZL149" s="461"/>
      <c r="HZM149" s="461"/>
      <c r="HZN149" s="461"/>
      <c r="HZO149" s="609"/>
      <c r="HZP149" s="607"/>
      <c r="HZQ149" s="607"/>
      <c r="HZR149" s="607"/>
      <c r="HZS149" s="463"/>
      <c r="HZT149" s="454"/>
      <c r="HZU149" s="607"/>
      <c r="HZV149" s="607"/>
      <c r="HZW149" s="607"/>
      <c r="HZX149" s="607"/>
      <c r="HZY149" s="607"/>
      <c r="HZZ149" s="453"/>
      <c r="IAA149" s="289"/>
      <c r="IAB149" s="453"/>
      <c r="IAC149" s="453"/>
      <c r="IAD149" s="453"/>
      <c r="IAE149" s="453"/>
      <c r="IAF149" s="453"/>
      <c r="IAG149" s="461"/>
      <c r="IAH149" s="461"/>
      <c r="IAI149" s="461"/>
      <c r="IAJ149" s="609"/>
      <c r="IAK149" s="607"/>
      <c r="IAL149" s="607"/>
      <c r="IAM149" s="607"/>
      <c r="IAN149" s="463"/>
      <c r="IAO149" s="454"/>
      <c r="IAP149" s="607"/>
      <c r="IAQ149" s="607"/>
      <c r="IAR149" s="607"/>
      <c r="IAS149" s="607"/>
      <c r="IAT149" s="607"/>
      <c r="IAU149" s="453"/>
      <c r="IAV149" s="289"/>
      <c r="IAW149" s="453"/>
      <c r="IAX149" s="453"/>
      <c r="IAY149" s="453"/>
      <c r="IAZ149" s="453"/>
      <c r="IBA149" s="453"/>
      <c r="IBB149" s="461"/>
      <c r="IBC149" s="461"/>
      <c r="IBD149" s="461"/>
      <c r="IBE149" s="609"/>
      <c r="IBF149" s="607"/>
      <c r="IBG149" s="607"/>
      <c r="IBH149" s="607"/>
      <c r="IBI149" s="463"/>
      <c r="IBJ149" s="454"/>
      <c r="IBK149" s="607"/>
      <c r="IBL149" s="607"/>
      <c r="IBM149" s="607"/>
      <c r="IBN149" s="607"/>
      <c r="IBO149" s="607"/>
      <c r="IBP149" s="453"/>
      <c r="IBQ149" s="289"/>
      <c r="IBR149" s="453"/>
      <c r="IBS149" s="453"/>
      <c r="IBT149" s="453"/>
      <c r="IBU149" s="453"/>
      <c r="IBV149" s="453"/>
      <c r="IBW149" s="461"/>
      <c r="IBX149" s="461"/>
      <c r="IBY149" s="461"/>
      <c r="IBZ149" s="609"/>
      <c r="ICA149" s="607"/>
      <c r="ICB149" s="607"/>
      <c r="ICC149" s="607"/>
      <c r="ICD149" s="463"/>
      <c r="ICE149" s="454"/>
      <c r="ICF149" s="607"/>
      <c r="ICG149" s="607"/>
      <c r="ICH149" s="607"/>
      <c r="ICI149" s="607"/>
      <c r="ICJ149" s="607"/>
      <c r="ICK149" s="453"/>
      <c r="ICL149" s="289"/>
      <c r="ICM149" s="453"/>
      <c r="ICN149" s="453"/>
      <c r="ICO149" s="453"/>
      <c r="ICP149" s="453"/>
      <c r="ICQ149" s="453"/>
      <c r="ICR149" s="461"/>
      <c r="ICS149" s="461"/>
      <c r="ICT149" s="461"/>
      <c r="ICU149" s="609"/>
      <c r="ICV149" s="607"/>
      <c r="ICW149" s="607"/>
      <c r="ICX149" s="607"/>
      <c r="ICY149" s="463"/>
      <c r="ICZ149" s="454"/>
      <c r="IDA149" s="607"/>
      <c r="IDB149" s="607"/>
      <c r="IDC149" s="607"/>
      <c r="IDD149" s="607"/>
      <c r="IDE149" s="607"/>
      <c r="IDF149" s="453"/>
      <c r="IDG149" s="289"/>
      <c r="IDH149" s="453"/>
      <c r="IDI149" s="453"/>
      <c r="IDJ149" s="453"/>
      <c r="IDK149" s="453"/>
      <c r="IDL149" s="453"/>
      <c r="IDM149" s="461"/>
      <c r="IDN149" s="461"/>
      <c r="IDO149" s="461"/>
      <c r="IDP149" s="609"/>
      <c r="IDQ149" s="607"/>
      <c r="IDR149" s="607"/>
      <c r="IDS149" s="607"/>
      <c r="IDT149" s="463"/>
      <c r="IDU149" s="454"/>
      <c r="IDV149" s="607"/>
      <c r="IDW149" s="607"/>
      <c r="IDX149" s="607"/>
      <c r="IDY149" s="607"/>
      <c r="IDZ149" s="607"/>
      <c r="IEA149" s="453"/>
      <c r="IEB149" s="289"/>
      <c r="IEC149" s="453"/>
      <c r="IED149" s="453"/>
      <c r="IEE149" s="453"/>
      <c r="IEF149" s="453"/>
      <c r="IEG149" s="453"/>
      <c r="IEH149" s="461"/>
      <c r="IEI149" s="461"/>
      <c r="IEJ149" s="461"/>
      <c r="IEK149" s="609"/>
      <c r="IEL149" s="607"/>
      <c r="IEM149" s="607"/>
      <c r="IEN149" s="607"/>
      <c r="IEO149" s="463"/>
      <c r="IEP149" s="454"/>
      <c r="IEQ149" s="607"/>
      <c r="IER149" s="607"/>
      <c r="IES149" s="607"/>
      <c r="IET149" s="607"/>
      <c r="IEU149" s="607"/>
      <c r="IEV149" s="453"/>
      <c r="IEW149" s="289"/>
      <c r="IEX149" s="453"/>
      <c r="IEY149" s="453"/>
      <c r="IEZ149" s="453"/>
      <c r="IFA149" s="453"/>
      <c r="IFB149" s="453"/>
      <c r="IFC149" s="461"/>
      <c r="IFD149" s="461"/>
      <c r="IFE149" s="461"/>
      <c r="IFF149" s="609"/>
      <c r="IFG149" s="607"/>
      <c r="IFH149" s="607"/>
      <c r="IFI149" s="607"/>
      <c r="IFJ149" s="463"/>
      <c r="IFK149" s="454"/>
      <c r="IFL149" s="607"/>
      <c r="IFM149" s="607"/>
      <c r="IFN149" s="607"/>
      <c r="IFO149" s="607"/>
      <c r="IFP149" s="607"/>
      <c r="IFQ149" s="453"/>
      <c r="IFR149" s="289"/>
      <c r="IFS149" s="453"/>
      <c r="IFT149" s="453"/>
      <c r="IFU149" s="453"/>
      <c r="IFV149" s="453"/>
      <c r="IFW149" s="453"/>
      <c r="IFX149" s="461"/>
      <c r="IFY149" s="461"/>
      <c r="IFZ149" s="461"/>
      <c r="IGA149" s="609"/>
      <c r="IGB149" s="607"/>
      <c r="IGC149" s="607"/>
      <c r="IGD149" s="607"/>
      <c r="IGE149" s="463"/>
      <c r="IGF149" s="454"/>
      <c r="IGG149" s="607"/>
      <c r="IGH149" s="607"/>
      <c r="IGI149" s="607"/>
      <c r="IGJ149" s="607"/>
      <c r="IGK149" s="607"/>
      <c r="IGL149" s="453"/>
      <c r="IGM149" s="289"/>
      <c r="IGN149" s="453"/>
      <c r="IGO149" s="453"/>
      <c r="IGP149" s="453"/>
      <c r="IGQ149" s="453"/>
      <c r="IGR149" s="453"/>
      <c r="IGS149" s="461"/>
      <c r="IGT149" s="461"/>
      <c r="IGU149" s="461"/>
      <c r="IGV149" s="609"/>
      <c r="IGW149" s="607"/>
      <c r="IGX149" s="607"/>
      <c r="IGY149" s="607"/>
      <c r="IGZ149" s="463"/>
      <c r="IHA149" s="454"/>
      <c r="IHB149" s="607"/>
      <c r="IHC149" s="607"/>
      <c r="IHD149" s="607"/>
      <c r="IHE149" s="607"/>
      <c r="IHF149" s="607"/>
      <c r="IHG149" s="453"/>
      <c r="IHH149" s="289"/>
      <c r="IHI149" s="453"/>
      <c r="IHJ149" s="453"/>
      <c r="IHK149" s="453"/>
      <c r="IHL149" s="453"/>
      <c r="IHM149" s="453"/>
      <c r="IHN149" s="461"/>
      <c r="IHO149" s="461"/>
      <c r="IHP149" s="461"/>
      <c r="IHQ149" s="609"/>
      <c r="IHR149" s="607"/>
      <c r="IHS149" s="607"/>
      <c r="IHT149" s="607"/>
      <c r="IHU149" s="463"/>
      <c r="IHV149" s="454"/>
      <c r="IHW149" s="607"/>
      <c r="IHX149" s="607"/>
      <c r="IHY149" s="607"/>
      <c r="IHZ149" s="607"/>
      <c r="IIA149" s="607"/>
      <c r="IIB149" s="453"/>
      <c r="IIC149" s="289"/>
      <c r="IID149" s="453"/>
      <c r="IIE149" s="453"/>
      <c r="IIF149" s="453"/>
      <c r="IIG149" s="453"/>
      <c r="IIH149" s="453"/>
      <c r="III149" s="461"/>
      <c r="IIJ149" s="461"/>
      <c r="IIK149" s="461"/>
      <c r="IIL149" s="609"/>
      <c r="IIM149" s="607"/>
      <c r="IIN149" s="607"/>
      <c r="IIO149" s="607"/>
      <c r="IIP149" s="463"/>
      <c r="IIQ149" s="454"/>
      <c r="IIR149" s="607"/>
      <c r="IIS149" s="607"/>
      <c r="IIT149" s="607"/>
      <c r="IIU149" s="607"/>
      <c r="IIV149" s="607"/>
      <c r="IIW149" s="453"/>
      <c r="IIX149" s="289"/>
      <c r="IIY149" s="453"/>
      <c r="IIZ149" s="453"/>
      <c r="IJA149" s="453"/>
      <c r="IJB149" s="453"/>
      <c r="IJC149" s="453"/>
      <c r="IJD149" s="461"/>
      <c r="IJE149" s="461"/>
      <c r="IJF149" s="461"/>
      <c r="IJG149" s="609"/>
      <c r="IJH149" s="607"/>
      <c r="IJI149" s="607"/>
      <c r="IJJ149" s="607"/>
      <c r="IJK149" s="463"/>
      <c r="IJL149" s="454"/>
      <c r="IJM149" s="607"/>
      <c r="IJN149" s="607"/>
      <c r="IJO149" s="607"/>
      <c r="IJP149" s="607"/>
      <c r="IJQ149" s="607"/>
      <c r="IJR149" s="453"/>
      <c r="IJS149" s="289"/>
      <c r="IJT149" s="453"/>
      <c r="IJU149" s="453"/>
      <c r="IJV149" s="453"/>
      <c r="IJW149" s="453"/>
      <c r="IJX149" s="453"/>
      <c r="IJY149" s="461"/>
      <c r="IJZ149" s="461"/>
      <c r="IKA149" s="461"/>
      <c r="IKB149" s="609"/>
      <c r="IKC149" s="607"/>
      <c r="IKD149" s="607"/>
      <c r="IKE149" s="607"/>
      <c r="IKF149" s="463"/>
      <c r="IKG149" s="454"/>
      <c r="IKH149" s="607"/>
      <c r="IKI149" s="607"/>
      <c r="IKJ149" s="607"/>
      <c r="IKK149" s="607"/>
      <c r="IKL149" s="607"/>
      <c r="IKM149" s="453"/>
      <c r="IKN149" s="289"/>
      <c r="IKO149" s="453"/>
      <c r="IKP149" s="453"/>
      <c r="IKQ149" s="453"/>
      <c r="IKR149" s="453"/>
      <c r="IKS149" s="453"/>
      <c r="IKT149" s="461"/>
      <c r="IKU149" s="461"/>
      <c r="IKV149" s="461"/>
      <c r="IKW149" s="609"/>
      <c r="IKX149" s="607"/>
      <c r="IKY149" s="607"/>
      <c r="IKZ149" s="607"/>
      <c r="ILA149" s="463"/>
      <c r="ILB149" s="454"/>
      <c r="ILC149" s="607"/>
      <c r="ILD149" s="607"/>
      <c r="ILE149" s="607"/>
      <c r="ILF149" s="607"/>
      <c r="ILG149" s="607"/>
      <c r="ILH149" s="453"/>
      <c r="ILI149" s="289"/>
      <c r="ILJ149" s="453"/>
      <c r="ILK149" s="453"/>
      <c r="ILL149" s="453"/>
      <c r="ILM149" s="453"/>
      <c r="ILN149" s="453"/>
      <c r="ILO149" s="461"/>
      <c r="ILP149" s="461"/>
      <c r="ILQ149" s="461"/>
      <c r="ILR149" s="609"/>
      <c r="ILS149" s="607"/>
      <c r="ILT149" s="607"/>
      <c r="ILU149" s="607"/>
      <c r="ILV149" s="463"/>
      <c r="ILW149" s="454"/>
      <c r="ILX149" s="607"/>
      <c r="ILY149" s="607"/>
      <c r="ILZ149" s="607"/>
      <c r="IMA149" s="607"/>
      <c r="IMB149" s="607"/>
      <c r="IMC149" s="453"/>
      <c r="IMD149" s="289"/>
      <c r="IME149" s="453"/>
      <c r="IMF149" s="453"/>
      <c r="IMG149" s="453"/>
      <c r="IMH149" s="453"/>
      <c r="IMI149" s="453"/>
      <c r="IMJ149" s="461"/>
      <c r="IMK149" s="461"/>
      <c r="IML149" s="461"/>
      <c r="IMM149" s="609"/>
      <c r="IMN149" s="607"/>
      <c r="IMO149" s="607"/>
      <c r="IMP149" s="607"/>
      <c r="IMQ149" s="463"/>
      <c r="IMR149" s="454"/>
      <c r="IMS149" s="607"/>
      <c r="IMT149" s="607"/>
      <c r="IMU149" s="607"/>
      <c r="IMV149" s="607"/>
      <c r="IMW149" s="607"/>
      <c r="IMX149" s="453"/>
      <c r="IMY149" s="289"/>
      <c r="IMZ149" s="453"/>
      <c r="INA149" s="453"/>
      <c r="INB149" s="453"/>
      <c r="INC149" s="453"/>
      <c r="IND149" s="453"/>
      <c r="INE149" s="461"/>
      <c r="INF149" s="461"/>
      <c r="ING149" s="461"/>
      <c r="INH149" s="609"/>
      <c r="INI149" s="607"/>
      <c r="INJ149" s="607"/>
      <c r="INK149" s="607"/>
      <c r="INL149" s="463"/>
      <c r="INM149" s="454"/>
      <c r="INN149" s="607"/>
      <c r="INO149" s="607"/>
      <c r="INP149" s="607"/>
      <c r="INQ149" s="607"/>
      <c r="INR149" s="607"/>
      <c r="INS149" s="453"/>
      <c r="INT149" s="289"/>
      <c r="INU149" s="453"/>
      <c r="INV149" s="453"/>
      <c r="INW149" s="453"/>
      <c r="INX149" s="453"/>
      <c r="INY149" s="453"/>
      <c r="INZ149" s="461"/>
      <c r="IOA149" s="461"/>
      <c r="IOB149" s="461"/>
      <c r="IOC149" s="609"/>
      <c r="IOD149" s="607"/>
      <c r="IOE149" s="607"/>
      <c r="IOF149" s="607"/>
      <c r="IOG149" s="463"/>
      <c r="IOH149" s="454"/>
      <c r="IOI149" s="607"/>
      <c r="IOJ149" s="607"/>
      <c r="IOK149" s="607"/>
      <c r="IOL149" s="607"/>
      <c r="IOM149" s="607"/>
      <c r="ION149" s="453"/>
      <c r="IOO149" s="289"/>
      <c r="IOP149" s="453"/>
      <c r="IOQ149" s="453"/>
      <c r="IOR149" s="453"/>
      <c r="IOS149" s="453"/>
      <c r="IOT149" s="453"/>
      <c r="IOU149" s="461"/>
      <c r="IOV149" s="461"/>
      <c r="IOW149" s="461"/>
      <c r="IOX149" s="609"/>
      <c r="IOY149" s="607"/>
      <c r="IOZ149" s="607"/>
      <c r="IPA149" s="607"/>
      <c r="IPB149" s="463"/>
      <c r="IPC149" s="454"/>
      <c r="IPD149" s="607"/>
      <c r="IPE149" s="607"/>
      <c r="IPF149" s="607"/>
      <c r="IPG149" s="607"/>
      <c r="IPH149" s="607"/>
      <c r="IPI149" s="453"/>
      <c r="IPJ149" s="289"/>
      <c r="IPK149" s="453"/>
      <c r="IPL149" s="453"/>
      <c r="IPM149" s="453"/>
      <c r="IPN149" s="453"/>
      <c r="IPO149" s="453"/>
      <c r="IPP149" s="461"/>
      <c r="IPQ149" s="461"/>
      <c r="IPR149" s="461"/>
      <c r="IPS149" s="609"/>
      <c r="IPT149" s="607"/>
      <c r="IPU149" s="607"/>
      <c r="IPV149" s="607"/>
      <c r="IPW149" s="463"/>
      <c r="IPX149" s="454"/>
      <c r="IPY149" s="607"/>
      <c r="IPZ149" s="607"/>
      <c r="IQA149" s="607"/>
      <c r="IQB149" s="607"/>
      <c r="IQC149" s="607"/>
      <c r="IQD149" s="453"/>
      <c r="IQE149" s="289"/>
      <c r="IQF149" s="453"/>
      <c r="IQG149" s="453"/>
      <c r="IQH149" s="453"/>
      <c r="IQI149" s="453"/>
      <c r="IQJ149" s="453"/>
      <c r="IQK149" s="461"/>
      <c r="IQL149" s="461"/>
      <c r="IQM149" s="461"/>
      <c r="IQN149" s="609"/>
      <c r="IQO149" s="607"/>
      <c r="IQP149" s="607"/>
      <c r="IQQ149" s="607"/>
      <c r="IQR149" s="463"/>
      <c r="IQS149" s="454"/>
      <c r="IQT149" s="607"/>
      <c r="IQU149" s="607"/>
      <c r="IQV149" s="607"/>
      <c r="IQW149" s="607"/>
      <c r="IQX149" s="607"/>
      <c r="IQY149" s="453"/>
      <c r="IQZ149" s="289"/>
      <c r="IRA149" s="453"/>
      <c r="IRB149" s="453"/>
      <c r="IRC149" s="453"/>
      <c r="IRD149" s="453"/>
      <c r="IRE149" s="453"/>
      <c r="IRF149" s="461"/>
      <c r="IRG149" s="461"/>
      <c r="IRH149" s="461"/>
      <c r="IRI149" s="609"/>
      <c r="IRJ149" s="607"/>
      <c r="IRK149" s="607"/>
      <c r="IRL149" s="607"/>
      <c r="IRM149" s="463"/>
      <c r="IRN149" s="454"/>
      <c r="IRO149" s="607"/>
      <c r="IRP149" s="607"/>
      <c r="IRQ149" s="607"/>
      <c r="IRR149" s="607"/>
      <c r="IRS149" s="607"/>
      <c r="IRT149" s="453"/>
      <c r="IRU149" s="289"/>
      <c r="IRV149" s="453"/>
      <c r="IRW149" s="453"/>
      <c r="IRX149" s="453"/>
      <c r="IRY149" s="453"/>
      <c r="IRZ149" s="453"/>
      <c r="ISA149" s="461"/>
      <c r="ISB149" s="461"/>
      <c r="ISC149" s="461"/>
      <c r="ISD149" s="609"/>
      <c r="ISE149" s="607"/>
      <c r="ISF149" s="607"/>
      <c r="ISG149" s="607"/>
      <c r="ISH149" s="463"/>
      <c r="ISI149" s="454"/>
      <c r="ISJ149" s="607"/>
      <c r="ISK149" s="607"/>
      <c r="ISL149" s="607"/>
      <c r="ISM149" s="607"/>
      <c r="ISN149" s="607"/>
      <c r="ISO149" s="453"/>
      <c r="ISP149" s="289"/>
      <c r="ISQ149" s="453"/>
      <c r="ISR149" s="453"/>
      <c r="ISS149" s="453"/>
      <c r="IST149" s="453"/>
      <c r="ISU149" s="453"/>
      <c r="ISV149" s="461"/>
      <c r="ISW149" s="461"/>
      <c r="ISX149" s="461"/>
      <c r="ISY149" s="609"/>
      <c r="ISZ149" s="607"/>
      <c r="ITA149" s="607"/>
      <c r="ITB149" s="607"/>
      <c r="ITC149" s="463"/>
      <c r="ITD149" s="454"/>
      <c r="ITE149" s="607"/>
      <c r="ITF149" s="607"/>
      <c r="ITG149" s="607"/>
      <c r="ITH149" s="607"/>
      <c r="ITI149" s="607"/>
      <c r="ITJ149" s="453"/>
      <c r="ITK149" s="289"/>
      <c r="ITL149" s="453"/>
      <c r="ITM149" s="453"/>
      <c r="ITN149" s="453"/>
      <c r="ITO149" s="453"/>
      <c r="ITP149" s="453"/>
      <c r="ITQ149" s="461"/>
      <c r="ITR149" s="461"/>
      <c r="ITS149" s="461"/>
      <c r="ITT149" s="609"/>
      <c r="ITU149" s="607"/>
      <c r="ITV149" s="607"/>
      <c r="ITW149" s="607"/>
      <c r="ITX149" s="463"/>
      <c r="ITY149" s="454"/>
      <c r="ITZ149" s="607"/>
      <c r="IUA149" s="607"/>
      <c r="IUB149" s="607"/>
      <c r="IUC149" s="607"/>
      <c r="IUD149" s="607"/>
      <c r="IUE149" s="453"/>
      <c r="IUF149" s="289"/>
      <c r="IUG149" s="453"/>
      <c r="IUH149" s="453"/>
      <c r="IUI149" s="453"/>
      <c r="IUJ149" s="453"/>
      <c r="IUK149" s="453"/>
      <c r="IUL149" s="461"/>
      <c r="IUM149" s="461"/>
      <c r="IUN149" s="461"/>
      <c r="IUO149" s="609"/>
      <c r="IUP149" s="607"/>
      <c r="IUQ149" s="607"/>
      <c r="IUR149" s="607"/>
      <c r="IUS149" s="463"/>
      <c r="IUT149" s="454"/>
      <c r="IUU149" s="607"/>
      <c r="IUV149" s="607"/>
      <c r="IUW149" s="607"/>
      <c r="IUX149" s="607"/>
      <c r="IUY149" s="607"/>
      <c r="IUZ149" s="453"/>
      <c r="IVA149" s="289"/>
      <c r="IVB149" s="453"/>
      <c r="IVC149" s="453"/>
      <c r="IVD149" s="453"/>
      <c r="IVE149" s="453"/>
      <c r="IVF149" s="453"/>
      <c r="IVG149" s="461"/>
      <c r="IVH149" s="461"/>
      <c r="IVI149" s="461"/>
      <c r="IVJ149" s="609"/>
      <c r="IVK149" s="607"/>
      <c r="IVL149" s="607"/>
      <c r="IVM149" s="607"/>
      <c r="IVN149" s="463"/>
      <c r="IVO149" s="454"/>
      <c r="IVP149" s="607"/>
      <c r="IVQ149" s="607"/>
      <c r="IVR149" s="607"/>
      <c r="IVS149" s="607"/>
      <c r="IVT149" s="607"/>
      <c r="IVU149" s="453"/>
      <c r="IVV149" s="289"/>
      <c r="IVW149" s="453"/>
      <c r="IVX149" s="453"/>
      <c r="IVY149" s="453"/>
      <c r="IVZ149" s="453"/>
      <c r="IWA149" s="453"/>
      <c r="IWB149" s="461"/>
      <c r="IWC149" s="461"/>
      <c r="IWD149" s="461"/>
      <c r="IWE149" s="609"/>
      <c r="IWF149" s="607"/>
      <c r="IWG149" s="607"/>
      <c r="IWH149" s="607"/>
      <c r="IWI149" s="463"/>
      <c r="IWJ149" s="454"/>
      <c r="IWK149" s="607"/>
      <c r="IWL149" s="607"/>
      <c r="IWM149" s="607"/>
      <c r="IWN149" s="607"/>
      <c r="IWO149" s="607"/>
      <c r="IWP149" s="453"/>
      <c r="IWQ149" s="289"/>
      <c r="IWR149" s="453"/>
      <c r="IWS149" s="453"/>
      <c r="IWT149" s="453"/>
      <c r="IWU149" s="453"/>
      <c r="IWV149" s="453"/>
      <c r="IWW149" s="461"/>
      <c r="IWX149" s="461"/>
      <c r="IWY149" s="461"/>
      <c r="IWZ149" s="609"/>
      <c r="IXA149" s="607"/>
      <c r="IXB149" s="607"/>
      <c r="IXC149" s="607"/>
      <c r="IXD149" s="463"/>
      <c r="IXE149" s="454"/>
      <c r="IXF149" s="607"/>
      <c r="IXG149" s="607"/>
      <c r="IXH149" s="607"/>
      <c r="IXI149" s="607"/>
      <c r="IXJ149" s="607"/>
      <c r="IXK149" s="453"/>
      <c r="IXL149" s="289"/>
      <c r="IXM149" s="453"/>
      <c r="IXN149" s="453"/>
      <c r="IXO149" s="453"/>
      <c r="IXP149" s="453"/>
      <c r="IXQ149" s="453"/>
      <c r="IXR149" s="461"/>
      <c r="IXS149" s="461"/>
      <c r="IXT149" s="461"/>
      <c r="IXU149" s="609"/>
      <c r="IXV149" s="607"/>
      <c r="IXW149" s="607"/>
      <c r="IXX149" s="607"/>
      <c r="IXY149" s="463"/>
      <c r="IXZ149" s="454"/>
      <c r="IYA149" s="607"/>
      <c r="IYB149" s="607"/>
      <c r="IYC149" s="607"/>
      <c r="IYD149" s="607"/>
      <c r="IYE149" s="607"/>
      <c r="IYF149" s="453"/>
      <c r="IYG149" s="289"/>
      <c r="IYH149" s="453"/>
      <c r="IYI149" s="453"/>
      <c r="IYJ149" s="453"/>
      <c r="IYK149" s="453"/>
      <c r="IYL149" s="453"/>
      <c r="IYM149" s="461"/>
      <c r="IYN149" s="461"/>
      <c r="IYO149" s="461"/>
      <c r="IYP149" s="609"/>
      <c r="IYQ149" s="607"/>
      <c r="IYR149" s="607"/>
      <c r="IYS149" s="607"/>
      <c r="IYT149" s="463"/>
      <c r="IYU149" s="454"/>
      <c r="IYV149" s="607"/>
      <c r="IYW149" s="607"/>
      <c r="IYX149" s="607"/>
      <c r="IYY149" s="607"/>
      <c r="IYZ149" s="607"/>
      <c r="IZA149" s="453"/>
      <c r="IZB149" s="289"/>
      <c r="IZC149" s="453"/>
      <c r="IZD149" s="453"/>
      <c r="IZE149" s="453"/>
      <c r="IZF149" s="453"/>
      <c r="IZG149" s="453"/>
      <c r="IZH149" s="461"/>
      <c r="IZI149" s="461"/>
      <c r="IZJ149" s="461"/>
      <c r="IZK149" s="609"/>
      <c r="IZL149" s="607"/>
      <c r="IZM149" s="607"/>
      <c r="IZN149" s="607"/>
      <c r="IZO149" s="463"/>
      <c r="IZP149" s="454"/>
      <c r="IZQ149" s="607"/>
      <c r="IZR149" s="607"/>
      <c r="IZS149" s="607"/>
      <c r="IZT149" s="607"/>
      <c r="IZU149" s="607"/>
      <c r="IZV149" s="453"/>
      <c r="IZW149" s="289"/>
      <c r="IZX149" s="453"/>
      <c r="IZY149" s="453"/>
      <c r="IZZ149" s="453"/>
      <c r="JAA149" s="453"/>
      <c r="JAB149" s="453"/>
      <c r="JAC149" s="461"/>
      <c r="JAD149" s="461"/>
      <c r="JAE149" s="461"/>
      <c r="JAF149" s="609"/>
      <c r="JAG149" s="607"/>
      <c r="JAH149" s="607"/>
      <c r="JAI149" s="607"/>
      <c r="JAJ149" s="463"/>
      <c r="JAK149" s="454"/>
      <c r="JAL149" s="607"/>
      <c r="JAM149" s="607"/>
      <c r="JAN149" s="607"/>
      <c r="JAO149" s="607"/>
      <c r="JAP149" s="607"/>
      <c r="JAQ149" s="453"/>
      <c r="JAR149" s="289"/>
      <c r="JAS149" s="453"/>
      <c r="JAT149" s="453"/>
      <c r="JAU149" s="453"/>
      <c r="JAV149" s="453"/>
      <c r="JAW149" s="453"/>
      <c r="JAX149" s="461"/>
      <c r="JAY149" s="461"/>
      <c r="JAZ149" s="461"/>
      <c r="JBA149" s="609"/>
      <c r="JBB149" s="607"/>
      <c r="JBC149" s="607"/>
      <c r="JBD149" s="607"/>
      <c r="JBE149" s="463"/>
      <c r="JBF149" s="454"/>
      <c r="JBG149" s="607"/>
      <c r="JBH149" s="607"/>
      <c r="JBI149" s="607"/>
      <c r="JBJ149" s="607"/>
      <c r="JBK149" s="607"/>
      <c r="JBL149" s="453"/>
      <c r="JBM149" s="289"/>
      <c r="JBN149" s="453"/>
      <c r="JBO149" s="453"/>
      <c r="JBP149" s="453"/>
      <c r="JBQ149" s="453"/>
      <c r="JBR149" s="453"/>
      <c r="JBS149" s="461"/>
      <c r="JBT149" s="461"/>
      <c r="JBU149" s="461"/>
      <c r="JBV149" s="609"/>
      <c r="JBW149" s="607"/>
      <c r="JBX149" s="607"/>
      <c r="JBY149" s="607"/>
      <c r="JBZ149" s="463"/>
      <c r="JCA149" s="454"/>
      <c r="JCB149" s="607"/>
      <c r="JCC149" s="607"/>
      <c r="JCD149" s="607"/>
      <c r="JCE149" s="607"/>
      <c r="JCF149" s="607"/>
      <c r="JCG149" s="453"/>
      <c r="JCH149" s="289"/>
      <c r="JCI149" s="453"/>
      <c r="JCJ149" s="453"/>
      <c r="JCK149" s="453"/>
      <c r="JCL149" s="453"/>
      <c r="JCM149" s="453"/>
      <c r="JCN149" s="461"/>
      <c r="JCO149" s="461"/>
      <c r="JCP149" s="461"/>
      <c r="JCQ149" s="609"/>
      <c r="JCR149" s="607"/>
      <c r="JCS149" s="607"/>
      <c r="JCT149" s="607"/>
      <c r="JCU149" s="463"/>
      <c r="JCV149" s="454"/>
      <c r="JCW149" s="607"/>
      <c r="JCX149" s="607"/>
      <c r="JCY149" s="607"/>
      <c r="JCZ149" s="607"/>
      <c r="JDA149" s="607"/>
      <c r="JDB149" s="453"/>
      <c r="JDC149" s="289"/>
      <c r="JDD149" s="453"/>
      <c r="JDE149" s="453"/>
      <c r="JDF149" s="453"/>
      <c r="JDG149" s="453"/>
      <c r="JDH149" s="453"/>
      <c r="JDI149" s="461"/>
      <c r="JDJ149" s="461"/>
      <c r="JDK149" s="461"/>
      <c r="JDL149" s="609"/>
      <c r="JDM149" s="607"/>
      <c r="JDN149" s="607"/>
      <c r="JDO149" s="607"/>
      <c r="JDP149" s="463"/>
      <c r="JDQ149" s="454"/>
      <c r="JDR149" s="607"/>
      <c r="JDS149" s="607"/>
      <c r="JDT149" s="607"/>
      <c r="JDU149" s="607"/>
      <c r="JDV149" s="607"/>
      <c r="JDW149" s="453"/>
      <c r="JDX149" s="289"/>
      <c r="JDY149" s="453"/>
      <c r="JDZ149" s="453"/>
      <c r="JEA149" s="453"/>
      <c r="JEB149" s="453"/>
      <c r="JEC149" s="453"/>
      <c r="JED149" s="461"/>
      <c r="JEE149" s="461"/>
      <c r="JEF149" s="461"/>
      <c r="JEG149" s="609"/>
      <c r="JEH149" s="607"/>
      <c r="JEI149" s="607"/>
      <c r="JEJ149" s="607"/>
      <c r="JEK149" s="463"/>
      <c r="JEL149" s="454"/>
      <c r="JEM149" s="607"/>
      <c r="JEN149" s="607"/>
      <c r="JEO149" s="607"/>
      <c r="JEP149" s="607"/>
      <c r="JEQ149" s="607"/>
      <c r="JER149" s="453"/>
      <c r="JES149" s="289"/>
      <c r="JET149" s="453"/>
      <c r="JEU149" s="453"/>
      <c r="JEV149" s="453"/>
      <c r="JEW149" s="453"/>
      <c r="JEX149" s="453"/>
      <c r="JEY149" s="461"/>
      <c r="JEZ149" s="461"/>
      <c r="JFA149" s="461"/>
      <c r="JFB149" s="609"/>
      <c r="JFC149" s="607"/>
      <c r="JFD149" s="607"/>
      <c r="JFE149" s="607"/>
      <c r="JFF149" s="463"/>
      <c r="JFG149" s="454"/>
      <c r="JFH149" s="607"/>
      <c r="JFI149" s="607"/>
      <c r="JFJ149" s="607"/>
      <c r="JFK149" s="607"/>
      <c r="JFL149" s="607"/>
      <c r="JFM149" s="453"/>
      <c r="JFN149" s="289"/>
      <c r="JFO149" s="453"/>
      <c r="JFP149" s="453"/>
      <c r="JFQ149" s="453"/>
      <c r="JFR149" s="453"/>
      <c r="JFS149" s="453"/>
      <c r="JFT149" s="461"/>
      <c r="JFU149" s="461"/>
      <c r="JFV149" s="461"/>
      <c r="JFW149" s="609"/>
      <c r="JFX149" s="607"/>
      <c r="JFY149" s="607"/>
      <c r="JFZ149" s="607"/>
      <c r="JGA149" s="463"/>
      <c r="JGB149" s="454"/>
      <c r="JGC149" s="607"/>
      <c r="JGD149" s="607"/>
      <c r="JGE149" s="607"/>
      <c r="JGF149" s="607"/>
      <c r="JGG149" s="607"/>
      <c r="JGH149" s="453"/>
      <c r="JGI149" s="289"/>
      <c r="JGJ149" s="453"/>
      <c r="JGK149" s="453"/>
      <c r="JGL149" s="453"/>
      <c r="JGM149" s="453"/>
      <c r="JGN149" s="453"/>
      <c r="JGO149" s="461"/>
      <c r="JGP149" s="461"/>
      <c r="JGQ149" s="461"/>
      <c r="JGR149" s="609"/>
      <c r="JGS149" s="607"/>
      <c r="JGT149" s="607"/>
      <c r="JGU149" s="607"/>
      <c r="JGV149" s="463"/>
      <c r="JGW149" s="454"/>
      <c r="JGX149" s="607"/>
      <c r="JGY149" s="607"/>
      <c r="JGZ149" s="607"/>
      <c r="JHA149" s="607"/>
      <c r="JHB149" s="607"/>
      <c r="JHC149" s="453"/>
      <c r="JHD149" s="289"/>
      <c r="JHE149" s="453"/>
      <c r="JHF149" s="453"/>
      <c r="JHG149" s="453"/>
      <c r="JHH149" s="453"/>
      <c r="JHI149" s="453"/>
      <c r="JHJ149" s="461"/>
      <c r="JHK149" s="461"/>
      <c r="JHL149" s="461"/>
      <c r="JHM149" s="609"/>
      <c r="JHN149" s="607"/>
      <c r="JHO149" s="607"/>
      <c r="JHP149" s="607"/>
      <c r="JHQ149" s="463"/>
      <c r="JHR149" s="454"/>
      <c r="JHS149" s="607"/>
      <c r="JHT149" s="607"/>
      <c r="JHU149" s="607"/>
      <c r="JHV149" s="607"/>
      <c r="JHW149" s="607"/>
      <c r="JHX149" s="453"/>
      <c r="JHY149" s="289"/>
      <c r="JHZ149" s="453"/>
      <c r="JIA149" s="453"/>
      <c r="JIB149" s="453"/>
      <c r="JIC149" s="453"/>
      <c r="JID149" s="453"/>
      <c r="JIE149" s="461"/>
      <c r="JIF149" s="461"/>
      <c r="JIG149" s="461"/>
      <c r="JIH149" s="609"/>
      <c r="JII149" s="607"/>
      <c r="JIJ149" s="607"/>
      <c r="JIK149" s="607"/>
      <c r="JIL149" s="463"/>
      <c r="JIM149" s="454"/>
      <c r="JIN149" s="607"/>
      <c r="JIO149" s="607"/>
      <c r="JIP149" s="607"/>
      <c r="JIQ149" s="607"/>
      <c r="JIR149" s="607"/>
      <c r="JIS149" s="453"/>
      <c r="JIT149" s="289"/>
      <c r="JIU149" s="453"/>
      <c r="JIV149" s="453"/>
      <c r="JIW149" s="453"/>
      <c r="JIX149" s="453"/>
      <c r="JIY149" s="453"/>
      <c r="JIZ149" s="461"/>
      <c r="JJA149" s="461"/>
      <c r="JJB149" s="461"/>
      <c r="JJC149" s="609"/>
      <c r="JJD149" s="607"/>
      <c r="JJE149" s="607"/>
      <c r="JJF149" s="607"/>
      <c r="JJG149" s="463"/>
      <c r="JJH149" s="454"/>
      <c r="JJI149" s="607"/>
      <c r="JJJ149" s="607"/>
      <c r="JJK149" s="607"/>
      <c r="JJL149" s="607"/>
      <c r="JJM149" s="607"/>
      <c r="JJN149" s="453"/>
      <c r="JJO149" s="289"/>
      <c r="JJP149" s="453"/>
      <c r="JJQ149" s="453"/>
      <c r="JJR149" s="453"/>
      <c r="JJS149" s="453"/>
      <c r="JJT149" s="453"/>
      <c r="JJU149" s="461"/>
      <c r="JJV149" s="461"/>
      <c r="JJW149" s="461"/>
      <c r="JJX149" s="609"/>
      <c r="JJY149" s="607"/>
      <c r="JJZ149" s="607"/>
      <c r="JKA149" s="607"/>
      <c r="JKB149" s="463"/>
      <c r="JKC149" s="454"/>
      <c r="JKD149" s="607"/>
      <c r="JKE149" s="607"/>
      <c r="JKF149" s="607"/>
      <c r="JKG149" s="607"/>
      <c r="JKH149" s="607"/>
      <c r="JKI149" s="453"/>
      <c r="JKJ149" s="289"/>
      <c r="JKK149" s="453"/>
      <c r="JKL149" s="453"/>
      <c r="JKM149" s="453"/>
      <c r="JKN149" s="453"/>
      <c r="JKO149" s="453"/>
      <c r="JKP149" s="461"/>
      <c r="JKQ149" s="461"/>
      <c r="JKR149" s="461"/>
      <c r="JKS149" s="609"/>
      <c r="JKT149" s="607"/>
      <c r="JKU149" s="607"/>
      <c r="JKV149" s="607"/>
      <c r="JKW149" s="463"/>
      <c r="JKX149" s="454"/>
      <c r="JKY149" s="607"/>
      <c r="JKZ149" s="607"/>
      <c r="JLA149" s="607"/>
      <c r="JLB149" s="607"/>
      <c r="JLC149" s="607"/>
      <c r="JLD149" s="453"/>
      <c r="JLE149" s="289"/>
      <c r="JLF149" s="453"/>
      <c r="JLG149" s="453"/>
      <c r="JLH149" s="453"/>
      <c r="JLI149" s="453"/>
      <c r="JLJ149" s="453"/>
      <c r="JLK149" s="461"/>
      <c r="JLL149" s="461"/>
      <c r="JLM149" s="461"/>
      <c r="JLN149" s="609"/>
      <c r="JLO149" s="607"/>
      <c r="JLP149" s="607"/>
      <c r="JLQ149" s="607"/>
      <c r="JLR149" s="463"/>
      <c r="JLS149" s="454"/>
      <c r="JLT149" s="607"/>
      <c r="JLU149" s="607"/>
      <c r="JLV149" s="607"/>
      <c r="JLW149" s="607"/>
      <c r="JLX149" s="607"/>
      <c r="JLY149" s="453"/>
      <c r="JLZ149" s="289"/>
      <c r="JMA149" s="453"/>
      <c r="JMB149" s="453"/>
      <c r="JMC149" s="453"/>
      <c r="JMD149" s="453"/>
      <c r="JME149" s="453"/>
      <c r="JMF149" s="461"/>
      <c r="JMG149" s="461"/>
      <c r="JMH149" s="461"/>
      <c r="JMI149" s="609"/>
      <c r="JMJ149" s="607"/>
      <c r="JMK149" s="607"/>
      <c r="JML149" s="607"/>
      <c r="JMM149" s="463"/>
      <c r="JMN149" s="454"/>
      <c r="JMO149" s="607"/>
      <c r="JMP149" s="607"/>
      <c r="JMQ149" s="607"/>
      <c r="JMR149" s="607"/>
      <c r="JMS149" s="607"/>
      <c r="JMT149" s="453"/>
      <c r="JMU149" s="289"/>
      <c r="JMV149" s="453"/>
      <c r="JMW149" s="453"/>
      <c r="JMX149" s="453"/>
      <c r="JMY149" s="453"/>
      <c r="JMZ149" s="453"/>
      <c r="JNA149" s="461"/>
      <c r="JNB149" s="461"/>
      <c r="JNC149" s="461"/>
      <c r="JND149" s="609"/>
      <c r="JNE149" s="607"/>
      <c r="JNF149" s="607"/>
      <c r="JNG149" s="607"/>
      <c r="JNH149" s="463"/>
      <c r="JNI149" s="454"/>
      <c r="JNJ149" s="607"/>
      <c r="JNK149" s="607"/>
      <c r="JNL149" s="607"/>
      <c r="JNM149" s="607"/>
      <c r="JNN149" s="607"/>
      <c r="JNO149" s="453"/>
      <c r="JNP149" s="289"/>
      <c r="JNQ149" s="453"/>
      <c r="JNR149" s="453"/>
      <c r="JNS149" s="453"/>
      <c r="JNT149" s="453"/>
      <c r="JNU149" s="453"/>
      <c r="JNV149" s="461"/>
      <c r="JNW149" s="461"/>
      <c r="JNX149" s="461"/>
      <c r="JNY149" s="609"/>
      <c r="JNZ149" s="607"/>
      <c r="JOA149" s="607"/>
      <c r="JOB149" s="607"/>
      <c r="JOC149" s="463"/>
      <c r="JOD149" s="454"/>
      <c r="JOE149" s="607"/>
      <c r="JOF149" s="607"/>
      <c r="JOG149" s="607"/>
      <c r="JOH149" s="607"/>
      <c r="JOI149" s="607"/>
      <c r="JOJ149" s="453"/>
      <c r="JOK149" s="289"/>
      <c r="JOL149" s="453"/>
      <c r="JOM149" s="453"/>
      <c r="JON149" s="453"/>
      <c r="JOO149" s="453"/>
      <c r="JOP149" s="453"/>
      <c r="JOQ149" s="461"/>
      <c r="JOR149" s="461"/>
      <c r="JOS149" s="461"/>
      <c r="JOT149" s="609"/>
      <c r="JOU149" s="607"/>
      <c r="JOV149" s="607"/>
      <c r="JOW149" s="607"/>
      <c r="JOX149" s="463"/>
      <c r="JOY149" s="454"/>
      <c r="JOZ149" s="607"/>
      <c r="JPA149" s="607"/>
      <c r="JPB149" s="607"/>
      <c r="JPC149" s="607"/>
      <c r="JPD149" s="607"/>
      <c r="JPE149" s="453"/>
      <c r="JPF149" s="289"/>
      <c r="JPG149" s="453"/>
      <c r="JPH149" s="453"/>
      <c r="JPI149" s="453"/>
      <c r="JPJ149" s="453"/>
      <c r="JPK149" s="453"/>
      <c r="JPL149" s="461"/>
      <c r="JPM149" s="461"/>
      <c r="JPN149" s="461"/>
      <c r="JPO149" s="609"/>
      <c r="JPP149" s="607"/>
      <c r="JPQ149" s="607"/>
      <c r="JPR149" s="607"/>
      <c r="JPS149" s="463"/>
      <c r="JPT149" s="454"/>
      <c r="JPU149" s="607"/>
      <c r="JPV149" s="607"/>
      <c r="JPW149" s="607"/>
      <c r="JPX149" s="607"/>
      <c r="JPY149" s="607"/>
      <c r="JPZ149" s="453"/>
      <c r="JQA149" s="289"/>
      <c r="JQB149" s="453"/>
      <c r="JQC149" s="453"/>
      <c r="JQD149" s="453"/>
      <c r="JQE149" s="453"/>
      <c r="JQF149" s="453"/>
      <c r="JQG149" s="461"/>
      <c r="JQH149" s="461"/>
      <c r="JQI149" s="461"/>
      <c r="JQJ149" s="609"/>
      <c r="JQK149" s="607"/>
      <c r="JQL149" s="607"/>
      <c r="JQM149" s="607"/>
      <c r="JQN149" s="463"/>
      <c r="JQO149" s="454"/>
      <c r="JQP149" s="607"/>
      <c r="JQQ149" s="607"/>
      <c r="JQR149" s="607"/>
      <c r="JQS149" s="607"/>
      <c r="JQT149" s="607"/>
      <c r="JQU149" s="453"/>
      <c r="JQV149" s="289"/>
      <c r="JQW149" s="453"/>
      <c r="JQX149" s="453"/>
      <c r="JQY149" s="453"/>
      <c r="JQZ149" s="453"/>
      <c r="JRA149" s="453"/>
      <c r="JRB149" s="461"/>
      <c r="JRC149" s="461"/>
      <c r="JRD149" s="461"/>
      <c r="JRE149" s="609"/>
      <c r="JRF149" s="607"/>
      <c r="JRG149" s="607"/>
      <c r="JRH149" s="607"/>
      <c r="JRI149" s="463"/>
      <c r="JRJ149" s="454"/>
      <c r="JRK149" s="607"/>
      <c r="JRL149" s="607"/>
      <c r="JRM149" s="607"/>
      <c r="JRN149" s="607"/>
      <c r="JRO149" s="607"/>
      <c r="JRP149" s="453"/>
      <c r="JRQ149" s="289"/>
      <c r="JRR149" s="453"/>
      <c r="JRS149" s="453"/>
      <c r="JRT149" s="453"/>
      <c r="JRU149" s="453"/>
      <c r="JRV149" s="453"/>
      <c r="JRW149" s="461"/>
      <c r="JRX149" s="461"/>
      <c r="JRY149" s="461"/>
      <c r="JRZ149" s="609"/>
      <c r="JSA149" s="607"/>
      <c r="JSB149" s="607"/>
      <c r="JSC149" s="607"/>
      <c r="JSD149" s="463"/>
      <c r="JSE149" s="454"/>
      <c r="JSF149" s="607"/>
      <c r="JSG149" s="607"/>
      <c r="JSH149" s="607"/>
      <c r="JSI149" s="607"/>
      <c r="JSJ149" s="607"/>
      <c r="JSK149" s="453"/>
      <c r="JSL149" s="289"/>
      <c r="JSM149" s="453"/>
      <c r="JSN149" s="453"/>
      <c r="JSO149" s="453"/>
      <c r="JSP149" s="453"/>
      <c r="JSQ149" s="453"/>
      <c r="JSR149" s="461"/>
      <c r="JSS149" s="461"/>
      <c r="JST149" s="461"/>
      <c r="JSU149" s="609"/>
      <c r="JSV149" s="607"/>
      <c r="JSW149" s="607"/>
      <c r="JSX149" s="607"/>
      <c r="JSY149" s="463"/>
      <c r="JSZ149" s="454"/>
      <c r="JTA149" s="607"/>
      <c r="JTB149" s="607"/>
      <c r="JTC149" s="607"/>
      <c r="JTD149" s="607"/>
      <c r="JTE149" s="607"/>
      <c r="JTF149" s="453"/>
      <c r="JTG149" s="289"/>
      <c r="JTH149" s="453"/>
      <c r="JTI149" s="453"/>
      <c r="JTJ149" s="453"/>
      <c r="JTK149" s="453"/>
      <c r="JTL149" s="453"/>
      <c r="JTM149" s="461"/>
      <c r="JTN149" s="461"/>
      <c r="JTO149" s="461"/>
      <c r="JTP149" s="609"/>
      <c r="JTQ149" s="607"/>
      <c r="JTR149" s="607"/>
      <c r="JTS149" s="607"/>
      <c r="JTT149" s="463"/>
      <c r="JTU149" s="454"/>
      <c r="JTV149" s="607"/>
      <c r="JTW149" s="607"/>
      <c r="JTX149" s="607"/>
      <c r="JTY149" s="607"/>
      <c r="JTZ149" s="607"/>
      <c r="JUA149" s="453"/>
      <c r="JUB149" s="289"/>
      <c r="JUC149" s="453"/>
      <c r="JUD149" s="453"/>
      <c r="JUE149" s="453"/>
      <c r="JUF149" s="453"/>
      <c r="JUG149" s="453"/>
      <c r="JUH149" s="461"/>
      <c r="JUI149" s="461"/>
      <c r="JUJ149" s="461"/>
      <c r="JUK149" s="609"/>
      <c r="JUL149" s="607"/>
      <c r="JUM149" s="607"/>
      <c r="JUN149" s="607"/>
      <c r="JUO149" s="463"/>
      <c r="JUP149" s="454"/>
      <c r="JUQ149" s="607"/>
      <c r="JUR149" s="607"/>
      <c r="JUS149" s="607"/>
      <c r="JUT149" s="607"/>
      <c r="JUU149" s="607"/>
      <c r="JUV149" s="453"/>
      <c r="JUW149" s="289"/>
      <c r="JUX149" s="453"/>
      <c r="JUY149" s="453"/>
      <c r="JUZ149" s="453"/>
      <c r="JVA149" s="453"/>
      <c r="JVB149" s="453"/>
      <c r="JVC149" s="461"/>
      <c r="JVD149" s="461"/>
      <c r="JVE149" s="461"/>
      <c r="JVF149" s="609"/>
      <c r="JVG149" s="607"/>
      <c r="JVH149" s="607"/>
      <c r="JVI149" s="607"/>
      <c r="JVJ149" s="463"/>
      <c r="JVK149" s="454"/>
      <c r="JVL149" s="607"/>
      <c r="JVM149" s="607"/>
      <c r="JVN149" s="607"/>
      <c r="JVO149" s="607"/>
      <c r="JVP149" s="607"/>
      <c r="JVQ149" s="453"/>
      <c r="JVR149" s="289"/>
      <c r="JVS149" s="453"/>
      <c r="JVT149" s="453"/>
      <c r="JVU149" s="453"/>
      <c r="JVV149" s="453"/>
      <c r="JVW149" s="453"/>
      <c r="JVX149" s="461"/>
      <c r="JVY149" s="461"/>
      <c r="JVZ149" s="461"/>
      <c r="JWA149" s="609"/>
      <c r="JWB149" s="607"/>
      <c r="JWC149" s="607"/>
      <c r="JWD149" s="607"/>
      <c r="JWE149" s="463"/>
      <c r="JWF149" s="454"/>
      <c r="JWG149" s="607"/>
      <c r="JWH149" s="607"/>
      <c r="JWI149" s="607"/>
      <c r="JWJ149" s="607"/>
      <c r="JWK149" s="607"/>
      <c r="JWL149" s="453"/>
      <c r="JWM149" s="289"/>
      <c r="JWN149" s="453"/>
      <c r="JWO149" s="453"/>
      <c r="JWP149" s="453"/>
      <c r="JWQ149" s="453"/>
      <c r="JWR149" s="453"/>
      <c r="JWS149" s="461"/>
      <c r="JWT149" s="461"/>
      <c r="JWU149" s="461"/>
      <c r="JWV149" s="609"/>
      <c r="JWW149" s="607"/>
      <c r="JWX149" s="607"/>
      <c r="JWY149" s="607"/>
      <c r="JWZ149" s="463"/>
      <c r="JXA149" s="454"/>
      <c r="JXB149" s="607"/>
      <c r="JXC149" s="607"/>
      <c r="JXD149" s="607"/>
      <c r="JXE149" s="607"/>
      <c r="JXF149" s="607"/>
      <c r="JXG149" s="453"/>
      <c r="JXH149" s="289"/>
      <c r="JXI149" s="453"/>
      <c r="JXJ149" s="453"/>
      <c r="JXK149" s="453"/>
      <c r="JXL149" s="453"/>
      <c r="JXM149" s="453"/>
      <c r="JXN149" s="461"/>
      <c r="JXO149" s="461"/>
      <c r="JXP149" s="461"/>
      <c r="JXQ149" s="609"/>
      <c r="JXR149" s="607"/>
      <c r="JXS149" s="607"/>
      <c r="JXT149" s="607"/>
      <c r="JXU149" s="463"/>
      <c r="JXV149" s="454"/>
      <c r="JXW149" s="607"/>
      <c r="JXX149" s="607"/>
      <c r="JXY149" s="607"/>
      <c r="JXZ149" s="607"/>
      <c r="JYA149" s="607"/>
      <c r="JYB149" s="453"/>
      <c r="JYC149" s="289"/>
      <c r="JYD149" s="453"/>
      <c r="JYE149" s="453"/>
      <c r="JYF149" s="453"/>
      <c r="JYG149" s="453"/>
      <c r="JYH149" s="453"/>
      <c r="JYI149" s="461"/>
      <c r="JYJ149" s="461"/>
      <c r="JYK149" s="461"/>
      <c r="JYL149" s="609"/>
      <c r="JYM149" s="607"/>
      <c r="JYN149" s="607"/>
      <c r="JYO149" s="607"/>
      <c r="JYP149" s="463"/>
      <c r="JYQ149" s="454"/>
      <c r="JYR149" s="607"/>
      <c r="JYS149" s="607"/>
      <c r="JYT149" s="607"/>
      <c r="JYU149" s="607"/>
      <c r="JYV149" s="607"/>
      <c r="JYW149" s="453"/>
      <c r="JYX149" s="289"/>
      <c r="JYY149" s="453"/>
      <c r="JYZ149" s="453"/>
      <c r="JZA149" s="453"/>
      <c r="JZB149" s="453"/>
      <c r="JZC149" s="453"/>
      <c r="JZD149" s="461"/>
      <c r="JZE149" s="461"/>
      <c r="JZF149" s="461"/>
      <c r="JZG149" s="609"/>
      <c r="JZH149" s="607"/>
      <c r="JZI149" s="607"/>
      <c r="JZJ149" s="607"/>
      <c r="JZK149" s="463"/>
      <c r="JZL149" s="454"/>
      <c r="JZM149" s="607"/>
      <c r="JZN149" s="607"/>
      <c r="JZO149" s="607"/>
      <c r="JZP149" s="607"/>
      <c r="JZQ149" s="607"/>
      <c r="JZR149" s="453"/>
      <c r="JZS149" s="289"/>
      <c r="JZT149" s="453"/>
      <c r="JZU149" s="453"/>
      <c r="JZV149" s="453"/>
      <c r="JZW149" s="453"/>
      <c r="JZX149" s="453"/>
      <c r="JZY149" s="461"/>
      <c r="JZZ149" s="461"/>
      <c r="KAA149" s="461"/>
      <c r="KAB149" s="609"/>
      <c r="KAC149" s="607"/>
      <c r="KAD149" s="607"/>
      <c r="KAE149" s="607"/>
      <c r="KAF149" s="463"/>
      <c r="KAG149" s="454"/>
      <c r="KAH149" s="607"/>
      <c r="KAI149" s="607"/>
      <c r="KAJ149" s="607"/>
      <c r="KAK149" s="607"/>
      <c r="KAL149" s="607"/>
      <c r="KAM149" s="453"/>
      <c r="KAN149" s="289"/>
      <c r="KAO149" s="453"/>
      <c r="KAP149" s="453"/>
      <c r="KAQ149" s="453"/>
      <c r="KAR149" s="453"/>
      <c r="KAS149" s="453"/>
      <c r="KAT149" s="461"/>
      <c r="KAU149" s="461"/>
      <c r="KAV149" s="461"/>
      <c r="KAW149" s="609"/>
      <c r="KAX149" s="607"/>
      <c r="KAY149" s="607"/>
      <c r="KAZ149" s="607"/>
      <c r="KBA149" s="463"/>
      <c r="KBB149" s="454"/>
      <c r="KBC149" s="607"/>
      <c r="KBD149" s="607"/>
      <c r="KBE149" s="607"/>
      <c r="KBF149" s="607"/>
      <c r="KBG149" s="607"/>
      <c r="KBH149" s="453"/>
      <c r="KBI149" s="289"/>
      <c r="KBJ149" s="453"/>
      <c r="KBK149" s="453"/>
      <c r="KBL149" s="453"/>
      <c r="KBM149" s="453"/>
      <c r="KBN149" s="453"/>
      <c r="KBO149" s="461"/>
      <c r="KBP149" s="461"/>
      <c r="KBQ149" s="461"/>
      <c r="KBR149" s="609"/>
      <c r="KBS149" s="607"/>
      <c r="KBT149" s="607"/>
      <c r="KBU149" s="607"/>
      <c r="KBV149" s="463"/>
      <c r="KBW149" s="454"/>
      <c r="KBX149" s="607"/>
      <c r="KBY149" s="607"/>
      <c r="KBZ149" s="607"/>
      <c r="KCA149" s="607"/>
      <c r="KCB149" s="607"/>
      <c r="KCC149" s="453"/>
      <c r="KCD149" s="289"/>
      <c r="KCE149" s="453"/>
      <c r="KCF149" s="453"/>
      <c r="KCG149" s="453"/>
      <c r="KCH149" s="453"/>
      <c r="KCI149" s="453"/>
      <c r="KCJ149" s="461"/>
      <c r="KCK149" s="461"/>
      <c r="KCL149" s="461"/>
      <c r="KCM149" s="609"/>
      <c r="KCN149" s="607"/>
      <c r="KCO149" s="607"/>
      <c r="KCP149" s="607"/>
      <c r="KCQ149" s="463"/>
      <c r="KCR149" s="454"/>
      <c r="KCS149" s="607"/>
      <c r="KCT149" s="607"/>
      <c r="KCU149" s="607"/>
      <c r="KCV149" s="607"/>
      <c r="KCW149" s="607"/>
      <c r="KCX149" s="453"/>
      <c r="KCY149" s="289"/>
      <c r="KCZ149" s="453"/>
      <c r="KDA149" s="453"/>
      <c r="KDB149" s="453"/>
      <c r="KDC149" s="453"/>
      <c r="KDD149" s="453"/>
      <c r="KDE149" s="461"/>
      <c r="KDF149" s="461"/>
      <c r="KDG149" s="461"/>
      <c r="KDH149" s="609"/>
      <c r="KDI149" s="607"/>
      <c r="KDJ149" s="607"/>
      <c r="KDK149" s="607"/>
      <c r="KDL149" s="463"/>
      <c r="KDM149" s="454"/>
      <c r="KDN149" s="607"/>
      <c r="KDO149" s="607"/>
      <c r="KDP149" s="607"/>
      <c r="KDQ149" s="607"/>
      <c r="KDR149" s="607"/>
      <c r="KDS149" s="453"/>
      <c r="KDT149" s="289"/>
      <c r="KDU149" s="453"/>
      <c r="KDV149" s="453"/>
      <c r="KDW149" s="453"/>
      <c r="KDX149" s="453"/>
      <c r="KDY149" s="453"/>
      <c r="KDZ149" s="461"/>
      <c r="KEA149" s="461"/>
      <c r="KEB149" s="461"/>
      <c r="KEC149" s="609"/>
      <c r="KED149" s="607"/>
      <c r="KEE149" s="607"/>
      <c r="KEF149" s="607"/>
      <c r="KEG149" s="463"/>
      <c r="KEH149" s="454"/>
      <c r="KEI149" s="607"/>
      <c r="KEJ149" s="607"/>
      <c r="KEK149" s="607"/>
      <c r="KEL149" s="607"/>
      <c r="KEM149" s="607"/>
      <c r="KEN149" s="453"/>
      <c r="KEO149" s="289"/>
      <c r="KEP149" s="453"/>
      <c r="KEQ149" s="453"/>
      <c r="KER149" s="453"/>
      <c r="KES149" s="453"/>
      <c r="KET149" s="453"/>
      <c r="KEU149" s="461"/>
      <c r="KEV149" s="461"/>
      <c r="KEW149" s="461"/>
      <c r="KEX149" s="609"/>
      <c r="KEY149" s="607"/>
      <c r="KEZ149" s="607"/>
      <c r="KFA149" s="607"/>
      <c r="KFB149" s="463"/>
      <c r="KFC149" s="454"/>
      <c r="KFD149" s="607"/>
      <c r="KFE149" s="607"/>
      <c r="KFF149" s="607"/>
      <c r="KFG149" s="607"/>
      <c r="KFH149" s="607"/>
      <c r="KFI149" s="453"/>
      <c r="KFJ149" s="289"/>
      <c r="KFK149" s="453"/>
      <c r="KFL149" s="453"/>
      <c r="KFM149" s="453"/>
      <c r="KFN149" s="453"/>
      <c r="KFO149" s="453"/>
      <c r="KFP149" s="461"/>
      <c r="KFQ149" s="461"/>
      <c r="KFR149" s="461"/>
      <c r="KFS149" s="609"/>
      <c r="KFT149" s="607"/>
      <c r="KFU149" s="607"/>
      <c r="KFV149" s="607"/>
      <c r="KFW149" s="463"/>
      <c r="KFX149" s="454"/>
      <c r="KFY149" s="607"/>
      <c r="KFZ149" s="607"/>
      <c r="KGA149" s="607"/>
      <c r="KGB149" s="607"/>
      <c r="KGC149" s="607"/>
      <c r="KGD149" s="453"/>
      <c r="KGE149" s="289"/>
      <c r="KGF149" s="453"/>
      <c r="KGG149" s="453"/>
      <c r="KGH149" s="453"/>
      <c r="KGI149" s="453"/>
      <c r="KGJ149" s="453"/>
      <c r="KGK149" s="461"/>
      <c r="KGL149" s="461"/>
      <c r="KGM149" s="461"/>
      <c r="KGN149" s="609"/>
      <c r="KGO149" s="607"/>
      <c r="KGP149" s="607"/>
      <c r="KGQ149" s="607"/>
      <c r="KGR149" s="463"/>
      <c r="KGS149" s="454"/>
      <c r="KGT149" s="607"/>
      <c r="KGU149" s="607"/>
      <c r="KGV149" s="607"/>
      <c r="KGW149" s="607"/>
      <c r="KGX149" s="607"/>
      <c r="KGY149" s="453"/>
      <c r="KGZ149" s="289"/>
      <c r="KHA149" s="453"/>
      <c r="KHB149" s="453"/>
      <c r="KHC149" s="453"/>
      <c r="KHD149" s="453"/>
      <c r="KHE149" s="453"/>
      <c r="KHF149" s="461"/>
      <c r="KHG149" s="461"/>
      <c r="KHH149" s="461"/>
      <c r="KHI149" s="609"/>
      <c r="KHJ149" s="607"/>
      <c r="KHK149" s="607"/>
      <c r="KHL149" s="607"/>
      <c r="KHM149" s="463"/>
      <c r="KHN149" s="454"/>
      <c r="KHO149" s="607"/>
      <c r="KHP149" s="607"/>
      <c r="KHQ149" s="607"/>
      <c r="KHR149" s="607"/>
      <c r="KHS149" s="607"/>
      <c r="KHT149" s="453"/>
      <c r="KHU149" s="289"/>
      <c r="KHV149" s="453"/>
      <c r="KHW149" s="453"/>
      <c r="KHX149" s="453"/>
      <c r="KHY149" s="453"/>
      <c r="KHZ149" s="453"/>
      <c r="KIA149" s="461"/>
      <c r="KIB149" s="461"/>
      <c r="KIC149" s="461"/>
      <c r="KID149" s="609"/>
      <c r="KIE149" s="607"/>
      <c r="KIF149" s="607"/>
      <c r="KIG149" s="607"/>
      <c r="KIH149" s="463"/>
      <c r="KII149" s="454"/>
      <c r="KIJ149" s="607"/>
      <c r="KIK149" s="607"/>
      <c r="KIL149" s="607"/>
      <c r="KIM149" s="607"/>
      <c r="KIN149" s="607"/>
      <c r="KIO149" s="453"/>
      <c r="KIP149" s="289"/>
      <c r="KIQ149" s="453"/>
      <c r="KIR149" s="453"/>
      <c r="KIS149" s="453"/>
      <c r="KIT149" s="453"/>
      <c r="KIU149" s="453"/>
      <c r="KIV149" s="461"/>
      <c r="KIW149" s="461"/>
      <c r="KIX149" s="461"/>
      <c r="KIY149" s="609"/>
      <c r="KIZ149" s="607"/>
      <c r="KJA149" s="607"/>
      <c r="KJB149" s="607"/>
      <c r="KJC149" s="463"/>
      <c r="KJD149" s="454"/>
      <c r="KJE149" s="607"/>
      <c r="KJF149" s="607"/>
      <c r="KJG149" s="607"/>
      <c r="KJH149" s="607"/>
      <c r="KJI149" s="607"/>
      <c r="KJJ149" s="453"/>
      <c r="KJK149" s="289"/>
      <c r="KJL149" s="453"/>
      <c r="KJM149" s="453"/>
      <c r="KJN149" s="453"/>
      <c r="KJO149" s="453"/>
      <c r="KJP149" s="453"/>
      <c r="KJQ149" s="461"/>
      <c r="KJR149" s="461"/>
      <c r="KJS149" s="461"/>
      <c r="KJT149" s="609"/>
      <c r="KJU149" s="607"/>
      <c r="KJV149" s="607"/>
      <c r="KJW149" s="607"/>
      <c r="KJX149" s="463"/>
      <c r="KJY149" s="454"/>
      <c r="KJZ149" s="607"/>
      <c r="KKA149" s="607"/>
      <c r="KKB149" s="607"/>
      <c r="KKC149" s="607"/>
      <c r="KKD149" s="607"/>
      <c r="KKE149" s="453"/>
      <c r="KKF149" s="289"/>
      <c r="KKG149" s="453"/>
      <c r="KKH149" s="453"/>
      <c r="KKI149" s="453"/>
      <c r="KKJ149" s="453"/>
      <c r="KKK149" s="453"/>
      <c r="KKL149" s="461"/>
      <c r="KKM149" s="461"/>
      <c r="KKN149" s="461"/>
      <c r="KKO149" s="609"/>
      <c r="KKP149" s="607"/>
      <c r="KKQ149" s="607"/>
      <c r="KKR149" s="607"/>
      <c r="KKS149" s="463"/>
      <c r="KKT149" s="454"/>
      <c r="KKU149" s="607"/>
      <c r="KKV149" s="607"/>
      <c r="KKW149" s="607"/>
      <c r="KKX149" s="607"/>
      <c r="KKY149" s="607"/>
      <c r="KKZ149" s="453"/>
      <c r="KLA149" s="289"/>
      <c r="KLB149" s="453"/>
      <c r="KLC149" s="453"/>
      <c r="KLD149" s="453"/>
      <c r="KLE149" s="453"/>
      <c r="KLF149" s="453"/>
      <c r="KLG149" s="461"/>
      <c r="KLH149" s="461"/>
      <c r="KLI149" s="461"/>
      <c r="KLJ149" s="609"/>
      <c r="KLK149" s="607"/>
      <c r="KLL149" s="607"/>
      <c r="KLM149" s="607"/>
      <c r="KLN149" s="463"/>
      <c r="KLO149" s="454"/>
      <c r="KLP149" s="607"/>
      <c r="KLQ149" s="607"/>
      <c r="KLR149" s="607"/>
      <c r="KLS149" s="607"/>
      <c r="KLT149" s="607"/>
      <c r="KLU149" s="453"/>
      <c r="KLV149" s="289"/>
      <c r="KLW149" s="453"/>
      <c r="KLX149" s="453"/>
      <c r="KLY149" s="453"/>
      <c r="KLZ149" s="453"/>
      <c r="KMA149" s="453"/>
      <c r="KMB149" s="461"/>
      <c r="KMC149" s="461"/>
      <c r="KMD149" s="461"/>
      <c r="KME149" s="609"/>
      <c r="KMF149" s="607"/>
      <c r="KMG149" s="607"/>
      <c r="KMH149" s="607"/>
      <c r="KMI149" s="463"/>
      <c r="KMJ149" s="454"/>
      <c r="KMK149" s="607"/>
      <c r="KML149" s="607"/>
      <c r="KMM149" s="607"/>
      <c r="KMN149" s="607"/>
      <c r="KMO149" s="607"/>
      <c r="KMP149" s="453"/>
      <c r="KMQ149" s="289"/>
      <c r="KMR149" s="453"/>
      <c r="KMS149" s="453"/>
      <c r="KMT149" s="453"/>
      <c r="KMU149" s="453"/>
      <c r="KMV149" s="453"/>
      <c r="KMW149" s="461"/>
      <c r="KMX149" s="461"/>
      <c r="KMY149" s="461"/>
      <c r="KMZ149" s="609"/>
      <c r="KNA149" s="607"/>
      <c r="KNB149" s="607"/>
      <c r="KNC149" s="607"/>
      <c r="KND149" s="463"/>
      <c r="KNE149" s="454"/>
      <c r="KNF149" s="607"/>
      <c r="KNG149" s="607"/>
      <c r="KNH149" s="607"/>
      <c r="KNI149" s="607"/>
      <c r="KNJ149" s="607"/>
      <c r="KNK149" s="453"/>
      <c r="KNL149" s="289"/>
      <c r="KNM149" s="453"/>
      <c r="KNN149" s="453"/>
      <c r="KNO149" s="453"/>
      <c r="KNP149" s="453"/>
      <c r="KNQ149" s="453"/>
      <c r="KNR149" s="461"/>
      <c r="KNS149" s="461"/>
      <c r="KNT149" s="461"/>
      <c r="KNU149" s="609"/>
      <c r="KNV149" s="607"/>
      <c r="KNW149" s="607"/>
      <c r="KNX149" s="607"/>
      <c r="KNY149" s="463"/>
      <c r="KNZ149" s="454"/>
      <c r="KOA149" s="607"/>
      <c r="KOB149" s="607"/>
      <c r="KOC149" s="607"/>
      <c r="KOD149" s="607"/>
      <c r="KOE149" s="607"/>
      <c r="KOF149" s="453"/>
      <c r="KOG149" s="289"/>
      <c r="KOH149" s="453"/>
      <c r="KOI149" s="453"/>
      <c r="KOJ149" s="453"/>
      <c r="KOK149" s="453"/>
      <c r="KOL149" s="453"/>
      <c r="KOM149" s="461"/>
      <c r="KON149" s="461"/>
      <c r="KOO149" s="461"/>
      <c r="KOP149" s="609"/>
      <c r="KOQ149" s="607"/>
      <c r="KOR149" s="607"/>
      <c r="KOS149" s="607"/>
      <c r="KOT149" s="463"/>
      <c r="KOU149" s="454"/>
      <c r="KOV149" s="607"/>
      <c r="KOW149" s="607"/>
      <c r="KOX149" s="607"/>
      <c r="KOY149" s="607"/>
      <c r="KOZ149" s="607"/>
      <c r="KPA149" s="453"/>
      <c r="KPB149" s="289"/>
      <c r="KPC149" s="453"/>
      <c r="KPD149" s="453"/>
      <c r="KPE149" s="453"/>
      <c r="KPF149" s="453"/>
      <c r="KPG149" s="453"/>
      <c r="KPH149" s="461"/>
      <c r="KPI149" s="461"/>
      <c r="KPJ149" s="461"/>
      <c r="KPK149" s="609"/>
      <c r="KPL149" s="607"/>
      <c r="KPM149" s="607"/>
      <c r="KPN149" s="607"/>
      <c r="KPO149" s="463"/>
      <c r="KPP149" s="454"/>
      <c r="KPQ149" s="607"/>
      <c r="KPR149" s="607"/>
      <c r="KPS149" s="607"/>
      <c r="KPT149" s="607"/>
      <c r="KPU149" s="607"/>
      <c r="KPV149" s="453"/>
      <c r="KPW149" s="289"/>
      <c r="KPX149" s="453"/>
      <c r="KPY149" s="453"/>
      <c r="KPZ149" s="453"/>
      <c r="KQA149" s="453"/>
      <c r="KQB149" s="453"/>
      <c r="KQC149" s="461"/>
      <c r="KQD149" s="461"/>
      <c r="KQE149" s="461"/>
      <c r="KQF149" s="609"/>
      <c r="KQG149" s="607"/>
      <c r="KQH149" s="607"/>
      <c r="KQI149" s="607"/>
      <c r="KQJ149" s="463"/>
      <c r="KQK149" s="454"/>
      <c r="KQL149" s="607"/>
      <c r="KQM149" s="607"/>
      <c r="KQN149" s="607"/>
      <c r="KQO149" s="607"/>
      <c r="KQP149" s="607"/>
      <c r="KQQ149" s="453"/>
      <c r="KQR149" s="289"/>
      <c r="KQS149" s="453"/>
      <c r="KQT149" s="453"/>
      <c r="KQU149" s="453"/>
      <c r="KQV149" s="453"/>
      <c r="KQW149" s="453"/>
      <c r="KQX149" s="461"/>
      <c r="KQY149" s="461"/>
      <c r="KQZ149" s="461"/>
      <c r="KRA149" s="609"/>
      <c r="KRB149" s="607"/>
      <c r="KRC149" s="607"/>
      <c r="KRD149" s="607"/>
      <c r="KRE149" s="463"/>
      <c r="KRF149" s="454"/>
      <c r="KRG149" s="607"/>
      <c r="KRH149" s="607"/>
      <c r="KRI149" s="607"/>
      <c r="KRJ149" s="607"/>
      <c r="KRK149" s="607"/>
      <c r="KRL149" s="453"/>
      <c r="KRM149" s="289"/>
      <c r="KRN149" s="453"/>
      <c r="KRO149" s="453"/>
      <c r="KRP149" s="453"/>
      <c r="KRQ149" s="453"/>
      <c r="KRR149" s="453"/>
      <c r="KRS149" s="461"/>
      <c r="KRT149" s="461"/>
      <c r="KRU149" s="461"/>
      <c r="KRV149" s="609"/>
      <c r="KRW149" s="607"/>
      <c r="KRX149" s="607"/>
      <c r="KRY149" s="607"/>
      <c r="KRZ149" s="463"/>
      <c r="KSA149" s="454"/>
      <c r="KSB149" s="607"/>
      <c r="KSC149" s="607"/>
      <c r="KSD149" s="607"/>
      <c r="KSE149" s="607"/>
      <c r="KSF149" s="607"/>
      <c r="KSG149" s="453"/>
      <c r="KSH149" s="289"/>
      <c r="KSI149" s="453"/>
      <c r="KSJ149" s="453"/>
      <c r="KSK149" s="453"/>
      <c r="KSL149" s="453"/>
      <c r="KSM149" s="453"/>
      <c r="KSN149" s="461"/>
      <c r="KSO149" s="461"/>
      <c r="KSP149" s="461"/>
      <c r="KSQ149" s="609"/>
      <c r="KSR149" s="607"/>
      <c r="KSS149" s="607"/>
      <c r="KST149" s="607"/>
      <c r="KSU149" s="463"/>
      <c r="KSV149" s="454"/>
      <c r="KSW149" s="607"/>
      <c r="KSX149" s="607"/>
      <c r="KSY149" s="607"/>
      <c r="KSZ149" s="607"/>
      <c r="KTA149" s="607"/>
      <c r="KTB149" s="453"/>
      <c r="KTC149" s="289"/>
      <c r="KTD149" s="453"/>
      <c r="KTE149" s="453"/>
      <c r="KTF149" s="453"/>
      <c r="KTG149" s="453"/>
      <c r="KTH149" s="453"/>
      <c r="KTI149" s="461"/>
      <c r="KTJ149" s="461"/>
      <c r="KTK149" s="461"/>
      <c r="KTL149" s="609"/>
      <c r="KTM149" s="607"/>
      <c r="KTN149" s="607"/>
      <c r="KTO149" s="607"/>
      <c r="KTP149" s="463"/>
      <c r="KTQ149" s="454"/>
      <c r="KTR149" s="607"/>
      <c r="KTS149" s="607"/>
      <c r="KTT149" s="607"/>
      <c r="KTU149" s="607"/>
      <c r="KTV149" s="607"/>
      <c r="KTW149" s="453"/>
      <c r="KTX149" s="289"/>
      <c r="KTY149" s="453"/>
      <c r="KTZ149" s="453"/>
      <c r="KUA149" s="453"/>
      <c r="KUB149" s="453"/>
      <c r="KUC149" s="453"/>
      <c r="KUD149" s="461"/>
      <c r="KUE149" s="461"/>
      <c r="KUF149" s="461"/>
      <c r="KUG149" s="609"/>
      <c r="KUH149" s="607"/>
      <c r="KUI149" s="607"/>
      <c r="KUJ149" s="607"/>
      <c r="KUK149" s="463"/>
      <c r="KUL149" s="454"/>
      <c r="KUM149" s="607"/>
      <c r="KUN149" s="607"/>
      <c r="KUO149" s="607"/>
      <c r="KUP149" s="607"/>
      <c r="KUQ149" s="607"/>
      <c r="KUR149" s="453"/>
      <c r="KUS149" s="289"/>
      <c r="KUT149" s="453"/>
      <c r="KUU149" s="453"/>
      <c r="KUV149" s="453"/>
      <c r="KUW149" s="453"/>
      <c r="KUX149" s="453"/>
      <c r="KUY149" s="461"/>
      <c r="KUZ149" s="461"/>
      <c r="KVA149" s="461"/>
      <c r="KVB149" s="609"/>
      <c r="KVC149" s="607"/>
      <c r="KVD149" s="607"/>
      <c r="KVE149" s="607"/>
      <c r="KVF149" s="463"/>
      <c r="KVG149" s="454"/>
      <c r="KVH149" s="607"/>
      <c r="KVI149" s="607"/>
      <c r="KVJ149" s="607"/>
      <c r="KVK149" s="607"/>
      <c r="KVL149" s="607"/>
      <c r="KVM149" s="453"/>
      <c r="KVN149" s="289"/>
      <c r="KVO149" s="453"/>
      <c r="KVP149" s="453"/>
      <c r="KVQ149" s="453"/>
      <c r="KVR149" s="453"/>
      <c r="KVS149" s="453"/>
      <c r="KVT149" s="461"/>
      <c r="KVU149" s="461"/>
      <c r="KVV149" s="461"/>
      <c r="KVW149" s="609"/>
      <c r="KVX149" s="607"/>
      <c r="KVY149" s="607"/>
      <c r="KVZ149" s="607"/>
      <c r="KWA149" s="463"/>
      <c r="KWB149" s="454"/>
      <c r="KWC149" s="607"/>
      <c r="KWD149" s="607"/>
      <c r="KWE149" s="607"/>
      <c r="KWF149" s="607"/>
      <c r="KWG149" s="607"/>
      <c r="KWH149" s="453"/>
      <c r="KWI149" s="289"/>
      <c r="KWJ149" s="453"/>
      <c r="KWK149" s="453"/>
      <c r="KWL149" s="453"/>
      <c r="KWM149" s="453"/>
      <c r="KWN149" s="453"/>
      <c r="KWO149" s="461"/>
      <c r="KWP149" s="461"/>
      <c r="KWQ149" s="461"/>
      <c r="KWR149" s="609"/>
      <c r="KWS149" s="607"/>
      <c r="KWT149" s="607"/>
      <c r="KWU149" s="607"/>
      <c r="KWV149" s="463"/>
      <c r="KWW149" s="454"/>
      <c r="KWX149" s="607"/>
      <c r="KWY149" s="607"/>
      <c r="KWZ149" s="607"/>
      <c r="KXA149" s="607"/>
      <c r="KXB149" s="607"/>
      <c r="KXC149" s="453"/>
      <c r="KXD149" s="289"/>
      <c r="KXE149" s="453"/>
      <c r="KXF149" s="453"/>
      <c r="KXG149" s="453"/>
      <c r="KXH149" s="453"/>
      <c r="KXI149" s="453"/>
      <c r="KXJ149" s="461"/>
      <c r="KXK149" s="461"/>
      <c r="KXL149" s="461"/>
      <c r="KXM149" s="609"/>
      <c r="KXN149" s="607"/>
      <c r="KXO149" s="607"/>
      <c r="KXP149" s="607"/>
      <c r="KXQ149" s="463"/>
      <c r="KXR149" s="454"/>
      <c r="KXS149" s="607"/>
      <c r="KXT149" s="607"/>
      <c r="KXU149" s="607"/>
      <c r="KXV149" s="607"/>
      <c r="KXW149" s="607"/>
      <c r="KXX149" s="453"/>
      <c r="KXY149" s="289"/>
      <c r="KXZ149" s="453"/>
      <c r="KYA149" s="453"/>
      <c r="KYB149" s="453"/>
      <c r="KYC149" s="453"/>
      <c r="KYD149" s="453"/>
      <c r="KYE149" s="461"/>
      <c r="KYF149" s="461"/>
      <c r="KYG149" s="461"/>
      <c r="KYH149" s="609"/>
      <c r="KYI149" s="607"/>
      <c r="KYJ149" s="607"/>
      <c r="KYK149" s="607"/>
      <c r="KYL149" s="463"/>
      <c r="KYM149" s="454"/>
      <c r="KYN149" s="607"/>
      <c r="KYO149" s="607"/>
      <c r="KYP149" s="607"/>
      <c r="KYQ149" s="607"/>
      <c r="KYR149" s="607"/>
      <c r="KYS149" s="453"/>
      <c r="KYT149" s="289"/>
      <c r="KYU149" s="453"/>
      <c r="KYV149" s="453"/>
      <c r="KYW149" s="453"/>
      <c r="KYX149" s="453"/>
      <c r="KYY149" s="453"/>
      <c r="KYZ149" s="461"/>
      <c r="KZA149" s="461"/>
      <c r="KZB149" s="461"/>
      <c r="KZC149" s="609"/>
      <c r="KZD149" s="607"/>
      <c r="KZE149" s="607"/>
      <c r="KZF149" s="607"/>
      <c r="KZG149" s="463"/>
      <c r="KZH149" s="454"/>
      <c r="KZI149" s="607"/>
      <c r="KZJ149" s="607"/>
      <c r="KZK149" s="607"/>
      <c r="KZL149" s="607"/>
      <c r="KZM149" s="607"/>
      <c r="KZN149" s="453"/>
      <c r="KZO149" s="289"/>
      <c r="KZP149" s="453"/>
      <c r="KZQ149" s="453"/>
      <c r="KZR149" s="453"/>
      <c r="KZS149" s="453"/>
      <c r="KZT149" s="453"/>
      <c r="KZU149" s="461"/>
      <c r="KZV149" s="461"/>
      <c r="KZW149" s="461"/>
      <c r="KZX149" s="609"/>
      <c r="KZY149" s="607"/>
      <c r="KZZ149" s="607"/>
      <c r="LAA149" s="607"/>
      <c r="LAB149" s="463"/>
      <c r="LAC149" s="454"/>
      <c r="LAD149" s="607"/>
      <c r="LAE149" s="607"/>
      <c r="LAF149" s="607"/>
      <c r="LAG149" s="607"/>
      <c r="LAH149" s="607"/>
      <c r="LAI149" s="453"/>
      <c r="LAJ149" s="289"/>
      <c r="LAK149" s="453"/>
      <c r="LAL149" s="453"/>
      <c r="LAM149" s="453"/>
      <c r="LAN149" s="453"/>
      <c r="LAO149" s="453"/>
      <c r="LAP149" s="461"/>
      <c r="LAQ149" s="461"/>
      <c r="LAR149" s="461"/>
      <c r="LAS149" s="609"/>
      <c r="LAT149" s="607"/>
      <c r="LAU149" s="607"/>
      <c r="LAV149" s="607"/>
      <c r="LAW149" s="463"/>
      <c r="LAX149" s="454"/>
      <c r="LAY149" s="607"/>
      <c r="LAZ149" s="607"/>
      <c r="LBA149" s="607"/>
      <c r="LBB149" s="607"/>
      <c r="LBC149" s="607"/>
      <c r="LBD149" s="453"/>
      <c r="LBE149" s="289"/>
      <c r="LBF149" s="453"/>
      <c r="LBG149" s="453"/>
      <c r="LBH149" s="453"/>
      <c r="LBI149" s="453"/>
      <c r="LBJ149" s="453"/>
      <c r="LBK149" s="461"/>
      <c r="LBL149" s="461"/>
      <c r="LBM149" s="461"/>
      <c r="LBN149" s="609"/>
      <c r="LBO149" s="607"/>
      <c r="LBP149" s="607"/>
      <c r="LBQ149" s="607"/>
      <c r="LBR149" s="463"/>
      <c r="LBS149" s="454"/>
      <c r="LBT149" s="607"/>
      <c r="LBU149" s="607"/>
      <c r="LBV149" s="607"/>
      <c r="LBW149" s="607"/>
      <c r="LBX149" s="607"/>
      <c r="LBY149" s="453"/>
      <c r="LBZ149" s="289"/>
      <c r="LCA149" s="453"/>
      <c r="LCB149" s="453"/>
      <c r="LCC149" s="453"/>
      <c r="LCD149" s="453"/>
      <c r="LCE149" s="453"/>
      <c r="LCF149" s="461"/>
      <c r="LCG149" s="461"/>
      <c r="LCH149" s="461"/>
      <c r="LCI149" s="609"/>
      <c r="LCJ149" s="607"/>
      <c r="LCK149" s="607"/>
      <c r="LCL149" s="607"/>
      <c r="LCM149" s="463"/>
      <c r="LCN149" s="454"/>
      <c r="LCO149" s="607"/>
      <c r="LCP149" s="607"/>
      <c r="LCQ149" s="607"/>
      <c r="LCR149" s="607"/>
      <c r="LCS149" s="607"/>
      <c r="LCT149" s="453"/>
      <c r="LCU149" s="289"/>
      <c r="LCV149" s="453"/>
      <c r="LCW149" s="453"/>
      <c r="LCX149" s="453"/>
      <c r="LCY149" s="453"/>
      <c r="LCZ149" s="453"/>
      <c r="LDA149" s="461"/>
      <c r="LDB149" s="461"/>
      <c r="LDC149" s="461"/>
      <c r="LDD149" s="609"/>
      <c r="LDE149" s="607"/>
      <c r="LDF149" s="607"/>
      <c r="LDG149" s="607"/>
      <c r="LDH149" s="463"/>
      <c r="LDI149" s="454"/>
      <c r="LDJ149" s="607"/>
      <c r="LDK149" s="607"/>
      <c r="LDL149" s="607"/>
      <c r="LDM149" s="607"/>
      <c r="LDN149" s="607"/>
      <c r="LDO149" s="453"/>
      <c r="LDP149" s="289"/>
      <c r="LDQ149" s="453"/>
      <c r="LDR149" s="453"/>
      <c r="LDS149" s="453"/>
      <c r="LDT149" s="453"/>
      <c r="LDU149" s="453"/>
      <c r="LDV149" s="461"/>
      <c r="LDW149" s="461"/>
      <c r="LDX149" s="461"/>
      <c r="LDY149" s="609"/>
      <c r="LDZ149" s="607"/>
      <c r="LEA149" s="607"/>
      <c r="LEB149" s="607"/>
      <c r="LEC149" s="463"/>
      <c r="LED149" s="454"/>
      <c r="LEE149" s="607"/>
      <c r="LEF149" s="607"/>
      <c r="LEG149" s="607"/>
      <c r="LEH149" s="607"/>
      <c r="LEI149" s="607"/>
      <c r="LEJ149" s="453"/>
      <c r="LEK149" s="289"/>
      <c r="LEL149" s="453"/>
      <c r="LEM149" s="453"/>
      <c r="LEN149" s="453"/>
      <c r="LEO149" s="453"/>
      <c r="LEP149" s="453"/>
      <c r="LEQ149" s="461"/>
      <c r="LER149" s="461"/>
      <c r="LES149" s="461"/>
      <c r="LET149" s="609"/>
      <c r="LEU149" s="607"/>
      <c r="LEV149" s="607"/>
      <c r="LEW149" s="607"/>
      <c r="LEX149" s="463"/>
      <c r="LEY149" s="454"/>
      <c r="LEZ149" s="607"/>
      <c r="LFA149" s="607"/>
      <c r="LFB149" s="607"/>
      <c r="LFC149" s="607"/>
      <c r="LFD149" s="607"/>
      <c r="LFE149" s="453"/>
      <c r="LFF149" s="289"/>
      <c r="LFG149" s="453"/>
      <c r="LFH149" s="453"/>
      <c r="LFI149" s="453"/>
      <c r="LFJ149" s="453"/>
      <c r="LFK149" s="453"/>
      <c r="LFL149" s="461"/>
      <c r="LFM149" s="461"/>
      <c r="LFN149" s="461"/>
      <c r="LFO149" s="609"/>
      <c r="LFP149" s="607"/>
      <c r="LFQ149" s="607"/>
      <c r="LFR149" s="607"/>
      <c r="LFS149" s="463"/>
      <c r="LFT149" s="454"/>
      <c r="LFU149" s="607"/>
      <c r="LFV149" s="607"/>
      <c r="LFW149" s="607"/>
      <c r="LFX149" s="607"/>
      <c r="LFY149" s="607"/>
      <c r="LFZ149" s="453"/>
      <c r="LGA149" s="289"/>
      <c r="LGB149" s="453"/>
      <c r="LGC149" s="453"/>
      <c r="LGD149" s="453"/>
      <c r="LGE149" s="453"/>
      <c r="LGF149" s="453"/>
      <c r="LGG149" s="461"/>
      <c r="LGH149" s="461"/>
      <c r="LGI149" s="461"/>
      <c r="LGJ149" s="609"/>
      <c r="LGK149" s="607"/>
      <c r="LGL149" s="607"/>
      <c r="LGM149" s="607"/>
      <c r="LGN149" s="463"/>
      <c r="LGO149" s="454"/>
      <c r="LGP149" s="607"/>
      <c r="LGQ149" s="607"/>
      <c r="LGR149" s="607"/>
      <c r="LGS149" s="607"/>
      <c r="LGT149" s="607"/>
      <c r="LGU149" s="453"/>
      <c r="LGV149" s="289"/>
      <c r="LGW149" s="453"/>
      <c r="LGX149" s="453"/>
      <c r="LGY149" s="453"/>
      <c r="LGZ149" s="453"/>
      <c r="LHA149" s="453"/>
      <c r="LHB149" s="461"/>
      <c r="LHC149" s="461"/>
      <c r="LHD149" s="461"/>
      <c r="LHE149" s="609"/>
      <c r="LHF149" s="607"/>
      <c r="LHG149" s="607"/>
      <c r="LHH149" s="607"/>
      <c r="LHI149" s="463"/>
      <c r="LHJ149" s="454"/>
      <c r="LHK149" s="607"/>
      <c r="LHL149" s="607"/>
      <c r="LHM149" s="607"/>
      <c r="LHN149" s="607"/>
      <c r="LHO149" s="607"/>
      <c r="LHP149" s="453"/>
      <c r="LHQ149" s="289"/>
      <c r="LHR149" s="453"/>
      <c r="LHS149" s="453"/>
      <c r="LHT149" s="453"/>
      <c r="LHU149" s="453"/>
      <c r="LHV149" s="453"/>
      <c r="LHW149" s="461"/>
      <c r="LHX149" s="461"/>
      <c r="LHY149" s="461"/>
      <c r="LHZ149" s="609"/>
      <c r="LIA149" s="607"/>
      <c r="LIB149" s="607"/>
      <c r="LIC149" s="607"/>
      <c r="LID149" s="463"/>
      <c r="LIE149" s="454"/>
      <c r="LIF149" s="607"/>
      <c r="LIG149" s="607"/>
      <c r="LIH149" s="607"/>
      <c r="LII149" s="607"/>
      <c r="LIJ149" s="607"/>
      <c r="LIK149" s="453"/>
      <c r="LIL149" s="289"/>
      <c r="LIM149" s="453"/>
      <c r="LIN149" s="453"/>
      <c r="LIO149" s="453"/>
      <c r="LIP149" s="453"/>
      <c r="LIQ149" s="453"/>
      <c r="LIR149" s="461"/>
      <c r="LIS149" s="461"/>
      <c r="LIT149" s="461"/>
      <c r="LIU149" s="609"/>
      <c r="LIV149" s="607"/>
      <c r="LIW149" s="607"/>
      <c r="LIX149" s="607"/>
      <c r="LIY149" s="463"/>
      <c r="LIZ149" s="454"/>
      <c r="LJA149" s="607"/>
      <c r="LJB149" s="607"/>
      <c r="LJC149" s="607"/>
      <c r="LJD149" s="607"/>
      <c r="LJE149" s="607"/>
      <c r="LJF149" s="453"/>
      <c r="LJG149" s="289"/>
      <c r="LJH149" s="453"/>
      <c r="LJI149" s="453"/>
      <c r="LJJ149" s="453"/>
      <c r="LJK149" s="453"/>
      <c r="LJL149" s="453"/>
      <c r="LJM149" s="461"/>
      <c r="LJN149" s="461"/>
      <c r="LJO149" s="461"/>
      <c r="LJP149" s="609"/>
      <c r="LJQ149" s="607"/>
      <c r="LJR149" s="607"/>
      <c r="LJS149" s="607"/>
      <c r="LJT149" s="463"/>
      <c r="LJU149" s="454"/>
      <c r="LJV149" s="607"/>
      <c r="LJW149" s="607"/>
      <c r="LJX149" s="607"/>
      <c r="LJY149" s="607"/>
      <c r="LJZ149" s="607"/>
      <c r="LKA149" s="453"/>
      <c r="LKB149" s="289"/>
      <c r="LKC149" s="453"/>
      <c r="LKD149" s="453"/>
      <c r="LKE149" s="453"/>
      <c r="LKF149" s="453"/>
      <c r="LKG149" s="453"/>
      <c r="LKH149" s="461"/>
      <c r="LKI149" s="461"/>
      <c r="LKJ149" s="461"/>
      <c r="LKK149" s="609"/>
      <c r="LKL149" s="607"/>
      <c r="LKM149" s="607"/>
      <c r="LKN149" s="607"/>
      <c r="LKO149" s="463"/>
      <c r="LKP149" s="454"/>
      <c r="LKQ149" s="607"/>
      <c r="LKR149" s="607"/>
      <c r="LKS149" s="607"/>
      <c r="LKT149" s="607"/>
      <c r="LKU149" s="607"/>
      <c r="LKV149" s="453"/>
      <c r="LKW149" s="289"/>
      <c r="LKX149" s="453"/>
      <c r="LKY149" s="453"/>
      <c r="LKZ149" s="453"/>
      <c r="LLA149" s="453"/>
      <c r="LLB149" s="453"/>
      <c r="LLC149" s="461"/>
      <c r="LLD149" s="461"/>
      <c r="LLE149" s="461"/>
      <c r="LLF149" s="609"/>
      <c r="LLG149" s="607"/>
      <c r="LLH149" s="607"/>
      <c r="LLI149" s="607"/>
      <c r="LLJ149" s="463"/>
      <c r="LLK149" s="454"/>
      <c r="LLL149" s="607"/>
      <c r="LLM149" s="607"/>
      <c r="LLN149" s="607"/>
      <c r="LLO149" s="607"/>
      <c r="LLP149" s="607"/>
      <c r="LLQ149" s="453"/>
      <c r="LLR149" s="289"/>
      <c r="LLS149" s="453"/>
      <c r="LLT149" s="453"/>
      <c r="LLU149" s="453"/>
      <c r="LLV149" s="453"/>
      <c r="LLW149" s="453"/>
      <c r="LLX149" s="461"/>
      <c r="LLY149" s="461"/>
      <c r="LLZ149" s="461"/>
      <c r="LMA149" s="609"/>
      <c r="LMB149" s="607"/>
      <c r="LMC149" s="607"/>
      <c r="LMD149" s="607"/>
      <c r="LME149" s="463"/>
      <c r="LMF149" s="454"/>
      <c r="LMG149" s="607"/>
      <c r="LMH149" s="607"/>
      <c r="LMI149" s="607"/>
      <c r="LMJ149" s="607"/>
      <c r="LMK149" s="607"/>
      <c r="LML149" s="453"/>
      <c r="LMM149" s="289"/>
      <c r="LMN149" s="453"/>
      <c r="LMO149" s="453"/>
      <c r="LMP149" s="453"/>
      <c r="LMQ149" s="453"/>
      <c r="LMR149" s="453"/>
      <c r="LMS149" s="461"/>
      <c r="LMT149" s="461"/>
      <c r="LMU149" s="461"/>
      <c r="LMV149" s="609"/>
      <c r="LMW149" s="607"/>
      <c r="LMX149" s="607"/>
      <c r="LMY149" s="607"/>
      <c r="LMZ149" s="463"/>
      <c r="LNA149" s="454"/>
      <c r="LNB149" s="607"/>
      <c r="LNC149" s="607"/>
      <c r="LND149" s="607"/>
      <c r="LNE149" s="607"/>
      <c r="LNF149" s="607"/>
      <c r="LNG149" s="453"/>
      <c r="LNH149" s="289"/>
      <c r="LNI149" s="453"/>
      <c r="LNJ149" s="453"/>
      <c r="LNK149" s="453"/>
      <c r="LNL149" s="453"/>
      <c r="LNM149" s="453"/>
      <c r="LNN149" s="461"/>
      <c r="LNO149" s="461"/>
      <c r="LNP149" s="461"/>
      <c r="LNQ149" s="609"/>
      <c r="LNR149" s="607"/>
      <c r="LNS149" s="607"/>
      <c r="LNT149" s="607"/>
      <c r="LNU149" s="463"/>
      <c r="LNV149" s="454"/>
      <c r="LNW149" s="607"/>
      <c r="LNX149" s="607"/>
      <c r="LNY149" s="607"/>
      <c r="LNZ149" s="607"/>
      <c r="LOA149" s="607"/>
      <c r="LOB149" s="453"/>
      <c r="LOC149" s="289"/>
      <c r="LOD149" s="453"/>
      <c r="LOE149" s="453"/>
      <c r="LOF149" s="453"/>
      <c r="LOG149" s="453"/>
      <c r="LOH149" s="453"/>
      <c r="LOI149" s="461"/>
      <c r="LOJ149" s="461"/>
      <c r="LOK149" s="461"/>
      <c r="LOL149" s="609"/>
      <c r="LOM149" s="607"/>
      <c r="LON149" s="607"/>
      <c r="LOO149" s="607"/>
      <c r="LOP149" s="463"/>
      <c r="LOQ149" s="454"/>
      <c r="LOR149" s="607"/>
      <c r="LOS149" s="607"/>
      <c r="LOT149" s="607"/>
      <c r="LOU149" s="607"/>
      <c r="LOV149" s="607"/>
      <c r="LOW149" s="453"/>
      <c r="LOX149" s="289"/>
      <c r="LOY149" s="453"/>
      <c r="LOZ149" s="453"/>
      <c r="LPA149" s="453"/>
      <c r="LPB149" s="453"/>
      <c r="LPC149" s="453"/>
      <c r="LPD149" s="461"/>
      <c r="LPE149" s="461"/>
      <c r="LPF149" s="461"/>
      <c r="LPG149" s="609"/>
      <c r="LPH149" s="607"/>
      <c r="LPI149" s="607"/>
      <c r="LPJ149" s="607"/>
      <c r="LPK149" s="463"/>
      <c r="LPL149" s="454"/>
      <c r="LPM149" s="607"/>
      <c r="LPN149" s="607"/>
      <c r="LPO149" s="607"/>
      <c r="LPP149" s="607"/>
      <c r="LPQ149" s="607"/>
      <c r="LPR149" s="453"/>
      <c r="LPS149" s="289"/>
      <c r="LPT149" s="453"/>
      <c r="LPU149" s="453"/>
      <c r="LPV149" s="453"/>
      <c r="LPW149" s="453"/>
      <c r="LPX149" s="453"/>
      <c r="LPY149" s="461"/>
      <c r="LPZ149" s="461"/>
      <c r="LQA149" s="461"/>
      <c r="LQB149" s="609"/>
      <c r="LQC149" s="607"/>
      <c r="LQD149" s="607"/>
      <c r="LQE149" s="607"/>
      <c r="LQF149" s="463"/>
      <c r="LQG149" s="454"/>
      <c r="LQH149" s="607"/>
      <c r="LQI149" s="607"/>
      <c r="LQJ149" s="607"/>
      <c r="LQK149" s="607"/>
      <c r="LQL149" s="607"/>
      <c r="LQM149" s="453"/>
      <c r="LQN149" s="289"/>
      <c r="LQO149" s="453"/>
      <c r="LQP149" s="453"/>
      <c r="LQQ149" s="453"/>
      <c r="LQR149" s="453"/>
      <c r="LQS149" s="453"/>
      <c r="LQT149" s="461"/>
      <c r="LQU149" s="461"/>
      <c r="LQV149" s="461"/>
      <c r="LQW149" s="609"/>
      <c r="LQX149" s="607"/>
      <c r="LQY149" s="607"/>
      <c r="LQZ149" s="607"/>
      <c r="LRA149" s="463"/>
      <c r="LRB149" s="454"/>
      <c r="LRC149" s="607"/>
      <c r="LRD149" s="607"/>
      <c r="LRE149" s="607"/>
      <c r="LRF149" s="607"/>
      <c r="LRG149" s="607"/>
      <c r="LRH149" s="453"/>
      <c r="LRI149" s="289"/>
      <c r="LRJ149" s="453"/>
      <c r="LRK149" s="453"/>
      <c r="LRL149" s="453"/>
      <c r="LRM149" s="453"/>
      <c r="LRN149" s="453"/>
      <c r="LRO149" s="461"/>
      <c r="LRP149" s="461"/>
      <c r="LRQ149" s="461"/>
      <c r="LRR149" s="609"/>
      <c r="LRS149" s="607"/>
      <c r="LRT149" s="607"/>
      <c r="LRU149" s="607"/>
      <c r="LRV149" s="463"/>
      <c r="LRW149" s="454"/>
      <c r="LRX149" s="607"/>
      <c r="LRY149" s="607"/>
      <c r="LRZ149" s="607"/>
      <c r="LSA149" s="607"/>
      <c r="LSB149" s="607"/>
      <c r="LSC149" s="453"/>
      <c r="LSD149" s="289"/>
      <c r="LSE149" s="453"/>
      <c r="LSF149" s="453"/>
      <c r="LSG149" s="453"/>
      <c r="LSH149" s="453"/>
      <c r="LSI149" s="453"/>
      <c r="LSJ149" s="461"/>
      <c r="LSK149" s="461"/>
      <c r="LSL149" s="461"/>
      <c r="LSM149" s="609"/>
      <c r="LSN149" s="607"/>
      <c r="LSO149" s="607"/>
      <c r="LSP149" s="607"/>
      <c r="LSQ149" s="463"/>
      <c r="LSR149" s="454"/>
      <c r="LSS149" s="607"/>
      <c r="LST149" s="607"/>
      <c r="LSU149" s="607"/>
      <c r="LSV149" s="607"/>
      <c r="LSW149" s="607"/>
      <c r="LSX149" s="453"/>
      <c r="LSY149" s="289"/>
      <c r="LSZ149" s="453"/>
      <c r="LTA149" s="453"/>
      <c r="LTB149" s="453"/>
      <c r="LTC149" s="453"/>
      <c r="LTD149" s="453"/>
      <c r="LTE149" s="461"/>
      <c r="LTF149" s="461"/>
      <c r="LTG149" s="461"/>
      <c r="LTH149" s="609"/>
      <c r="LTI149" s="607"/>
      <c r="LTJ149" s="607"/>
      <c r="LTK149" s="607"/>
      <c r="LTL149" s="463"/>
      <c r="LTM149" s="454"/>
      <c r="LTN149" s="607"/>
      <c r="LTO149" s="607"/>
      <c r="LTP149" s="607"/>
      <c r="LTQ149" s="607"/>
      <c r="LTR149" s="607"/>
      <c r="LTS149" s="453"/>
      <c r="LTT149" s="289"/>
      <c r="LTU149" s="453"/>
      <c r="LTV149" s="453"/>
      <c r="LTW149" s="453"/>
      <c r="LTX149" s="453"/>
      <c r="LTY149" s="453"/>
      <c r="LTZ149" s="461"/>
      <c r="LUA149" s="461"/>
      <c r="LUB149" s="461"/>
      <c r="LUC149" s="609"/>
      <c r="LUD149" s="607"/>
      <c r="LUE149" s="607"/>
      <c r="LUF149" s="607"/>
      <c r="LUG149" s="463"/>
      <c r="LUH149" s="454"/>
      <c r="LUI149" s="607"/>
      <c r="LUJ149" s="607"/>
      <c r="LUK149" s="607"/>
      <c r="LUL149" s="607"/>
      <c r="LUM149" s="607"/>
      <c r="LUN149" s="453"/>
      <c r="LUO149" s="289"/>
      <c r="LUP149" s="453"/>
      <c r="LUQ149" s="453"/>
      <c r="LUR149" s="453"/>
      <c r="LUS149" s="453"/>
      <c r="LUT149" s="453"/>
      <c r="LUU149" s="461"/>
      <c r="LUV149" s="461"/>
      <c r="LUW149" s="461"/>
      <c r="LUX149" s="609"/>
      <c r="LUY149" s="607"/>
      <c r="LUZ149" s="607"/>
      <c r="LVA149" s="607"/>
      <c r="LVB149" s="463"/>
      <c r="LVC149" s="454"/>
      <c r="LVD149" s="607"/>
      <c r="LVE149" s="607"/>
      <c r="LVF149" s="607"/>
      <c r="LVG149" s="607"/>
      <c r="LVH149" s="607"/>
      <c r="LVI149" s="453"/>
      <c r="LVJ149" s="289"/>
      <c r="LVK149" s="453"/>
      <c r="LVL149" s="453"/>
      <c r="LVM149" s="453"/>
      <c r="LVN149" s="453"/>
      <c r="LVO149" s="453"/>
      <c r="LVP149" s="461"/>
      <c r="LVQ149" s="461"/>
      <c r="LVR149" s="461"/>
      <c r="LVS149" s="609"/>
      <c r="LVT149" s="607"/>
      <c r="LVU149" s="607"/>
      <c r="LVV149" s="607"/>
      <c r="LVW149" s="463"/>
      <c r="LVX149" s="454"/>
      <c r="LVY149" s="607"/>
      <c r="LVZ149" s="607"/>
      <c r="LWA149" s="607"/>
      <c r="LWB149" s="607"/>
      <c r="LWC149" s="607"/>
      <c r="LWD149" s="453"/>
      <c r="LWE149" s="289"/>
      <c r="LWF149" s="453"/>
      <c r="LWG149" s="453"/>
      <c r="LWH149" s="453"/>
      <c r="LWI149" s="453"/>
      <c r="LWJ149" s="453"/>
      <c r="LWK149" s="461"/>
      <c r="LWL149" s="461"/>
      <c r="LWM149" s="461"/>
      <c r="LWN149" s="609"/>
      <c r="LWO149" s="607"/>
      <c r="LWP149" s="607"/>
      <c r="LWQ149" s="607"/>
      <c r="LWR149" s="463"/>
      <c r="LWS149" s="454"/>
      <c r="LWT149" s="607"/>
      <c r="LWU149" s="607"/>
      <c r="LWV149" s="607"/>
      <c r="LWW149" s="607"/>
      <c r="LWX149" s="607"/>
      <c r="LWY149" s="453"/>
      <c r="LWZ149" s="289"/>
      <c r="LXA149" s="453"/>
      <c r="LXB149" s="453"/>
      <c r="LXC149" s="453"/>
      <c r="LXD149" s="453"/>
      <c r="LXE149" s="453"/>
      <c r="LXF149" s="461"/>
      <c r="LXG149" s="461"/>
      <c r="LXH149" s="461"/>
      <c r="LXI149" s="609"/>
      <c r="LXJ149" s="607"/>
      <c r="LXK149" s="607"/>
      <c r="LXL149" s="607"/>
      <c r="LXM149" s="463"/>
      <c r="LXN149" s="454"/>
      <c r="LXO149" s="607"/>
      <c r="LXP149" s="607"/>
      <c r="LXQ149" s="607"/>
      <c r="LXR149" s="607"/>
      <c r="LXS149" s="607"/>
      <c r="LXT149" s="453"/>
      <c r="LXU149" s="289"/>
      <c r="LXV149" s="453"/>
      <c r="LXW149" s="453"/>
      <c r="LXX149" s="453"/>
      <c r="LXY149" s="453"/>
      <c r="LXZ149" s="453"/>
      <c r="LYA149" s="461"/>
      <c r="LYB149" s="461"/>
      <c r="LYC149" s="461"/>
      <c r="LYD149" s="609"/>
      <c r="LYE149" s="607"/>
      <c r="LYF149" s="607"/>
      <c r="LYG149" s="607"/>
      <c r="LYH149" s="463"/>
      <c r="LYI149" s="454"/>
      <c r="LYJ149" s="607"/>
      <c r="LYK149" s="607"/>
      <c r="LYL149" s="607"/>
      <c r="LYM149" s="607"/>
      <c r="LYN149" s="607"/>
      <c r="LYO149" s="453"/>
      <c r="LYP149" s="289"/>
      <c r="LYQ149" s="453"/>
      <c r="LYR149" s="453"/>
      <c r="LYS149" s="453"/>
      <c r="LYT149" s="453"/>
      <c r="LYU149" s="453"/>
      <c r="LYV149" s="461"/>
      <c r="LYW149" s="461"/>
      <c r="LYX149" s="461"/>
      <c r="LYY149" s="609"/>
      <c r="LYZ149" s="607"/>
      <c r="LZA149" s="607"/>
      <c r="LZB149" s="607"/>
      <c r="LZC149" s="463"/>
      <c r="LZD149" s="454"/>
      <c r="LZE149" s="607"/>
      <c r="LZF149" s="607"/>
      <c r="LZG149" s="607"/>
      <c r="LZH149" s="607"/>
      <c r="LZI149" s="607"/>
      <c r="LZJ149" s="453"/>
      <c r="LZK149" s="289"/>
      <c r="LZL149" s="453"/>
      <c r="LZM149" s="453"/>
      <c r="LZN149" s="453"/>
      <c r="LZO149" s="453"/>
      <c r="LZP149" s="453"/>
      <c r="LZQ149" s="461"/>
      <c r="LZR149" s="461"/>
      <c r="LZS149" s="461"/>
      <c r="LZT149" s="609"/>
      <c r="LZU149" s="607"/>
      <c r="LZV149" s="607"/>
      <c r="LZW149" s="607"/>
      <c r="LZX149" s="463"/>
      <c r="LZY149" s="454"/>
      <c r="LZZ149" s="607"/>
      <c r="MAA149" s="607"/>
      <c r="MAB149" s="607"/>
      <c r="MAC149" s="607"/>
      <c r="MAD149" s="607"/>
      <c r="MAE149" s="453"/>
      <c r="MAF149" s="289"/>
      <c r="MAG149" s="453"/>
      <c r="MAH149" s="453"/>
      <c r="MAI149" s="453"/>
      <c r="MAJ149" s="453"/>
      <c r="MAK149" s="453"/>
      <c r="MAL149" s="461"/>
      <c r="MAM149" s="461"/>
      <c r="MAN149" s="461"/>
      <c r="MAO149" s="609"/>
      <c r="MAP149" s="607"/>
      <c r="MAQ149" s="607"/>
      <c r="MAR149" s="607"/>
      <c r="MAS149" s="463"/>
      <c r="MAT149" s="454"/>
      <c r="MAU149" s="607"/>
      <c r="MAV149" s="607"/>
      <c r="MAW149" s="607"/>
      <c r="MAX149" s="607"/>
      <c r="MAY149" s="607"/>
      <c r="MAZ149" s="453"/>
      <c r="MBA149" s="289"/>
      <c r="MBB149" s="453"/>
      <c r="MBC149" s="453"/>
      <c r="MBD149" s="453"/>
      <c r="MBE149" s="453"/>
      <c r="MBF149" s="453"/>
      <c r="MBG149" s="461"/>
      <c r="MBH149" s="461"/>
      <c r="MBI149" s="461"/>
      <c r="MBJ149" s="609"/>
      <c r="MBK149" s="607"/>
      <c r="MBL149" s="607"/>
      <c r="MBM149" s="607"/>
      <c r="MBN149" s="463"/>
      <c r="MBO149" s="454"/>
      <c r="MBP149" s="607"/>
      <c r="MBQ149" s="607"/>
      <c r="MBR149" s="607"/>
      <c r="MBS149" s="607"/>
      <c r="MBT149" s="607"/>
      <c r="MBU149" s="453"/>
      <c r="MBV149" s="289"/>
      <c r="MBW149" s="453"/>
      <c r="MBX149" s="453"/>
      <c r="MBY149" s="453"/>
      <c r="MBZ149" s="453"/>
      <c r="MCA149" s="453"/>
      <c r="MCB149" s="461"/>
      <c r="MCC149" s="461"/>
      <c r="MCD149" s="461"/>
      <c r="MCE149" s="609"/>
      <c r="MCF149" s="607"/>
      <c r="MCG149" s="607"/>
      <c r="MCH149" s="607"/>
      <c r="MCI149" s="463"/>
      <c r="MCJ149" s="454"/>
      <c r="MCK149" s="607"/>
      <c r="MCL149" s="607"/>
      <c r="MCM149" s="607"/>
      <c r="MCN149" s="607"/>
      <c r="MCO149" s="607"/>
      <c r="MCP149" s="453"/>
      <c r="MCQ149" s="289"/>
      <c r="MCR149" s="453"/>
      <c r="MCS149" s="453"/>
      <c r="MCT149" s="453"/>
      <c r="MCU149" s="453"/>
      <c r="MCV149" s="453"/>
      <c r="MCW149" s="461"/>
      <c r="MCX149" s="461"/>
      <c r="MCY149" s="461"/>
      <c r="MCZ149" s="609"/>
      <c r="MDA149" s="607"/>
      <c r="MDB149" s="607"/>
      <c r="MDC149" s="607"/>
      <c r="MDD149" s="463"/>
      <c r="MDE149" s="454"/>
      <c r="MDF149" s="607"/>
      <c r="MDG149" s="607"/>
      <c r="MDH149" s="607"/>
      <c r="MDI149" s="607"/>
      <c r="MDJ149" s="607"/>
      <c r="MDK149" s="453"/>
      <c r="MDL149" s="289"/>
      <c r="MDM149" s="453"/>
      <c r="MDN149" s="453"/>
      <c r="MDO149" s="453"/>
      <c r="MDP149" s="453"/>
      <c r="MDQ149" s="453"/>
      <c r="MDR149" s="461"/>
      <c r="MDS149" s="461"/>
      <c r="MDT149" s="461"/>
      <c r="MDU149" s="609"/>
      <c r="MDV149" s="607"/>
      <c r="MDW149" s="607"/>
      <c r="MDX149" s="607"/>
      <c r="MDY149" s="463"/>
      <c r="MDZ149" s="454"/>
      <c r="MEA149" s="607"/>
      <c r="MEB149" s="607"/>
      <c r="MEC149" s="607"/>
      <c r="MED149" s="607"/>
      <c r="MEE149" s="607"/>
      <c r="MEF149" s="453"/>
      <c r="MEG149" s="289"/>
      <c r="MEH149" s="453"/>
      <c r="MEI149" s="453"/>
      <c r="MEJ149" s="453"/>
      <c r="MEK149" s="453"/>
      <c r="MEL149" s="453"/>
      <c r="MEM149" s="461"/>
      <c r="MEN149" s="461"/>
      <c r="MEO149" s="461"/>
      <c r="MEP149" s="609"/>
      <c r="MEQ149" s="607"/>
      <c r="MER149" s="607"/>
      <c r="MES149" s="607"/>
      <c r="MET149" s="463"/>
      <c r="MEU149" s="454"/>
      <c r="MEV149" s="607"/>
      <c r="MEW149" s="607"/>
      <c r="MEX149" s="607"/>
      <c r="MEY149" s="607"/>
      <c r="MEZ149" s="607"/>
      <c r="MFA149" s="453"/>
      <c r="MFB149" s="289"/>
      <c r="MFC149" s="453"/>
      <c r="MFD149" s="453"/>
      <c r="MFE149" s="453"/>
      <c r="MFF149" s="453"/>
      <c r="MFG149" s="453"/>
      <c r="MFH149" s="461"/>
      <c r="MFI149" s="461"/>
      <c r="MFJ149" s="461"/>
      <c r="MFK149" s="609"/>
      <c r="MFL149" s="607"/>
      <c r="MFM149" s="607"/>
      <c r="MFN149" s="607"/>
      <c r="MFO149" s="463"/>
      <c r="MFP149" s="454"/>
      <c r="MFQ149" s="607"/>
      <c r="MFR149" s="607"/>
      <c r="MFS149" s="607"/>
      <c r="MFT149" s="607"/>
      <c r="MFU149" s="607"/>
      <c r="MFV149" s="453"/>
      <c r="MFW149" s="289"/>
      <c r="MFX149" s="453"/>
      <c r="MFY149" s="453"/>
      <c r="MFZ149" s="453"/>
      <c r="MGA149" s="453"/>
      <c r="MGB149" s="453"/>
      <c r="MGC149" s="461"/>
      <c r="MGD149" s="461"/>
      <c r="MGE149" s="461"/>
      <c r="MGF149" s="609"/>
      <c r="MGG149" s="607"/>
      <c r="MGH149" s="607"/>
      <c r="MGI149" s="607"/>
      <c r="MGJ149" s="463"/>
      <c r="MGK149" s="454"/>
      <c r="MGL149" s="607"/>
      <c r="MGM149" s="607"/>
      <c r="MGN149" s="607"/>
      <c r="MGO149" s="607"/>
      <c r="MGP149" s="607"/>
      <c r="MGQ149" s="453"/>
      <c r="MGR149" s="289"/>
      <c r="MGS149" s="453"/>
      <c r="MGT149" s="453"/>
      <c r="MGU149" s="453"/>
      <c r="MGV149" s="453"/>
      <c r="MGW149" s="453"/>
      <c r="MGX149" s="461"/>
      <c r="MGY149" s="461"/>
      <c r="MGZ149" s="461"/>
      <c r="MHA149" s="609"/>
      <c r="MHB149" s="607"/>
      <c r="MHC149" s="607"/>
      <c r="MHD149" s="607"/>
      <c r="MHE149" s="463"/>
      <c r="MHF149" s="454"/>
      <c r="MHG149" s="607"/>
      <c r="MHH149" s="607"/>
      <c r="MHI149" s="607"/>
      <c r="MHJ149" s="607"/>
      <c r="MHK149" s="607"/>
      <c r="MHL149" s="453"/>
      <c r="MHM149" s="289"/>
      <c r="MHN149" s="453"/>
      <c r="MHO149" s="453"/>
      <c r="MHP149" s="453"/>
      <c r="MHQ149" s="453"/>
      <c r="MHR149" s="453"/>
      <c r="MHS149" s="461"/>
      <c r="MHT149" s="461"/>
      <c r="MHU149" s="461"/>
      <c r="MHV149" s="609"/>
      <c r="MHW149" s="607"/>
      <c r="MHX149" s="607"/>
      <c r="MHY149" s="607"/>
      <c r="MHZ149" s="463"/>
      <c r="MIA149" s="454"/>
      <c r="MIB149" s="607"/>
      <c r="MIC149" s="607"/>
      <c r="MID149" s="607"/>
      <c r="MIE149" s="607"/>
      <c r="MIF149" s="607"/>
      <c r="MIG149" s="453"/>
      <c r="MIH149" s="289"/>
      <c r="MII149" s="453"/>
      <c r="MIJ149" s="453"/>
      <c r="MIK149" s="453"/>
      <c r="MIL149" s="453"/>
      <c r="MIM149" s="453"/>
      <c r="MIN149" s="461"/>
      <c r="MIO149" s="461"/>
      <c r="MIP149" s="461"/>
      <c r="MIQ149" s="609"/>
      <c r="MIR149" s="607"/>
      <c r="MIS149" s="607"/>
      <c r="MIT149" s="607"/>
      <c r="MIU149" s="463"/>
      <c r="MIV149" s="454"/>
      <c r="MIW149" s="607"/>
      <c r="MIX149" s="607"/>
      <c r="MIY149" s="607"/>
      <c r="MIZ149" s="607"/>
      <c r="MJA149" s="607"/>
      <c r="MJB149" s="453"/>
      <c r="MJC149" s="289"/>
      <c r="MJD149" s="453"/>
      <c r="MJE149" s="453"/>
      <c r="MJF149" s="453"/>
      <c r="MJG149" s="453"/>
      <c r="MJH149" s="453"/>
      <c r="MJI149" s="461"/>
      <c r="MJJ149" s="461"/>
      <c r="MJK149" s="461"/>
      <c r="MJL149" s="609"/>
      <c r="MJM149" s="607"/>
      <c r="MJN149" s="607"/>
      <c r="MJO149" s="607"/>
      <c r="MJP149" s="463"/>
      <c r="MJQ149" s="454"/>
      <c r="MJR149" s="607"/>
      <c r="MJS149" s="607"/>
      <c r="MJT149" s="607"/>
      <c r="MJU149" s="607"/>
      <c r="MJV149" s="607"/>
      <c r="MJW149" s="453"/>
      <c r="MJX149" s="289"/>
      <c r="MJY149" s="453"/>
      <c r="MJZ149" s="453"/>
      <c r="MKA149" s="453"/>
      <c r="MKB149" s="453"/>
      <c r="MKC149" s="453"/>
      <c r="MKD149" s="461"/>
      <c r="MKE149" s="461"/>
      <c r="MKF149" s="461"/>
      <c r="MKG149" s="609"/>
      <c r="MKH149" s="607"/>
      <c r="MKI149" s="607"/>
      <c r="MKJ149" s="607"/>
      <c r="MKK149" s="463"/>
      <c r="MKL149" s="454"/>
      <c r="MKM149" s="607"/>
      <c r="MKN149" s="607"/>
      <c r="MKO149" s="607"/>
      <c r="MKP149" s="607"/>
      <c r="MKQ149" s="607"/>
      <c r="MKR149" s="453"/>
      <c r="MKS149" s="289"/>
      <c r="MKT149" s="453"/>
      <c r="MKU149" s="453"/>
      <c r="MKV149" s="453"/>
      <c r="MKW149" s="453"/>
      <c r="MKX149" s="453"/>
      <c r="MKY149" s="461"/>
      <c r="MKZ149" s="461"/>
      <c r="MLA149" s="461"/>
      <c r="MLB149" s="609"/>
      <c r="MLC149" s="607"/>
      <c r="MLD149" s="607"/>
      <c r="MLE149" s="607"/>
      <c r="MLF149" s="463"/>
      <c r="MLG149" s="454"/>
      <c r="MLH149" s="607"/>
      <c r="MLI149" s="607"/>
      <c r="MLJ149" s="607"/>
      <c r="MLK149" s="607"/>
      <c r="MLL149" s="607"/>
      <c r="MLM149" s="453"/>
      <c r="MLN149" s="289"/>
      <c r="MLO149" s="453"/>
      <c r="MLP149" s="453"/>
      <c r="MLQ149" s="453"/>
      <c r="MLR149" s="453"/>
      <c r="MLS149" s="453"/>
      <c r="MLT149" s="461"/>
      <c r="MLU149" s="461"/>
      <c r="MLV149" s="461"/>
      <c r="MLW149" s="609"/>
      <c r="MLX149" s="607"/>
      <c r="MLY149" s="607"/>
      <c r="MLZ149" s="607"/>
      <c r="MMA149" s="463"/>
      <c r="MMB149" s="454"/>
      <c r="MMC149" s="607"/>
      <c r="MMD149" s="607"/>
      <c r="MME149" s="607"/>
      <c r="MMF149" s="607"/>
      <c r="MMG149" s="607"/>
      <c r="MMH149" s="453"/>
      <c r="MMI149" s="289"/>
      <c r="MMJ149" s="453"/>
      <c r="MMK149" s="453"/>
      <c r="MML149" s="453"/>
      <c r="MMM149" s="453"/>
      <c r="MMN149" s="453"/>
      <c r="MMO149" s="461"/>
      <c r="MMP149" s="461"/>
      <c r="MMQ149" s="461"/>
      <c r="MMR149" s="609"/>
      <c r="MMS149" s="607"/>
      <c r="MMT149" s="607"/>
      <c r="MMU149" s="607"/>
      <c r="MMV149" s="463"/>
      <c r="MMW149" s="454"/>
      <c r="MMX149" s="607"/>
      <c r="MMY149" s="607"/>
      <c r="MMZ149" s="607"/>
      <c r="MNA149" s="607"/>
      <c r="MNB149" s="607"/>
      <c r="MNC149" s="453"/>
      <c r="MND149" s="289"/>
      <c r="MNE149" s="453"/>
      <c r="MNF149" s="453"/>
      <c r="MNG149" s="453"/>
      <c r="MNH149" s="453"/>
      <c r="MNI149" s="453"/>
      <c r="MNJ149" s="461"/>
      <c r="MNK149" s="461"/>
      <c r="MNL149" s="461"/>
      <c r="MNM149" s="609"/>
      <c r="MNN149" s="607"/>
      <c r="MNO149" s="607"/>
      <c r="MNP149" s="607"/>
      <c r="MNQ149" s="463"/>
      <c r="MNR149" s="454"/>
      <c r="MNS149" s="607"/>
      <c r="MNT149" s="607"/>
      <c r="MNU149" s="607"/>
      <c r="MNV149" s="607"/>
      <c r="MNW149" s="607"/>
      <c r="MNX149" s="453"/>
      <c r="MNY149" s="289"/>
      <c r="MNZ149" s="453"/>
      <c r="MOA149" s="453"/>
      <c r="MOB149" s="453"/>
      <c r="MOC149" s="453"/>
      <c r="MOD149" s="453"/>
      <c r="MOE149" s="461"/>
      <c r="MOF149" s="461"/>
      <c r="MOG149" s="461"/>
      <c r="MOH149" s="609"/>
      <c r="MOI149" s="607"/>
      <c r="MOJ149" s="607"/>
      <c r="MOK149" s="607"/>
      <c r="MOL149" s="463"/>
      <c r="MOM149" s="454"/>
      <c r="MON149" s="607"/>
      <c r="MOO149" s="607"/>
      <c r="MOP149" s="607"/>
      <c r="MOQ149" s="607"/>
      <c r="MOR149" s="607"/>
      <c r="MOS149" s="453"/>
      <c r="MOT149" s="289"/>
      <c r="MOU149" s="453"/>
      <c r="MOV149" s="453"/>
      <c r="MOW149" s="453"/>
      <c r="MOX149" s="453"/>
      <c r="MOY149" s="453"/>
      <c r="MOZ149" s="461"/>
      <c r="MPA149" s="461"/>
      <c r="MPB149" s="461"/>
      <c r="MPC149" s="609"/>
      <c r="MPD149" s="607"/>
      <c r="MPE149" s="607"/>
      <c r="MPF149" s="607"/>
      <c r="MPG149" s="463"/>
      <c r="MPH149" s="454"/>
      <c r="MPI149" s="607"/>
      <c r="MPJ149" s="607"/>
      <c r="MPK149" s="607"/>
      <c r="MPL149" s="607"/>
      <c r="MPM149" s="607"/>
      <c r="MPN149" s="453"/>
      <c r="MPO149" s="289"/>
      <c r="MPP149" s="453"/>
      <c r="MPQ149" s="453"/>
      <c r="MPR149" s="453"/>
      <c r="MPS149" s="453"/>
      <c r="MPT149" s="453"/>
      <c r="MPU149" s="461"/>
      <c r="MPV149" s="461"/>
      <c r="MPW149" s="461"/>
      <c r="MPX149" s="609"/>
      <c r="MPY149" s="607"/>
      <c r="MPZ149" s="607"/>
      <c r="MQA149" s="607"/>
      <c r="MQB149" s="463"/>
      <c r="MQC149" s="454"/>
      <c r="MQD149" s="607"/>
      <c r="MQE149" s="607"/>
      <c r="MQF149" s="607"/>
      <c r="MQG149" s="607"/>
      <c r="MQH149" s="607"/>
      <c r="MQI149" s="453"/>
      <c r="MQJ149" s="289"/>
      <c r="MQK149" s="453"/>
      <c r="MQL149" s="453"/>
      <c r="MQM149" s="453"/>
      <c r="MQN149" s="453"/>
      <c r="MQO149" s="453"/>
      <c r="MQP149" s="461"/>
      <c r="MQQ149" s="461"/>
      <c r="MQR149" s="461"/>
      <c r="MQS149" s="609"/>
      <c r="MQT149" s="607"/>
      <c r="MQU149" s="607"/>
      <c r="MQV149" s="607"/>
      <c r="MQW149" s="463"/>
      <c r="MQX149" s="454"/>
      <c r="MQY149" s="607"/>
      <c r="MQZ149" s="607"/>
      <c r="MRA149" s="607"/>
      <c r="MRB149" s="607"/>
      <c r="MRC149" s="607"/>
      <c r="MRD149" s="453"/>
      <c r="MRE149" s="289"/>
      <c r="MRF149" s="453"/>
      <c r="MRG149" s="453"/>
      <c r="MRH149" s="453"/>
      <c r="MRI149" s="453"/>
      <c r="MRJ149" s="453"/>
      <c r="MRK149" s="461"/>
      <c r="MRL149" s="461"/>
      <c r="MRM149" s="461"/>
      <c r="MRN149" s="609"/>
      <c r="MRO149" s="607"/>
      <c r="MRP149" s="607"/>
      <c r="MRQ149" s="607"/>
      <c r="MRR149" s="463"/>
      <c r="MRS149" s="454"/>
      <c r="MRT149" s="607"/>
      <c r="MRU149" s="607"/>
      <c r="MRV149" s="607"/>
      <c r="MRW149" s="607"/>
      <c r="MRX149" s="607"/>
      <c r="MRY149" s="453"/>
      <c r="MRZ149" s="289"/>
      <c r="MSA149" s="453"/>
      <c r="MSB149" s="453"/>
      <c r="MSC149" s="453"/>
      <c r="MSD149" s="453"/>
      <c r="MSE149" s="453"/>
      <c r="MSF149" s="461"/>
      <c r="MSG149" s="461"/>
      <c r="MSH149" s="461"/>
      <c r="MSI149" s="609"/>
      <c r="MSJ149" s="607"/>
      <c r="MSK149" s="607"/>
      <c r="MSL149" s="607"/>
      <c r="MSM149" s="463"/>
      <c r="MSN149" s="454"/>
      <c r="MSO149" s="607"/>
      <c r="MSP149" s="607"/>
      <c r="MSQ149" s="607"/>
      <c r="MSR149" s="607"/>
      <c r="MSS149" s="607"/>
      <c r="MST149" s="453"/>
      <c r="MSU149" s="289"/>
      <c r="MSV149" s="453"/>
      <c r="MSW149" s="453"/>
      <c r="MSX149" s="453"/>
      <c r="MSY149" s="453"/>
      <c r="MSZ149" s="453"/>
      <c r="MTA149" s="461"/>
      <c r="MTB149" s="461"/>
      <c r="MTC149" s="461"/>
      <c r="MTD149" s="609"/>
      <c r="MTE149" s="607"/>
      <c r="MTF149" s="607"/>
      <c r="MTG149" s="607"/>
      <c r="MTH149" s="463"/>
      <c r="MTI149" s="454"/>
      <c r="MTJ149" s="607"/>
      <c r="MTK149" s="607"/>
      <c r="MTL149" s="607"/>
      <c r="MTM149" s="607"/>
      <c r="MTN149" s="607"/>
      <c r="MTO149" s="453"/>
      <c r="MTP149" s="289"/>
      <c r="MTQ149" s="453"/>
      <c r="MTR149" s="453"/>
      <c r="MTS149" s="453"/>
      <c r="MTT149" s="453"/>
      <c r="MTU149" s="453"/>
      <c r="MTV149" s="461"/>
      <c r="MTW149" s="461"/>
      <c r="MTX149" s="461"/>
      <c r="MTY149" s="609"/>
      <c r="MTZ149" s="607"/>
      <c r="MUA149" s="607"/>
      <c r="MUB149" s="607"/>
      <c r="MUC149" s="463"/>
      <c r="MUD149" s="454"/>
      <c r="MUE149" s="607"/>
      <c r="MUF149" s="607"/>
      <c r="MUG149" s="607"/>
      <c r="MUH149" s="607"/>
      <c r="MUI149" s="607"/>
      <c r="MUJ149" s="453"/>
      <c r="MUK149" s="289"/>
      <c r="MUL149" s="453"/>
      <c r="MUM149" s="453"/>
      <c r="MUN149" s="453"/>
      <c r="MUO149" s="453"/>
      <c r="MUP149" s="453"/>
      <c r="MUQ149" s="461"/>
      <c r="MUR149" s="461"/>
      <c r="MUS149" s="461"/>
      <c r="MUT149" s="609"/>
      <c r="MUU149" s="607"/>
      <c r="MUV149" s="607"/>
      <c r="MUW149" s="607"/>
      <c r="MUX149" s="463"/>
      <c r="MUY149" s="454"/>
      <c r="MUZ149" s="607"/>
      <c r="MVA149" s="607"/>
      <c r="MVB149" s="607"/>
      <c r="MVC149" s="607"/>
      <c r="MVD149" s="607"/>
      <c r="MVE149" s="453"/>
      <c r="MVF149" s="289"/>
      <c r="MVG149" s="453"/>
      <c r="MVH149" s="453"/>
      <c r="MVI149" s="453"/>
      <c r="MVJ149" s="453"/>
      <c r="MVK149" s="453"/>
      <c r="MVL149" s="461"/>
      <c r="MVM149" s="461"/>
      <c r="MVN149" s="461"/>
      <c r="MVO149" s="609"/>
      <c r="MVP149" s="607"/>
      <c r="MVQ149" s="607"/>
      <c r="MVR149" s="607"/>
      <c r="MVS149" s="463"/>
      <c r="MVT149" s="454"/>
      <c r="MVU149" s="607"/>
      <c r="MVV149" s="607"/>
      <c r="MVW149" s="607"/>
      <c r="MVX149" s="607"/>
      <c r="MVY149" s="607"/>
      <c r="MVZ149" s="453"/>
      <c r="MWA149" s="289"/>
      <c r="MWB149" s="453"/>
      <c r="MWC149" s="453"/>
      <c r="MWD149" s="453"/>
      <c r="MWE149" s="453"/>
      <c r="MWF149" s="453"/>
      <c r="MWG149" s="461"/>
      <c r="MWH149" s="461"/>
      <c r="MWI149" s="461"/>
      <c r="MWJ149" s="609"/>
      <c r="MWK149" s="607"/>
      <c r="MWL149" s="607"/>
      <c r="MWM149" s="607"/>
      <c r="MWN149" s="463"/>
      <c r="MWO149" s="454"/>
      <c r="MWP149" s="607"/>
      <c r="MWQ149" s="607"/>
      <c r="MWR149" s="607"/>
      <c r="MWS149" s="607"/>
      <c r="MWT149" s="607"/>
      <c r="MWU149" s="453"/>
      <c r="MWV149" s="289"/>
      <c r="MWW149" s="453"/>
      <c r="MWX149" s="453"/>
      <c r="MWY149" s="453"/>
      <c r="MWZ149" s="453"/>
      <c r="MXA149" s="453"/>
      <c r="MXB149" s="461"/>
      <c r="MXC149" s="461"/>
      <c r="MXD149" s="461"/>
      <c r="MXE149" s="609"/>
      <c r="MXF149" s="607"/>
      <c r="MXG149" s="607"/>
      <c r="MXH149" s="607"/>
      <c r="MXI149" s="463"/>
      <c r="MXJ149" s="454"/>
      <c r="MXK149" s="607"/>
      <c r="MXL149" s="607"/>
      <c r="MXM149" s="607"/>
      <c r="MXN149" s="607"/>
      <c r="MXO149" s="607"/>
      <c r="MXP149" s="453"/>
      <c r="MXQ149" s="289"/>
      <c r="MXR149" s="453"/>
      <c r="MXS149" s="453"/>
      <c r="MXT149" s="453"/>
      <c r="MXU149" s="453"/>
      <c r="MXV149" s="453"/>
      <c r="MXW149" s="461"/>
      <c r="MXX149" s="461"/>
      <c r="MXY149" s="461"/>
      <c r="MXZ149" s="609"/>
      <c r="MYA149" s="607"/>
      <c r="MYB149" s="607"/>
      <c r="MYC149" s="607"/>
      <c r="MYD149" s="463"/>
      <c r="MYE149" s="454"/>
      <c r="MYF149" s="607"/>
      <c r="MYG149" s="607"/>
      <c r="MYH149" s="607"/>
      <c r="MYI149" s="607"/>
      <c r="MYJ149" s="607"/>
      <c r="MYK149" s="453"/>
      <c r="MYL149" s="289"/>
      <c r="MYM149" s="453"/>
      <c r="MYN149" s="453"/>
      <c r="MYO149" s="453"/>
      <c r="MYP149" s="453"/>
      <c r="MYQ149" s="453"/>
      <c r="MYR149" s="461"/>
      <c r="MYS149" s="461"/>
      <c r="MYT149" s="461"/>
      <c r="MYU149" s="609"/>
      <c r="MYV149" s="607"/>
      <c r="MYW149" s="607"/>
      <c r="MYX149" s="607"/>
      <c r="MYY149" s="463"/>
      <c r="MYZ149" s="454"/>
      <c r="MZA149" s="607"/>
      <c r="MZB149" s="607"/>
      <c r="MZC149" s="607"/>
      <c r="MZD149" s="607"/>
      <c r="MZE149" s="607"/>
      <c r="MZF149" s="453"/>
      <c r="MZG149" s="289"/>
      <c r="MZH149" s="453"/>
      <c r="MZI149" s="453"/>
      <c r="MZJ149" s="453"/>
      <c r="MZK149" s="453"/>
      <c r="MZL149" s="453"/>
      <c r="MZM149" s="461"/>
      <c r="MZN149" s="461"/>
      <c r="MZO149" s="461"/>
      <c r="MZP149" s="609"/>
      <c r="MZQ149" s="607"/>
      <c r="MZR149" s="607"/>
      <c r="MZS149" s="607"/>
      <c r="MZT149" s="463"/>
      <c r="MZU149" s="454"/>
      <c r="MZV149" s="607"/>
      <c r="MZW149" s="607"/>
      <c r="MZX149" s="607"/>
      <c r="MZY149" s="607"/>
      <c r="MZZ149" s="607"/>
      <c r="NAA149" s="453"/>
      <c r="NAB149" s="289"/>
      <c r="NAC149" s="453"/>
      <c r="NAD149" s="453"/>
      <c r="NAE149" s="453"/>
      <c r="NAF149" s="453"/>
      <c r="NAG149" s="453"/>
      <c r="NAH149" s="461"/>
      <c r="NAI149" s="461"/>
      <c r="NAJ149" s="461"/>
      <c r="NAK149" s="609"/>
      <c r="NAL149" s="607"/>
      <c r="NAM149" s="607"/>
      <c r="NAN149" s="607"/>
      <c r="NAO149" s="463"/>
      <c r="NAP149" s="454"/>
      <c r="NAQ149" s="607"/>
      <c r="NAR149" s="607"/>
      <c r="NAS149" s="607"/>
      <c r="NAT149" s="607"/>
      <c r="NAU149" s="607"/>
      <c r="NAV149" s="453"/>
      <c r="NAW149" s="289"/>
      <c r="NAX149" s="453"/>
      <c r="NAY149" s="453"/>
      <c r="NAZ149" s="453"/>
      <c r="NBA149" s="453"/>
      <c r="NBB149" s="453"/>
      <c r="NBC149" s="461"/>
      <c r="NBD149" s="461"/>
      <c r="NBE149" s="461"/>
      <c r="NBF149" s="609"/>
      <c r="NBG149" s="607"/>
      <c r="NBH149" s="607"/>
      <c r="NBI149" s="607"/>
      <c r="NBJ149" s="463"/>
      <c r="NBK149" s="454"/>
      <c r="NBL149" s="607"/>
      <c r="NBM149" s="607"/>
      <c r="NBN149" s="607"/>
      <c r="NBO149" s="607"/>
      <c r="NBP149" s="607"/>
      <c r="NBQ149" s="453"/>
      <c r="NBR149" s="289"/>
      <c r="NBS149" s="453"/>
      <c r="NBT149" s="453"/>
      <c r="NBU149" s="453"/>
      <c r="NBV149" s="453"/>
      <c r="NBW149" s="453"/>
      <c r="NBX149" s="461"/>
      <c r="NBY149" s="461"/>
      <c r="NBZ149" s="461"/>
      <c r="NCA149" s="609"/>
      <c r="NCB149" s="607"/>
      <c r="NCC149" s="607"/>
      <c r="NCD149" s="607"/>
      <c r="NCE149" s="463"/>
      <c r="NCF149" s="454"/>
      <c r="NCG149" s="607"/>
      <c r="NCH149" s="607"/>
      <c r="NCI149" s="607"/>
      <c r="NCJ149" s="607"/>
      <c r="NCK149" s="607"/>
      <c r="NCL149" s="453"/>
      <c r="NCM149" s="289"/>
      <c r="NCN149" s="453"/>
      <c r="NCO149" s="453"/>
      <c r="NCP149" s="453"/>
      <c r="NCQ149" s="453"/>
      <c r="NCR149" s="453"/>
      <c r="NCS149" s="461"/>
      <c r="NCT149" s="461"/>
      <c r="NCU149" s="461"/>
      <c r="NCV149" s="609"/>
      <c r="NCW149" s="607"/>
      <c r="NCX149" s="607"/>
      <c r="NCY149" s="607"/>
      <c r="NCZ149" s="463"/>
      <c r="NDA149" s="454"/>
      <c r="NDB149" s="607"/>
      <c r="NDC149" s="607"/>
      <c r="NDD149" s="607"/>
      <c r="NDE149" s="607"/>
      <c r="NDF149" s="607"/>
      <c r="NDG149" s="453"/>
      <c r="NDH149" s="289"/>
      <c r="NDI149" s="453"/>
      <c r="NDJ149" s="453"/>
      <c r="NDK149" s="453"/>
      <c r="NDL149" s="453"/>
      <c r="NDM149" s="453"/>
      <c r="NDN149" s="461"/>
      <c r="NDO149" s="461"/>
      <c r="NDP149" s="461"/>
      <c r="NDQ149" s="609"/>
      <c r="NDR149" s="607"/>
      <c r="NDS149" s="607"/>
      <c r="NDT149" s="607"/>
      <c r="NDU149" s="463"/>
      <c r="NDV149" s="454"/>
      <c r="NDW149" s="607"/>
      <c r="NDX149" s="607"/>
      <c r="NDY149" s="607"/>
      <c r="NDZ149" s="607"/>
      <c r="NEA149" s="607"/>
      <c r="NEB149" s="453"/>
      <c r="NEC149" s="289"/>
      <c r="NED149" s="453"/>
      <c r="NEE149" s="453"/>
      <c r="NEF149" s="453"/>
      <c r="NEG149" s="453"/>
      <c r="NEH149" s="453"/>
      <c r="NEI149" s="461"/>
      <c r="NEJ149" s="461"/>
      <c r="NEK149" s="461"/>
      <c r="NEL149" s="609"/>
      <c r="NEM149" s="607"/>
      <c r="NEN149" s="607"/>
      <c r="NEO149" s="607"/>
      <c r="NEP149" s="463"/>
      <c r="NEQ149" s="454"/>
      <c r="NER149" s="607"/>
      <c r="NES149" s="607"/>
      <c r="NET149" s="607"/>
      <c r="NEU149" s="607"/>
      <c r="NEV149" s="607"/>
      <c r="NEW149" s="453"/>
      <c r="NEX149" s="289"/>
      <c r="NEY149" s="453"/>
      <c r="NEZ149" s="453"/>
      <c r="NFA149" s="453"/>
      <c r="NFB149" s="453"/>
      <c r="NFC149" s="453"/>
      <c r="NFD149" s="461"/>
      <c r="NFE149" s="461"/>
      <c r="NFF149" s="461"/>
      <c r="NFG149" s="609"/>
      <c r="NFH149" s="607"/>
      <c r="NFI149" s="607"/>
      <c r="NFJ149" s="607"/>
      <c r="NFK149" s="463"/>
      <c r="NFL149" s="454"/>
      <c r="NFM149" s="607"/>
      <c r="NFN149" s="607"/>
      <c r="NFO149" s="607"/>
      <c r="NFP149" s="607"/>
      <c r="NFQ149" s="607"/>
      <c r="NFR149" s="453"/>
      <c r="NFS149" s="289"/>
      <c r="NFT149" s="453"/>
      <c r="NFU149" s="453"/>
      <c r="NFV149" s="453"/>
      <c r="NFW149" s="453"/>
      <c r="NFX149" s="453"/>
      <c r="NFY149" s="461"/>
      <c r="NFZ149" s="461"/>
      <c r="NGA149" s="461"/>
      <c r="NGB149" s="609"/>
      <c r="NGC149" s="607"/>
      <c r="NGD149" s="607"/>
      <c r="NGE149" s="607"/>
      <c r="NGF149" s="463"/>
      <c r="NGG149" s="454"/>
      <c r="NGH149" s="607"/>
      <c r="NGI149" s="607"/>
      <c r="NGJ149" s="607"/>
      <c r="NGK149" s="607"/>
      <c r="NGL149" s="607"/>
      <c r="NGM149" s="453"/>
      <c r="NGN149" s="289"/>
      <c r="NGO149" s="453"/>
      <c r="NGP149" s="453"/>
      <c r="NGQ149" s="453"/>
      <c r="NGR149" s="453"/>
      <c r="NGS149" s="453"/>
      <c r="NGT149" s="461"/>
      <c r="NGU149" s="461"/>
      <c r="NGV149" s="461"/>
      <c r="NGW149" s="609"/>
      <c r="NGX149" s="607"/>
      <c r="NGY149" s="607"/>
      <c r="NGZ149" s="607"/>
      <c r="NHA149" s="463"/>
      <c r="NHB149" s="454"/>
      <c r="NHC149" s="607"/>
      <c r="NHD149" s="607"/>
      <c r="NHE149" s="607"/>
      <c r="NHF149" s="607"/>
      <c r="NHG149" s="607"/>
      <c r="NHH149" s="453"/>
      <c r="NHI149" s="289"/>
      <c r="NHJ149" s="453"/>
      <c r="NHK149" s="453"/>
      <c r="NHL149" s="453"/>
      <c r="NHM149" s="453"/>
      <c r="NHN149" s="453"/>
      <c r="NHO149" s="461"/>
      <c r="NHP149" s="461"/>
      <c r="NHQ149" s="461"/>
      <c r="NHR149" s="609"/>
      <c r="NHS149" s="607"/>
      <c r="NHT149" s="607"/>
      <c r="NHU149" s="607"/>
      <c r="NHV149" s="463"/>
      <c r="NHW149" s="454"/>
      <c r="NHX149" s="607"/>
      <c r="NHY149" s="607"/>
      <c r="NHZ149" s="607"/>
      <c r="NIA149" s="607"/>
      <c r="NIB149" s="607"/>
      <c r="NIC149" s="453"/>
      <c r="NID149" s="289"/>
      <c r="NIE149" s="453"/>
      <c r="NIF149" s="453"/>
      <c r="NIG149" s="453"/>
      <c r="NIH149" s="453"/>
      <c r="NII149" s="453"/>
      <c r="NIJ149" s="461"/>
      <c r="NIK149" s="461"/>
      <c r="NIL149" s="461"/>
      <c r="NIM149" s="609"/>
      <c r="NIN149" s="607"/>
      <c r="NIO149" s="607"/>
      <c r="NIP149" s="607"/>
      <c r="NIQ149" s="463"/>
      <c r="NIR149" s="454"/>
      <c r="NIS149" s="607"/>
      <c r="NIT149" s="607"/>
      <c r="NIU149" s="607"/>
      <c r="NIV149" s="607"/>
      <c r="NIW149" s="607"/>
      <c r="NIX149" s="453"/>
      <c r="NIY149" s="289"/>
      <c r="NIZ149" s="453"/>
      <c r="NJA149" s="453"/>
      <c r="NJB149" s="453"/>
      <c r="NJC149" s="453"/>
      <c r="NJD149" s="453"/>
      <c r="NJE149" s="461"/>
      <c r="NJF149" s="461"/>
      <c r="NJG149" s="461"/>
      <c r="NJH149" s="609"/>
      <c r="NJI149" s="607"/>
      <c r="NJJ149" s="607"/>
      <c r="NJK149" s="607"/>
      <c r="NJL149" s="463"/>
      <c r="NJM149" s="454"/>
      <c r="NJN149" s="607"/>
      <c r="NJO149" s="607"/>
      <c r="NJP149" s="607"/>
      <c r="NJQ149" s="607"/>
      <c r="NJR149" s="607"/>
      <c r="NJS149" s="453"/>
      <c r="NJT149" s="289"/>
      <c r="NJU149" s="453"/>
      <c r="NJV149" s="453"/>
      <c r="NJW149" s="453"/>
      <c r="NJX149" s="453"/>
      <c r="NJY149" s="453"/>
      <c r="NJZ149" s="461"/>
      <c r="NKA149" s="461"/>
      <c r="NKB149" s="461"/>
      <c r="NKC149" s="609"/>
      <c r="NKD149" s="607"/>
      <c r="NKE149" s="607"/>
      <c r="NKF149" s="607"/>
      <c r="NKG149" s="463"/>
      <c r="NKH149" s="454"/>
      <c r="NKI149" s="607"/>
      <c r="NKJ149" s="607"/>
      <c r="NKK149" s="607"/>
      <c r="NKL149" s="607"/>
      <c r="NKM149" s="607"/>
      <c r="NKN149" s="453"/>
      <c r="NKO149" s="289"/>
      <c r="NKP149" s="453"/>
      <c r="NKQ149" s="453"/>
      <c r="NKR149" s="453"/>
      <c r="NKS149" s="453"/>
      <c r="NKT149" s="453"/>
      <c r="NKU149" s="461"/>
      <c r="NKV149" s="461"/>
      <c r="NKW149" s="461"/>
      <c r="NKX149" s="609"/>
      <c r="NKY149" s="607"/>
      <c r="NKZ149" s="607"/>
      <c r="NLA149" s="607"/>
      <c r="NLB149" s="463"/>
      <c r="NLC149" s="454"/>
      <c r="NLD149" s="607"/>
      <c r="NLE149" s="607"/>
      <c r="NLF149" s="607"/>
      <c r="NLG149" s="607"/>
      <c r="NLH149" s="607"/>
      <c r="NLI149" s="453"/>
      <c r="NLJ149" s="289"/>
      <c r="NLK149" s="453"/>
      <c r="NLL149" s="453"/>
      <c r="NLM149" s="453"/>
      <c r="NLN149" s="453"/>
      <c r="NLO149" s="453"/>
      <c r="NLP149" s="461"/>
      <c r="NLQ149" s="461"/>
      <c r="NLR149" s="461"/>
      <c r="NLS149" s="609"/>
      <c r="NLT149" s="607"/>
      <c r="NLU149" s="607"/>
      <c r="NLV149" s="607"/>
      <c r="NLW149" s="463"/>
      <c r="NLX149" s="454"/>
      <c r="NLY149" s="607"/>
      <c r="NLZ149" s="607"/>
      <c r="NMA149" s="607"/>
      <c r="NMB149" s="607"/>
      <c r="NMC149" s="607"/>
      <c r="NMD149" s="453"/>
      <c r="NME149" s="289"/>
      <c r="NMF149" s="453"/>
      <c r="NMG149" s="453"/>
      <c r="NMH149" s="453"/>
      <c r="NMI149" s="453"/>
      <c r="NMJ149" s="453"/>
      <c r="NMK149" s="461"/>
      <c r="NML149" s="461"/>
      <c r="NMM149" s="461"/>
      <c r="NMN149" s="609"/>
      <c r="NMO149" s="607"/>
      <c r="NMP149" s="607"/>
      <c r="NMQ149" s="607"/>
      <c r="NMR149" s="463"/>
      <c r="NMS149" s="454"/>
      <c r="NMT149" s="607"/>
      <c r="NMU149" s="607"/>
      <c r="NMV149" s="607"/>
      <c r="NMW149" s="607"/>
      <c r="NMX149" s="607"/>
      <c r="NMY149" s="453"/>
      <c r="NMZ149" s="289"/>
      <c r="NNA149" s="453"/>
      <c r="NNB149" s="453"/>
      <c r="NNC149" s="453"/>
      <c r="NND149" s="453"/>
      <c r="NNE149" s="453"/>
      <c r="NNF149" s="461"/>
      <c r="NNG149" s="461"/>
      <c r="NNH149" s="461"/>
      <c r="NNI149" s="609"/>
      <c r="NNJ149" s="607"/>
      <c r="NNK149" s="607"/>
      <c r="NNL149" s="607"/>
      <c r="NNM149" s="463"/>
      <c r="NNN149" s="454"/>
      <c r="NNO149" s="607"/>
      <c r="NNP149" s="607"/>
      <c r="NNQ149" s="607"/>
      <c r="NNR149" s="607"/>
      <c r="NNS149" s="607"/>
      <c r="NNT149" s="453"/>
      <c r="NNU149" s="289"/>
      <c r="NNV149" s="453"/>
      <c r="NNW149" s="453"/>
      <c r="NNX149" s="453"/>
      <c r="NNY149" s="453"/>
      <c r="NNZ149" s="453"/>
      <c r="NOA149" s="461"/>
      <c r="NOB149" s="461"/>
      <c r="NOC149" s="461"/>
      <c r="NOD149" s="609"/>
      <c r="NOE149" s="607"/>
      <c r="NOF149" s="607"/>
      <c r="NOG149" s="607"/>
      <c r="NOH149" s="463"/>
      <c r="NOI149" s="454"/>
      <c r="NOJ149" s="607"/>
      <c r="NOK149" s="607"/>
      <c r="NOL149" s="607"/>
      <c r="NOM149" s="607"/>
      <c r="NON149" s="607"/>
      <c r="NOO149" s="453"/>
      <c r="NOP149" s="289"/>
      <c r="NOQ149" s="453"/>
      <c r="NOR149" s="453"/>
      <c r="NOS149" s="453"/>
      <c r="NOT149" s="453"/>
      <c r="NOU149" s="453"/>
      <c r="NOV149" s="461"/>
      <c r="NOW149" s="461"/>
      <c r="NOX149" s="461"/>
      <c r="NOY149" s="609"/>
      <c r="NOZ149" s="607"/>
      <c r="NPA149" s="607"/>
      <c r="NPB149" s="607"/>
      <c r="NPC149" s="463"/>
      <c r="NPD149" s="454"/>
      <c r="NPE149" s="607"/>
      <c r="NPF149" s="607"/>
      <c r="NPG149" s="607"/>
      <c r="NPH149" s="607"/>
      <c r="NPI149" s="607"/>
      <c r="NPJ149" s="453"/>
      <c r="NPK149" s="289"/>
      <c r="NPL149" s="453"/>
      <c r="NPM149" s="453"/>
      <c r="NPN149" s="453"/>
      <c r="NPO149" s="453"/>
      <c r="NPP149" s="453"/>
      <c r="NPQ149" s="461"/>
      <c r="NPR149" s="461"/>
      <c r="NPS149" s="461"/>
      <c r="NPT149" s="609"/>
      <c r="NPU149" s="607"/>
      <c r="NPV149" s="607"/>
      <c r="NPW149" s="607"/>
      <c r="NPX149" s="463"/>
      <c r="NPY149" s="454"/>
      <c r="NPZ149" s="607"/>
      <c r="NQA149" s="607"/>
      <c r="NQB149" s="607"/>
      <c r="NQC149" s="607"/>
      <c r="NQD149" s="607"/>
      <c r="NQE149" s="453"/>
      <c r="NQF149" s="289"/>
      <c r="NQG149" s="453"/>
      <c r="NQH149" s="453"/>
      <c r="NQI149" s="453"/>
      <c r="NQJ149" s="453"/>
      <c r="NQK149" s="453"/>
      <c r="NQL149" s="461"/>
      <c r="NQM149" s="461"/>
      <c r="NQN149" s="461"/>
      <c r="NQO149" s="609"/>
      <c r="NQP149" s="607"/>
      <c r="NQQ149" s="607"/>
      <c r="NQR149" s="607"/>
      <c r="NQS149" s="463"/>
      <c r="NQT149" s="454"/>
      <c r="NQU149" s="607"/>
      <c r="NQV149" s="607"/>
      <c r="NQW149" s="607"/>
      <c r="NQX149" s="607"/>
      <c r="NQY149" s="607"/>
      <c r="NQZ149" s="453"/>
      <c r="NRA149" s="289"/>
      <c r="NRB149" s="453"/>
      <c r="NRC149" s="453"/>
      <c r="NRD149" s="453"/>
      <c r="NRE149" s="453"/>
      <c r="NRF149" s="453"/>
      <c r="NRG149" s="461"/>
      <c r="NRH149" s="461"/>
      <c r="NRI149" s="461"/>
      <c r="NRJ149" s="609"/>
      <c r="NRK149" s="607"/>
      <c r="NRL149" s="607"/>
      <c r="NRM149" s="607"/>
      <c r="NRN149" s="463"/>
      <c r="NRO149" s="454"/>
      <c r="NRP149" s="607"/>
      <c r="NRQ149" s="607"/>
      <c r="NRR149" s="607"/>
      <c r="NRS149" s="607"/>
      <c r="NRT149" s="607"/>
      <c r="NRU149" s="453"/>
      <c r="NRV149" s="289"/>
      <c r="NRW149" s="453"/>
      <c r="NRX149" s="453"/>
      <c r="NRY149" s="453"/>
      <c r="NRZ149" s="453"/>
      <c r="NSA149" s="453"/>
      <c r="NSB149" s="461"/>
      <c r="NSC149" s="461"/>
      <c r="NSD149" s="461"/>
      <c r="NSE149" s="609"/>
      <c r="NSF149" s="607"/>
      <c r="NSG149" s="607"/>
      <c r="NSH149" s="607"/>
      <c r="NSI149" s="463"/>
      <c r="NSJ149" s="454"/>
      <c r="NSK149" s="607"/>
      <c r="NSL149" s="607"/>
      <c r="NSM149" s="607"/>
      <c r="NSN149" s="607"/>
      <c r="NSO149" s="607"/>
      <c r="NSP149" s="453"/>
      <c r="NSQ149" s="289"/>
      <c r="NSR149" s="453"/>
      <c r="NSS149" s="453"/>
      <c r="NST149" s="453"/>
      <c r="NSU149" s="453"/>
      <c r="NSV149" s="453"/>
      <c r="NSW149" s="461"/>
      <c r="NSX149" s="461"/>
      <c r="NSY149" s="461"/>
      <c r="NSZ149" s="609"/>
      <c r="NTA149" s="607"/>
      <c r="NTB149" s="607"/>
      <c r="NTC149" s="607"/>
      <c r="NTD149" s="463"/>
      <c r="NTE149" s="454"/>
      <c r="NTF149" s="607"/>
      <c r="NTG149" s="607"/>
      <c r="NTH149" s="607"/>
      <c r="NTI149" s="607"/>
      <c r="NTJ149" s="607"/>
      <c r="NTK149" s="453"/>
      <c r="NTL149" s="289"/>
      <c r="NTM149" s="453"/>
      <c r="NTN149" s="453"/>
      <c r="NTO149" s="453"/>
      <c r="NTP149" s="453"/>
      <c r="NTQ149" s="453"/>
      <c r="NTR149" s="461"/>
      <c r="NTS149" s="461"/>
      <c r="NTT149" s="461"/>
      <c r="NTU149" s="609"/>
      <c r="NTV149" s="607"/>
      <c r="NTW149" s="607"/>
      <c r="NTX149" s="607"/>
      <c r="NTY149" s="463"/>
      <c r="NTZ149" s="454"/>
      <c r="NUA149" s="607"/>
      <c r="NUB149" s="607"/>
      <c r="NUC149" s="607"/>
      <c r="NUD149" s="607"/>
      <c r="NUE149" s="607"/>
      <c r="NUF149" s="453"/>
      <c r="NUG149" s="289"/>
      <c r="NUH149" s="453"/>
      <c r="NUI149" s="453"/>
      <c r="NUJ149" s="453"/>
      <c r="NUK149" s="453"/>
      <c r="NUL149" s="453"/>
      <c r="NUM149" s="461"/>
      <c r="NUN149" s="461"/>
      <c r="NUO149" s="461"/>
      <c r="NUP149" s="609"/>
      <c r="NUQ149" s="607"/>
      <c r="NUR149" s="607"/>
      <c r="NUS149" s="607"/>
      <c r="NUT149" s="463"/>
      <c r="NUU149" s="454"/>
      <c r="NUV149" s="607"/>
      <c r="NUW149" s="607"/>
      <c r="NUX149" s="607"/>
      <c r="NUY149" s="607"/>
      <c r="NUZ149" s="607"/>
      <c r="NVA149" s="453"/>
      <c r="NVB149" s="289"/>
      <c r="NVC149" s="453"/>
      <c r="NVD149" s="453"/>
      <c r="NVE149" s="453"/>
      <c r="NVF149" s="453"/>
      <c r="NVG149" s="453"/>
      <c r="NVH149" s="461"/>
      <c r="NVI149" s="461"/>
      <c r="NVJ149" s="461"/>
      <c r="NVK149" s="609"/>
      <c r="NVL149" s="607"/>
      <c r="NVM149" s="607"/>
      <c r="NVN149" s="607"/>
      <c r="NVO149" s="463"/>
      <c r="NVP149" s="454"/>
      <c r="NVQ149" s="607"/>
      <c r="NVR149" s="607"/>
      <c r="NVS149" s="607"/>
      <c r="NVT149" s="607"/>
      <c r="NVU149" s="607"/>
      <c r="NVV149" s="453"/>
      <c r="NVW149" s="289"/>
      <c r="NVX149" s="453"/>
      <c r="NVY149" s="453"/>
      <c r="NVZ149" s="453"/>
      <c r="NWA149" s="453"/>
      <c r="NWB149" s="453"/>
      <c r="NWC149" s="461"/>
      <c r="NWD149" s="461"/>
      <c r="NWE149" s="461"/>
      <c r="NWF149" s="609"/>
      <c r="NWG149" s="607"/>
      <c r="NWH149" s="607"/>
      <c r="NWI149" s="607"/>
      <c r="NWJ149" s="463"/>
      <c r="NWK149" s="454"/>
      <c r="NWL149" s="607"/>
      <c r="NWM149" s="607"/>
      <c r="NWN149" s="607"/>
      <c r="NWO149" s="607"/>
      <c r="NWP149" s="607"/>
      <c r="NWQ149" s="453"/>
      <c r="NWR149" s="289"/>
      <c r="NWS149" s="453"/>
      <c r="NWT149" s="453"/>
      <c r="NWU149" s="453"/>
      <c r="NWV149" s="453"/>
      <c r="NWW149" s="453"/>
      <c r="NWX149" s="461"/>
      <c r="NWY149" s="461"/>
      <c r="NWZ149" s="461"/>
      <c r="NXA149" s="609"/>
      <c r="NXB149" s="607"/>
      <c r="NXC149" s="607"/>
      <c r="NXD149" s="607"/>
      <c r="NXE149" s="463"/>
      <c r="NXF149" s="454"/>
      <c r="NXG149" s="607"/>
      <c r="NXH149" s="607"/>
      <c r="NXI149" s="607"/>
      <c r="NXJ149" s="607"/>
      <c r="NXK149" s="607"/>
      <c r="NXL149" s="453"/>
      <c r="NXM149" s="289"/>
      <c r="NXN149" s="453"/>
      <c r="NXO149" s="453"/>
      <c r="NXP149" s="453"/>
      <c r="NXQ149" s="453"/>
      <c r="NXR149" s="453"/>
      <c r="NXS149" s="461"/>
      <c r="NXT149" s="461"/>
      <c r="NXU149" s="461"/>
      <c r="NXV149" s="609"/>
      <c r="NXW149" s="607"/>
      <c r="NXX149" s="607"/>
      <c r="NXY149" s="607"/>
      <c r="NXZ149" s="463"/>
      <c r="NYA149" s="454"/>
      <c r="NYB149" s="607"/>
      <c r="NYC149" s="607"/>
      <c r="NYD149" s="607"/>
      <c r="NYE149" s="607"/>
      <c r="NYF149" s="607"/>
      <c r="NYG149" s="453"/>
      <c r="NYH149" s="289"/>
      <c r="NYI149" s="453"/>
      <c r="NYJ149" s="453"/>
      <c r="NYK149" s="453"/>
      <c r="NYL149" s="453"/>
      <c r="NYM149" s="453"/>
      <c r="NYN149" s="461"/>
      <c r="NYO149" s="461"/>
      <c r="NYP149" s="461"/>
      <c r="NYQ149" s="609"/>
      <c r="NYR149" s="607"/>
      <c r="NYS149" s="607"/>
      <c r="NYT149" s="607"/>
      <c r="NYU149" s="463"/>
      <c r="NYV149" s="454"/>
      <c r="NYW149" s="607"/>
      <c r="NYX149" s="607"/>
      <c r="NYY149" s="607"/>
      <c r="NYZ149" s="607"/>
      <c r="NZA149" s="607"/>
      <c r="NZB149" s="453"/>
      <c r="NZC149" s="289"/>
      <c r="NZD149" s="453"/>
      <c r="NZE149" s="453"/>
      <c r="NZF149" s="453"/>
      <c r="NZG149" s="453"/>
      <c r="NZH149" s="453"/>
      <c r="NZI149" s="461"/>
      <c r="NZJ149" s="461"/>
      <c r="NZK149" s="461"/>
      <c r="NZL149" s="609"/>
      <c r="NZM149" s="607"/>
      <c r="NZN149" s="607"/>
      <c r="NZO149" s="607"/>
      <c r="NZP149" s="463"/>
      <c r="NZQ149" s="454"/>
      <c r="NZR149" s="607"/>
      <c r="NZS149" s="607"/>
      <c r="NZT149" s="607"/>
      <c r="NZU149" s="607"/>
      <c r="NZV149" s="607"/>
      <c r="NZW149" s="453"/>
      <c r="NZX149" s="289"/>
      <c r="NZY149" s="453"/>
      <c r="NZZ149" s="453"/>
      <c r="OAA149" s="453"/>
      <c r="OAB149" s="453"/>
      <c r="OAC149" s="453"/>
      <c r="OAD149" s="461"/>
      <c r="OAE149" s="461"/>
      <c r="OAF149" s="461"/>
      <c r="OAG149" s="609"/>
      <c r="OAH149" s="607"/>
      <c r="OAI149" s="607"/>
      <c r="OAJ149" s="607"/>
      <c r="OAK149" s="463"/>
      <c r="OAL149" s="454"/>
      <c r="OAM149" s="607"/>
      <c r="OAN149" s="607"/>
      <c r="OAO149" s="607"/>
      <c r="OAP149" s="607"/>
      <c r="OAQ149" s="607"/>
      <c r="OAR149" s="453"/>
      <c r="OAS149" s="289"/>
      <c r="OAT149" s="453"/>
      <c r="OAU149" s="453"/>
      <c r="OAV149" s="453"/>
      <c r="OAW149" s="453"/>
      <c r="OAX149" s="453"/>
      <c r="OAY149" s="461"/>
      <c r="OAZ149" s="461"/>
      <c r="OBA149" s="461"/>
      <c r="OBB149" s="609"/>
      <c r="OBC149" s="607"/>
      <c r="OBD149" s="607"/>
      <c r="OBE149" s="607"/>
      <c r="OBF149" s="463"/>
      <c r="OBG149" s="454"/>
      <c r="OBH149" s="607"/>
      <c r="OBI149" s="607"/>
      <c r="OBJ149" s="607"/>
      <c r="OBK149" s="607"/>
      <c r="OBL149" s="607"/>
      <c r="OBM149" s="453"/>
      <c r="OBN149" s="289"/>
      <c r="OBO149" s="453"/>
      <c r="OBP149" s="453"/>
      <c r="OBQ149" s="453"/>
      <c r="OBR149" s="453"/>
      <c r="OBS149" s="453"/>
      <c r="OBT149" s="461"/>
      <c r="OBU149" s="461"/>
      <c r="OBV149" s="461"/>
      <c r="OBW149" s="609"/>
      <c r="OBX149" s="607"/>
      <c r="OBY149" s="607"/>
      <c r="OBZ149" s="607"/>
      <c r="OCA149" s="463"/>
      <c r="OCB149" s="454"/>
      <c r="OCC149" s="607"/>
      <c r="OCD149" s="607"/>
      <c r="OCE149" s="607"/>
      <c r="OCF149" s="607"/>
      <c r="OCG149" s="607"/>
      <c r="OCH149" s="453"/>
      <c r="OCI149" s="289"/>
      <c r="OCJ149" s="453"/>
      <c r="OCK149" s="453"/>
      <c r="OCL149" s="453"/>
      <c r="OCM149" s="453"/>
      <c r="OCN149" s="453"/>
      <c r="OCO149" s="461"/>
      <c r="OCP149" s="461"/>
      <c r="OCQ149" s="461"/>
      <c r="OCR149" s="609"/>
      <c r="OCS149" s="607"/>
      <c r="OCT149" s="607"/>
      <c r="OCU149" s="607"/>
      <c r="OCV149" s="463"/>
      <c r="OCW149" s="454"/>
      <c r="OCX149" s="607"/>
      <c r="OCY149" s="607"/>
      <c r="OCZ149" s="607"/>
      <c r="ODA149" s="607"/>
      <c r="ODB149" s="607"/>
      <c r="ODC149" s="453"/>
      <c r="ODD149" s="289"/>
      <c r="ODE149" s="453"/>
      <c r="ODF149" s="453"/>
      <c r="ODG149" s="453"/>
      <c r="ODH149" s="453"/>
      <c r="ODI149" s="453"/>
      <c r="ODJ149" s="461"/>
      <c r="ODK149" s="461"/>
      <c r="ODL149" s="461"/>
      <c r="ODM149" s="609"/>
      <c r="ODN149" s="607"/>
      <c r="ODO149" s="607"/>
      <c r="ODP149" s="607"/>
      <c r="ODQ149" s="463"/>
      <c r="ODR149" s="454"/>
      <c r="ODS149" s="607"/>
      <c r="ODT149" s="607"/>
      <c r="ODU149" s="607"/>
      <c r="ODV149" s="607"/>
      <c r="ODW149" s="607"/>
      <c r="ODX149" s="453"/>
      <c r="ODY149" s="289"/>
      <c r="ODZ149" s="453"/>
      <c r="OEA149" s="453"/>
      <c r="OEB149" s="453"/>
      <c r="OEC149" s="453"/>
      <c r="OED149" s="453"/>
      <c r="OEE149" s="461"/>
      <c r="OEF149" s="461"/>
      <c r="OEG149" s="461"/>
      <c r="OEH149" s="609"/>
      <c r="OEI149" s="607"/>
      <c r="OEJ149" s="607"/>
      <c r="OEK149" s="607"/>
      <c r="OEL149" s="463"/>
      <c r="OEM149" s="454"/>
      <c r="OEN149" s="607"/>
      <c r="OEO149" s="607"/>
      <c r="OEP149" s="607"/>
      <c r="OEQ149" s="607"/>
      <c r="OER149" s="607"/>
      <c r="OES149" s="453"/>
      <c r="OET149" s="289"/>
      <c r="OEU149" s="453"/>
      <c r="OEV149" s="453"/>
      <c r="OEW149" s="453"/>
      <c r="OEX149" s="453"/>
      <c r="OEY149" s="453"/>
      <c r="OEZ149" s="461"/>
      <c r="OFA149" s="461"/>
      <c r="OFB149" s="461"/>
      <c r="OFC149" s="609"/>
      <c r="OFD149" s="607"/>
      <c r="OFE149" s="607"/>
      <c r="OFF149" s="607"/>
      <c r="OFG149" s="463"/>
      <c r="OFH149" s="454"/>
      <c r="OFI149" s="607"/>
      <c r="OFJ149" s="607"/>
      <c r="OFK149" s="607"/>
      <c r="OFL149" s="607"/>
      <c r="OFM149" s="607"/>
      <c r="OFN149" s="453"/>
      <c r="OFO149" s="289"/>
      <c r="OFP149" s="453"/>
      <c r="OFQ149" s="453"/>
      <c r="OFR149" s="453"/>
      <c r="OFS149" s="453"/>
      <c r="OFT149" s="453"/>
      <c r="OFU149" s="461"/>
      <c r="OFV149" s="461"/>
      <c r="OFW149" s="461"/>
      <c r="OFX149" s="609"/>
      <c r="OFY149" s="607"/>
      <c r="OFZ149" s="607"/>
      <c r="OGA149" s="607"/>
      <c r="OGB149" s="463"/>
      <c r="OGC149" s="454"/>
      <c r="OGD149" s="607"/>
      <c r="OGE149" s="607"/>
      <c r="OGF149" s="607"/>
      <c r="OGG149" s="607"/>
      <c r="OGH149" s="607"/>
      <c r="OGI149" s="453"/>
      <c r="OGJ149" s="289"/>
      <c r="OGK149" s="453"/>
      <c r="OGL149" s="453"/>
      <c r="OGM149" s="453"/>
      <c r="OGN149" s="453"/>
      <c r="OGO149" s="453"/>
      <c r="OGP149" s="461"/>
      <c r="OGQ149" s="461"/>
      <c r="OGR149" s="461"/>
      <c r="OGS149" s="609"/>
      <c r="OGT149" s="607"/>
      <c r="OGU149" s="607"/>
      <c r="OGV149" s="607"/>
      <c r="OGW149" s="463"/>
      <c r="OGX149" s="454"/>
      <c r="OGY149" s="607"/>
      <c r="OGZ149" s="607"/>
      <c r="OHA149" s="607"/>
      <c r="OHB149" s="607"/>
      <c r="OHC149" s="607"/>
      <c r="OHD149" s="453"/>
      <c r="OHE149" s="289"/>
      <c r="OHF149" s="453"/>
      <c r="OHG149" s="453"/>
      <c r="OHH149" s="453"/>
      <c r="OHI149" s="453"/>
      <c r="OHJ149" s="453"/>
      <c r="OHK149" s="461"/>
      <c r="OHL149" s="461"/>
      <c r="OHM149" s="461"/>
      <c r="OHN149" s="609"/>
      <c r="OHO149" s="607"/>
      <c r="OHP149" s="607"/>
      <c r="OHQ149" s="607"/>
      <c r="OHR149" s="463"/>
      <c r="OHS149" s="454"/>
      <c r="OHT149" s="607"/>
      <c r="OHU149" s="607"/>
      <c r="OHV149" s="607"/>
      <c r="OHW149" s="607"/>
      <c r="OHX149" s="607"/>
      <c r="OHY149" s="453"/>
      <c r="OHZ149" s="289"/>
      <c r="OIA149" s="453"/>
      <c r="OIB149" s="453"/>
      <c r="OIC149" s="453"/>
      <c r="OID149" s="453"/>
      <c r="OIE149" s="453"/>
      <c r="OIF149" s="461"/>
      <c r="OIG149" s="461"/>
      <c r="OIH149" s="461"/>
      <c r="OII149" s="609"/>
      <c r="OIJ149" s="607"/>
      <c r="OIK149" s="607"/>
      <c r="OIL149" s="607"/>
      <c r="OIM149" s="463"/>
      <c r="OIN149" s="454"/>
      <c r="OIO149" s="607"/>
      <c r="OIP149" s="607"/>
      <c r="OIQ149" s="607"/>
      <c r="OIR149" s="607"/>
      <c r="OIS149" s="607"/>
      <c r="OIT149" s="453"/>
      <c r="OIU149" s="289"/>
      <c r="OIV149" s="453"/>
      <c r="OIW149" s="453"/>
      <c r="OIX149" s="453"/>
      <c r="OIY149" s="453"/>
      <c r="OIZ149" s="453"/>
      <c r="OJA149" s="461"/>
      <c r="OJB149" s="461"/>
      <c r="OJC149" s="461"/>
      <c r="OJD149" s="609"/>
      <c r="OJE149" s="607"/>
      <c r="OJF149" s="607"/>
      <c r="OJG149" s="607"/>
      <c r="OJH149" s="463"/>
      <c r="OJI149" s="454"/>
      <c r="OJJ149" s="607"/>
      <c r="OJK149" s="607"/>
      <c r="OJL149" s="607"/>
      <c r="OJM149" s="607"/>
      <c r="OJN149" s="607"/>
      <c r="OJO149" s="453"/>
      <c r="OJP149" s="289"/>
      <c r="OJQ149" s="453"/>
      <c r="OJR149" s="453"/>
      <c r="OJS149" s="453"/>
      <c r="OJT149" s="453"/>
      <c r="OJU149" s="453"/>
      <c r="OJV149" s="461"/>
      <c r="OJW149" s="461"/>
      <c r="OJX149" s="461"/>
      <c r="OJY149" s="609"/>
      <c r="OJZ149" s="607"/>
      <c r="OKA149" s="607"/>
      <c r="OKB149" s="607"/>
      <c r="OKC149" s="463"/>
      <c r="OKD149" s="454"/>
      <c r="OKE149" s="607"/>
      <c r="OKF149" s="607"/>
      <c r="OKG149" s="607"/>
      <c r="OKH149" s="607"/>
      <c r="OKI149" s="607"/>
      <c r="OKJ149" s="453"/>
      <c r="OKK149" s="289"/>
      <c r="OKL149" s="453"/>
      <c r="OKM149" s="453"/>
      <c r="OKN149" s="453"/>
      <c r="OKO149" s="453"/>
      <c r="OKP149" s="453"/>
      <c r="OKQ149" s="461"/>
      <c r="OKR149" s="461"/>
      <c r="OKS149" s="461"/>
      <c r="OKT149" s="609"/>
      <c r="OKU149" s="607"/>
      <c r="OKV149" s="607"/>
      <c r="OKW149" s="607"/>
      <c r="OKX149" s="463"/>
      <c r="OKY149" s="454"/>
      <c r="OKZ149" s="607"/>
      <c r="OLA149" s="607"/>
      <c r="OLB149" s="607"/>
      <c r="OLC149" s="607"/>
      <c r="OLD149" s="607"/>
      <c r="OLE149" s="453"/>
      <c r="OLF149" s="289"/>
      <c r="OLG149" s="453"/>
      <c r="OLH149" s="453"/>
      <c r="OLI149" s="453"/>
      <c r="OLJ149" s="453"/>
      <c r="OLK149" s="453"/>
      <c r="OLL149" s="461"/>
      <c r="OLM149" s="461"/>
      <c r="OLN149" s="461"/>
      <c r="OLO149" s="609"/>
      <c r="OLP149" s="607"/>
      <c r="OLQ149" s="607"/>
      <c r="OLR149" s="607"/>
      <c r="OLS149" s="463"/>
      <c r="OLT149" s="454"/>
      <c r="OLU149" s="607"/>
      <c r="OLV149" s="607"/>
      <c r="OLW149" s="607"/>
      <c r="OLX149" s="607"/>
      <c r="OLY149" s="607"/>
      <c r="OLZ149" s="453"/>
      <c r="OMA149" s="289"/>
      <c r="OMB149" s="453"/>
      <c r="OMC149" s="453"/>
      <c r="OMD149" s="453"/>
      <c r="OME149" s="453"/>
      <c r="OMF149" s="453"/>
      <c r="OMG149" s="461"/>
      <c r="OMH149" s="461"/>
      <c r="OMI149" s="461"/>
      <c r="OMJ149" s="609"/>
      <c r="OMK149" s="607"/>
      <c r="OML149" s="607"/>
      <c r="OMM149" s="607"/>
      <c r="OMN149" s="463"/>
      <c r="OMO149" s="454"/>
      <c r="OMP149" s="607"/>
      <c r="OMQ149" s="607"/>
      <c r="OMR149" s="607"/>
      <c r="OMS149" s="607"/>
      <c r="OMT149" s="607"/>
      <c r="OMU149" s="453"/>
      <c r="OMV149" s="289"/>
      <c r="OMW149" s="453"/>
      <c r="OMX149" s="453"/>
      <c r="OMY149" s="453"/>
      <c r="OMZ149" s="453"/>
      <c r="ONA149" s="453"/>
      <c r="ONB149" s="461"/>
      <c r="ONC149" s="461"/>
      <c r="OND149" s="461"/>
      <c r="ONE149" s="609"/>
      <c r="ONF149" s="607"/>
      <c r="ONG149" s="607"/>
      <c r="ONH149" s="607"/>
      <c r="ONI149" s="463"/>
      <c r="ONJ149" s="454"/>
      <c r="ONK149" s="607"/>
      <c r="ONL149" s="607"/>
      <c r="ONM149" s="607"/>
      <c r="ONN149" s="607"/>
      <c r="ONO149" s="607"/>
      <c r="ONP149" s="453"/>
      <c r="ONQ149" s="289"/>
      <c r="ONR149" s="453"/>
      <c r="ONS149" s="453"/>
      <c r="ONT149" s="453"/>
      <c r="ONU149" s="453"/>
      <c r="ONV149" s="453"/>
      <c r="ONW149" s="461"/>
      <c r="ONX149" s="461"/>
      <c r="ONY149" s="461"/>
      <c r="ONZ149" s="609"/>
      <c r="OOA149" s="607"/>
      <c r="OOB149" s="607"/>
      <c r="OOC149" s="607"/>
      <c r="OOD149" s="463"/>
      <c r="OOE149" s="454"/>
      <c r="OOF149" s="607"/>
      <c r="OOG149" s="607"/>
      <c r="OOH149" s="607"/>
      <c r="OOI149" s="607"/>
      <c r="OOJ149" s="607"/>
      <c r="OOK149" s="453"/>
      <c r="OOL149" s="289"/>
      <c r="OOM149" s="453"/>
      <c r="OON149" s="453"/>
      <c r="OOO149" s="453"/>
      <c r="OOP149" s="453"/>
      <c r="OOQ149" s="453"/>
      <c r="OOR149" s="461"/>
      <c r="OOS149" s="461"/>
      <c r="OOT149" s="461"/>
      <c r="OOU149" s="609"/>
      <c r="OOV149" s="607"/>
      <c r="OOW149" s="607"/>
      <c r="OOX149" s="607"/>
      <c r="OOY149" s="463"/>
      <c r="OOZ149" s="454"/>
      <c r="OPA149" s="607"/>
      <c r="OPB149" s="607"/>
      <c r="OPC149" s="607"/>
      <c r="OPD149" s="607"/>
      <c r="OPE149" s="607"/>
      <c r="OPF149" s="453"/>
      <c r="OPG149" s="289"/>
      <c r="OPH149" s="453"/>
      <c r="OPI149" s="453"/>
      <c r="OPJ149" s="453"/>
      <c r="OPK149" s="453"/>
      <c r="OPL149" s="453"/>
      <c r="OPM149" s="461"/>
      <c r="OPN149" s="461"/>
      <c r="OPO149" s="461"/>
      <c r="OPP149" s="609"/>
      <c r="OPQ149" s="607"/>
      <c r="OPR149" s="607"/>
      <c r="OPS149" s="607"/>
      <c r="OPT149" s="463"/>
      <c r="OPU149" s="454"/>
      <c r="OPV149" s="607"/>
      <c r="OPW149" s="607"/>
      <c r="OPX149" s="607"/>
      <c r="OPY149" s="607"/>
      <c r="OPZ149" s="607"/>
      <c r="OQA149" s="453"/>
      <c r="OQB149" s="289"/>
      <c r="OQC149" s="453"/>
      <c r="OQD149" s="453"/>
      <c r="OQE149" s="453"/>
      <c r="OQF149" s="453"/>
      <c r="OQG149" s="453"/>
      <c r="OQH149" s="461"/>
      <c r="OQI149" s="461"/>
      <c r="OQJ149" s="461"/>
      <c r="OQK149" s="609"/>
      <c r="OQL149" s="607"/>
      <c r="OQM149" s="607"/>
      <c r="OQN149" s="607"/>
      <c r="OQO149" s="463"/>
      <c r="OQP149" s="454"/>
      <c r="OQQ149" s="607"/>
      <c r="OQR149" s="607"/>
      <c r="OQS149" s="607"/>
      <c r="OQT149" s="607"/>
      <c r="OQU149" s="607"/>
      <c r="OQV149" s="453"/>
      <c r="OQW149" s="289"/>
      <c r="OQX149" s="453"/>
      <c r="OQY149" s="453"/>
      <c r="OQZ149" s="453"/>
      <c r="ORA149" s="453"/>
      <c r="ORB149" s="453"/>
      <c r="ORC149" s="461"/>
      <c r="ORD149" s="461"/>
      <c r="ORE149" s="461"/>
      <c r="ORF149" s="609"/>
      <c r="ORG149" s="607"/>
      <c r="ORH149" s="607"/>
      <c r="ORI149" s="607"/>
      <c r="ORJ149" s="463"/>
      <c r="ORK149" s="454"/>
      <c r="ORL149" s="607"/>
      <c r="ORM149" s="607"/>
      <c r="ORN149" s="607"/>
      <c r="ORO149" s="607"/>
      <c r="ORP149" s="607"/>
      <c r="ORQ149" s="453"/>
      <c r="ORR149" s="289"/>
      <c r="ORS149" s="453"/>
      <c r="ORT149" s="453"/>
      <c r="ORU149" s="453"/>
      <c r="ORV149" s="453"/>
      <c r="ORW149" s="453"/>
      <c r="ORX149" s="461"/>
      <c r="ORY149" s="461"/>
      <c r="ORZ149" s="461"/>
      <c r="OSA149" s="609"/>
      <c r="OSB149" s="607"/>
      <c r="OSC149" s="607"/>
      <c r="OSD149" s="607"/>
      <c r="OSE149" s="463"/>
      <c r="OSF149" s="454"/>
      <c r="OSG149" s="607"/>
      <c r="OSH149" s="607"/>
      <c r="OSI149" s="607"/>
      <c r="OSJ149" s="607"/>
      <c r="OSK149" s="607"/>
      <c r="OSL149" s="453"/>
      <c r="OSM149" s="289"/>
      <c r="OSN149" s="453"/>
      <c r="OSO149" s="453"/>
      <c r="OSP149" s="453"/>
      <c r="OSQ149" s="453"/>
      <c r="OSR149" s="453"/>
      <c r="OSS149" s="461"/>
      <c r="OST149" s="461"/>
      <c r="OSU149" s="461"/>
      <c r="OSV149" s="609"/>
      <c r="OSW149" s="607"/>
      <c r="OSX149" s="607"/>
      <c r="OSY149" s="607"/>
      <c r="OSZ149" s="463"/>
      <c r="OTA149" s="454"/>
      <c r="OTB149" s="607"/>
      <c r="OTC149" s="607"/>
      <c r="OTD149" s="607"/>
      <c r="OTE149" s="607"/>
      <c r="OTF149" s="607"/>
      <c r="OTG149" s="453"/>
      <c r="OTH149" s="289"/>
      <c r="OTI149" s="453"/>
      <c r="OTJ149" s="453"/>
      <c r="OTK149" s="453"/>
      <c r="OTL149" s="453"/>
      <c r="OTM149" s="453"/>
      <c r="OTN149" s="461"/>
      <c r="OTO149" s="461"/>
      <c r="OTP149" s="461"/>
      <c r="OTQ149" s="609"/>
      <c r="OTR149" s="607"/>
      <c r="OTS149" s="607"/>
      <c r="OTT149" s="607"/>
      <c r="OTU149" s="463"/>
      <c r="OTV149" s="454"/>
      <c r="OTW149" s="607"/>
      <c r="OTX149" s="607"/>
      <c r="OTY149" s="607"/>
      <c r="OTZ149" s="607"/>
      <c r="OUA149" s="607"/>
      <c r="OUB149" s="453"/>
      <c r="OUC149" s="289"/>
      <c r="OUD149" s="453"/>
      <c r="OUE149" s="453"/>
      <c r="OUF149" s="453"/>
      <c r="OUG149" s="453"/>
      <c r="OUH149" s="453"/>
      <c r="OUI149" s="461"/>
      <c r="OUJ149" s="461"/>
      <c r="OUK149" s="461"/>
      <c r="OUL149" s="609"/>
      <c r="OUM149" s="607"/>
      <c r="OUN149" s="607"/>
      <c r="OUO149" s="607"/>
      <c r="OUP149" s="463"/>
      <c r="OUQ149" s="454"/>
      <c r="OUR149" s="607"/>
      <c r="OUS149" s="607"/>
      <c r="OUT149" s="607"/>
      <c r="OUU149" s="607"/>
      <c r="OUV149" s="607"/>
      <c r="OUW149" s="453"/>
      <c r="OUX149" s="289"/>
      <c r="OUY149" s="453"/>
      <c r="OUZ149" s="453"/>
      <c r="OVA149" s="453"/>
      <c r="OVB149" s="453"/>
      <c r="OVC149" s="453"/>
      <c r="OVD149" s="461"/>
      <c r="OVE149" s="461"/>
      <c r="OVF149" s="461"/>
      <c r="OVG149" s="609"/>
      <c r="OVH149" s="607"/>
      <c r="OVI149" s="607"/>
      <c r="OVJ149" s="607"/>
      <c r="OVK149" s="463"/>
      <c r="OVL149" s="454"/>
      <c r="OVM149" s="607"/>
      <c r="OVN149" s="607"/>
      <c r="OVO149" s="607"/>
      <c r="OVP149" s="607"/>
      <c r="OVQ149" s="607"/>
      <c r="OVR149" s="453"/>
      <c r="OVS149" s="289"/>
      <c r="OVT149" s="453"/>
      <c r="OVU149" s="453"/>
      <c r="OVV149" s="453"/>
      <c r="OVW149" s="453"/>
      <c r="OVX149" s="453"/>
      <c r="OVY149" s="461"/>
      <c r="OVZ149" s="461"/>
      <c r="OWA149" s="461"/>
      <c r="OWB149" s="609"/>
      <c r="OWC149" s="607"/>
      <c r="OWD149" s="607"/>
      <c r="OWE149" s="607"/>
      <c r="OWF149" s="463"/>
      <c r="OWG149" s="454"/>
      <c r="OWH149" s="607"/>
      <c r="OWI149" s="607"/>
      <c r="OWJ149" s="607"/>
      <c r="OWK149" s="607"/>
      <c r="OWL149" s="607"/>
      <c r="OWM149" s="453"/>
      <c r="OWN149" s="289"/>
      <c r="OWO149" s="453"/>
      <c r="OWP149" s="453"/>
      <c r="OWQ149" s="453"/>
      <c r="OWR149" s="453"/>
      <c r="OWS149" s="453"/>
      <c r="OWT149" s="461"/>
      <c r="OWU149" s="461"/>
      <c r="OWV149" s="461"/>
      <c r="OWW149" s="609"/>
      <c r="OWX149" s="607"/>
      <c r="OWY149" s="607"/>
      <c r="OWZ149" s="607"/>
      <c r="OXA149" s="463"/>
      <c r="OXB149" s="454"/>
      <c r="OXC149" s="607"/>
      <c r="OXD149" s="607"/>
      <c r="OXE149" s="607"/>
      <c r="OXF149" s="607"/>
      <c r="OXG149" s="607"/>
      <c r="OXH149" s="453"/>
      <c r="OXI149" s="289"/>
      <c r="OXJ149" s="453"/>
      <c r="OXK149" s="453"/>
      <c r="OXL149" s="453"/>
      <c r="OXM149" s="453"/>
      <c r="OXN149" s="453"/>
      <c r="OXO149" s="461"/>
      <c r="OXP149" s="461"/>
      <c r="OXQ149" s="461"/>
      <c r="OXR149" s="609"/>
      <c r="OXS149" s="607"/>
      <c r="OXT149" s="607"/>
      <c r="OXU149" s="607"/>
      <c r="OXV149" s="463"/>
      <c r="OXW149" s="454"/>
      <c r="OXX149" s="607"/>
      <c r="OXY149" s="607"/>
      <c r="OXZ149" s="607"/>
      <c r="OYA149" s="607"/>
      <c r="OYB149" s="607"/>
      <c r="OYC149" s="453"/>
      <c r="OYD149" s="289"/>
      <c r="OYE149" s="453"/>
      <c r="OYF149" s="453"/>
      <c r="OYG149" s="453"/>
      <c r="OYH149" s="453"/>
      <c r="OYI149" s="453"/>
      <c r="OYJ149" s="461"/>
      <c r="OYK149" s="461"/>
      <c r="OYL149" s="461"/>
      <c r="OYM149" s="609"/>
      <c r="OYN149" s="607"/>
      <c r="OYO149" s="607"/>
      <c r="OYP149" s="607"/>
      <c r="OYQ149" s="463"/>
      <c r="OYR149" s="454"/>
      <c r="OYS149" s="607"/>
      <c r="OYT149" s="607"/>
      <c r="OYU149" s="607"/>
      <c r="OYV149" s="607"/>
      <c r="OYW149" s="607"/>
      <c r="OYX149" s="453"/>
      <c r="OYY149" s="289"/>
      <c r="OYZ149" s="453"/>
      <c r="OZA149" s="453"/>
      <c r="OZB149" s="453"/>
      <c r="OZC149" s="453"/>
      <c r="OZD149" s="453"/>
      <c r="OZE149" s="461"/>
      <c r="OZF149" s="461"/>
      <c r="OZG149" s="461"/>
      <c r="OZH149" s="609"/>
      <c r="OZI149" s="607"/>
      <c r="OZJ149" s="607"/>
      <c r="OZK149" s="607"/>
      <c r="OZL149" s="463"/>
      <c r="OZM149" s="454"/>
      <c r="OZN149" s="607"/>
      <c r="OZO149" s="607"/>
      <c r="OZP149" s="607"/>
      <c r="OZQ149" s="607"/>
      <c r="OZR149" s="607"/>
      <c r="OZS149" s="453"/>
      <c r="OZT149" s="289"/>
      <c r="OZU149" s="453"/>
      <c r="OZV149" s="453"/>
      <c r="OZW149" s="453"/>
      <c r="OZX149" s="453"/>
      <c r="OZY149" s="453"/>
      <c r="OZZ149" s="461"/>
      <c r="PAA149" s="461"/>
      <c r="PAB149" s="461"/>
      <c r="PAC149" s="609"/>
      <c r="PAD149" s="607"/>
      <c r="PAE149" s="607"/>
      <c r="PAF149" s="607"/>
      <c r="PAG149" s="463"/>
      <c r="PAH149" s="454"/>
      <c r="PAI149" s="607"/>
      <c r="PAJ149" s="607"/>
      <c r="PAK149" s="607"/>
      <c r="PAL149" s="607"/>
      <c r="PAM149" s="607"/>
      <c r="PAN149" s="453"/>
      <c r="PAO149" s="289"/>
      <c r="PAP149" s="453"/>
      <c r="PAQ149" s="453"/>
      <c r="PAR149" s="453"/>
      <c r="PAS149" s="453"/>
      <c r="PAT149" s="453"/>
      <c r="PAU149" s="461"/>
      <c r="PAV149" s="461"/>
      <c r="PAW149" s="461"/>
      <c r="PAX149" s="609"/>
      <c r="PAY149" s="607"/>
      <c r="PAZ149" s="607"/>
      <c r="PBA149" s="607"/>
      <c r="PBB149" s="463"/>
      <c r="PBC149" s="454"/>
      <c r="PBD149" s="607"/>
      <c r="PBE149" s="607"/>
      <c r="PBF149" s="607"/>
      <c r="PBG149" s="607"/>
      <c r="PBH149" s="607"/>
      <c r="PBI149" s="453"/>
      <c r="PBJ149" s="289"/>
      <c r="PBK149" s="453"/>
      <c r="PBL149" s="453"/>
      <c r="PBM149" s="453"/>
      <c r="PBN149" s="453"/>
      <c r="PBO149" s="453"/>
      <c r="PBP149" s="461"/>
      <c r="PBQ149" s="461"/>
      <c r="PBR149" s="461"/>
      <c r="PBS149" s="609"/>
      <c r="PBT149" s="607"/>
      <c r="PBU149" s="607"/>
      <c r="PBV149" s="607"/>
      <c r="PBW149" s="463"/>
      <c r="PBX149" s="454"/>
      <c r="PBY149" s="607"/>
      <c r="PBZ149" s="607"/>
      <c r="PCA149" s="607"/>
      <c r="PCB149" s="607"/>
      <c r="PCC149" s="607"/>
      <c r="PCD149" s="453"/>
      <c r="PCE149" s="289"/>
      <c r="PCF149" s="453"/>
      <c r="PCG149" s="453"/>
      <c r="PCH149" s="453"/>
      <c r="PCI149" s="453"/>
      <c r="PCJ149" s="453"/>
      <c r="PCK149" s="461"/>
      <c r="PCL149" s="461"/>
      <c r="PCM149" s="461"/>
      <c r="PCN149" s="609"/>
      <c r="PCO149" s="607"/>
      <c r="PCP149" s="607"/>
      <c r="PCQ149" s="607"/>
      <c r="PCR149" s="463"/>
      <c r="PCS149" s="454"/>
      <c r="PCT149" s="607"/>
      <c r="PCU149" s="607"/>
      <c r="PCV149" s="607"/>
      <c r="PCW149" s="607"/>
      <c r="PCX149" s="607"/>
      <c r="PCY149" s="453"/>
      <c r="PCZ149" s="289"/>
      <c r="PDA149" s="453"/>
      <c r="PDB149" s="453"/>
      <c r="PDC149" s="453"/>
      <c r="PDD149" s="453"/>
      <c r="PDE149" s="453"/>
      <c r="PDF149" s="461"/>
      <c r="PDG149" s="461"/>
      <c r="PDH149" s="461"/>
      <c r="PDI149" s="609"/>
      <c r="PDJ149" s="607"/>
      <c r="PDK149" s="607"/>
      <c r="PDL149" s="607"/>
      <c r="PDM149" s="463"/>
      <c r="PDN149" s="454"/>
      <c r="PDO149" s="607"/>
      <c r="PDP149" s="607"/>
      <c r="PDQ149" s="607"/>
      <c r="PDR149" s="607"/>
      <c r="PDS149" s="607"/>
      <c r="PDT149" s="453"/>
      <c r="PDU149" s="289"/>
      <c r="PDV149" s="453"/>
      <c r="PDW149" s="453"/>
      <c r="PDX149" s="453"/>
      <c r="PDY149" s="453"/>
      <c r="PDZ149" s="453"/>
      <c r="PEA149" s="461"/>
      <c r="PEB149" s="461"/>
      <c r="PEC149" s="461"/>
      <c r="PED149" s="609"/>
      <c r="PEE149" s="607"/>
      <c r="PEF149" s="607"/>
      <c r="PEG149" s="607"/>
      <c r="PEH149" s="463"/>
      <c r="PEI149" s="454"/>
      <c r="PEJ149" s="607"/>
      <c r="PEK149" s="607"/>
      <c r="PEL149" s="607"/>
      <c r="PEM149" s="607"/>
      <c r="PEN149" s="607"/>
      <c r="PEO149" s="453"/>
      <c r="PEP149" s="289"/>
      <c r="PEQ149" s="453"/>
      <c r="PER149" s="453"/>
      <c r="PES149" s="453"/>
      <c r="PET149" s="453"/>
      <c r="PEU149" s="453"/>
      <c r="PEV149" s="461"/>
      <c r="PEW149" s="461"/>
      <c r="PEX149" s="461"/>
      <c r="PEY149" s="609"/>
      <c r="PEZ149" s="607"/>
      <c r="PFA149" s="607"/>
      <c r="PFB149" s="607"/>
      <c r="PFC149" s="463"/>
      <c r="PFD149" s="454"/>
      <c r="PFE149" s="607"/>
      <c r="PFF149" s="607"/>
      <c r="PFG149" s="607"/>
      <c r="PFH149" s="607"/>
      <c r="PFI149" s="607"/>
      <c r="PFJ149" s="453"/>
      <c r="PFK149" s="289"/>
      <c r="PFL149" s="453"/>
      <c r="PFM149" s="453"/>
      <c r="PFN149" s="453"/>
      <c r="PFO149" s="453"/>
      <c r="PFP149" s="453"/>
      <c r="PFQ149" s="461"/>
      <c r="PFR149" s="461"/>
      <c r="PFS149" s="461"/>
      <c r="PFT149" s="609"/>
      <c r="PFU149" s="607"/>
      <c r="PFV149" s="607"/>
      <c r="PFW149" s="607"/>
      <c r="PFX149" s="463"/>
      <c r="PFY149" s="454"/>
      <c r="PFZ149" s="607"/>
      <c r="PGA149" s="607"/>
      <c r="PGB149" s="607"/>
      <c r="PGC149" s="607"/>
      <c r="PGD149" s="607"/>
      <c r="PGE149" s="453"/>
      <c r="PGF149" s="289"/>
      <c r="PGG149" s="453"/>
      <c r="PGH149" s="453"/>
      <c r="PGI149" s="453"/>
      <c r="PGJ149" s="453"/>
      <c r="PGK149" s="453"/>
      <c r="PGL149" s="461"/>
      <c r="PGM149" s="461"/>
      <c r="PGN149" s="461"/>
      <c r="PGO149" s="609"/>
      <c r="PGP149" s="607"/>
      <c r="PGQ149" s="607"/>
      <c r="PGR149" s="607"/>
      <c r="PGS149" s="463"/>
      <c r="PGT149" s="454"/>
      <c r="PGU149" s="607"/>
      <c r="PGV149" s="607"/>
      <c r="PGW149" s="607"/>
      <c r="PGX149" s="607"/>
      <c r="PGY149" s="607"/>
      <c r="PGZ149" s="453"/>
      <c r="PHA149" s="289"/>
      <c r="PHB149" s="453"/>
      <c r="PHC149" s="453"/>
      <c r="PHD149" s="453"/>
      <c r="PHE149" s="453"/>
      <c r="PHF149" s="453"/>
      <c r="PHG149" s="461"/>
      <c r="PHH149" s="461"/>
      <c r="PHI149" s="461"/>
      <c r="PHJ149" s="609"/>
      <c r="PHK149" s="607"/>
      <c r="PHL149" s="607"/>
      <c r="PHM149" s="607"/>
      <c r="PHN149" s="463"/>
      <c r="PHO149" s="454"/>
      <c r="PHP149" s="607"/>
      <c r="PHQ149" s="607"/>
      <c r="PHR149" s="607"/>
      <c r="PHS149" s="607"/>
      <c r="PHT149" s="607"/>
      <c r="PHU149" s="453"/>
      <c r="PHV149" s="289"/>
      <c r="PHW149" s="453"/>
      <c r="PHX149" s="453"/>
      <c r="PHY149" s="453"/>
      <c r="PHZ149" s="453"/>
      <c r="PIA149" s="453"/>
      <c r="PIB149" s="461"/>
      <c r="PIC149" s="461"/>
      <c r="PID149" s="461"/>
      <c r="PIE149" s="609"/>
      <c r="PIF149" s="607"/>
      <c r="PIG149" s="607"/>
      <c r="PIH149" s="607"/>
      <c r="PII149" s="463"/>
      <c r="PIJ149" s="454"/>
      <c r="PIK149" s="607"/>
      <c r="PIL149" s="607"/>
      <c r="PIM149" s="607"/>
      <c r="PIN149" s="607"/>
      <c r="PIO149" s="607"/>
      <c r="PIP149" s="453"/>
      <c r="PIQ149" s="289"/>
      <c r="PIR149" s="453"/>
      <c r="PIS149" s="453"/>
      <c r="PIT149" s="453"/>
      <c r="PIU149" s="453"/>
      <c r="PIV149" s="453"/>
      <c r="PIW149" s="461"/>
      <c r="PIX149" s="461"/>
      <c r="PIY149" s="461"/>
      <c r="PIZ149" s="609"/>
      <c r="PJA149" s="607"/>
      <c r="PJB149" s="607"/>
      <c r="PJC149" s="607"/>
      <c r="PJD149" s="463"/>
      <c r="PJE149" s="454"/>
      <c r="PJF149" s="607"/>
      <c r="PJG149" s="607"/>
      <c r="PJH149" s="607"/>
      <c r="PJI149" s="607"/>
      <c r="PJJ149" s="607"/>
      <c r="PJK149" s="453"/>
      <c r="PJL149" s="289"/>
      <c r="PJM149" s="453"/>
      <c r="PJN149" s="453"/>
      <c r="PJO149" s="453"/>
      <c r="PJP149" s="453"/>
      <c r="PJQ149" s="453"/>
      <c r="PJR149" s="461"/>
      <c r="PJS149" s="461"/>
      <c r="PJT149" s="461"/>
      <c r="PJU149" s="609"/>
      <c r="PJV149" s="607"/>
      <c r="PJW149" s="607"/>
      <c r="PJX149" s="607"/>
      <c r="PJY149" s="463"/>
      <c r="PJZ149" s="454"/>
      <c r="PKA149" s="607"/>
      <c r="PKB149" s="607"/>
      <c r="PKC149" s="607"/>
      <c r="PKD149" s="607"/>
      <c r="PKE149" s="607"/>
      <c r="PKF149" s="453"/>
      <c r="PKG149" s="289"/>
      <c r="PKH149" s="453"/>
      <c r="PKI149" s="453"/>
      <c r="PKJ149" s="453"/>
      <c r="PKK149" s="453"/>
      <c r="PKL149" s="453"/>
      <c r="PKM149" s="461"/>
      <c r="PKN149" s="461"/>
      <c r="PKO149" s="461"/>
      <c r="PKP149" s="609"/>
      <c r="PKQ149" s="607"/>
      <c r="PKR149" s="607"/>
      <c r="PKS149" s="607"/>
      <c r="PKT149" s="463"/>
      <c r="PKU149" s="454"/>
      <c r="PKV149" s="607"/>
      <c r="PKW149" s="607"/>
      <c r="PKX149" s="607"/>
      <c r="PKY149" s="607"/>
      <c r="PKZ149" s="607"/>
      <c r="PLA149" s="453"/>
      <c r="PLB149" s="289"/>
      <c r="PLC149" s="453"/>
      <c r="PLD149" s="453"/>
      <c r="PLE149" s="453"/>
      <c r="PLF149" s="453"/>
      <c r="PLG149" s="453"/>
      <c r="PLH149" s="461"/>
      <c r="PLI149" s="461"/>
      <c r="PLJ149" s="461"/>
      <c r="PLK149" s="609"/>
      <c r="PLL149" s="607"/>
      <c r="PLM149" s="607"/>
      <c r="PLN149" s="607"/>
      <c r="PLO149" s="463"/>
      <c r="PLP149" s="454"/>
      <c r="PLQ149" s="607"/>
      <c r="PLR149" s="607"/>
      <c r="PLS149" s="607"/>
      <c r="PLT149" s="607"/>
      <c r="PLU149" s="607"/>
      <c r="PLV149" s="453"/>
      <c r="PLW149" s="289"/>
      <c r="PLX149" s="453"/>
      <c r="PLY149" s="453"/>
      <c r="PLZ149" s="453"/>
      <c r="PMA149" s="453"/>
      <c r="PMB149" s="453"/>
      <c r="PMC149" s="461"/>
      <c r="PMD149" s="461"/>
      <c r="PME149" s="461"/>
      <c r="PMF149" s="609"/>
      <c r="PMG149" s="607"/>
      <c r="PMH149" s="607"/>
      <c r="PMI149" s="607"/>
      <c r="PMJ149" s="463"/>
      <c r="PMK149" s="454"/>
      <c r="PML149" s="607"/>
      <c r="PMM149" s="607"/>
      <c r="PMN149" s="607"/>
      <c r="PMO149" s="607"/>
      <c r="PMP149" s="607"/>
      <c r="PMQ149" s="453"/>
      <c r="PMR149" s="289"/>
      <c r="PMS149" s="453"/>
      <c r="PMT149" s="453"/>
      <c r="PMU149" s="453"/>
      <c r="PMV149" s="453"/>
      <c r="PMW149" s="453"/>
      <c r="PMX149" s="461"/>
      <c r="PMY149" s="461"/>
      <c r="PMZ149" s="461"/>
      <c r="PNA149" s="609"/>
      <c r="PNB149" s="607"/>
      <c r="PNC149" s="607"/>
      <c r="PND149" s="607"/>
      <c r="PNE149" s="463"/>
      <c r="PNF149" s="454"/>
      <c r="PNG149" s="607"/>
      <c r="PNH149" s="607"/>
      <c r="PNI149" s="607"/>
      <c r="PNJ149" s="607"/>
      <c r="PNK149" s="607"/>
      <c r="PNL149" s="453"/>
      <c r="PNM149" s="289"/>
      <c r="PNN149" s="453"/>
      <c r="PNO149" s="453"/>
      <c r="PNP149" s="453"/>
      <c r="PNQ149" s="453"/>
      <c r="PNR149" s="453"/>
      <c r="PNS149" s="461"/>
      <c r="PNT149" s="461"/>
      <c r="PNU149" s="461"/>
      <c r="PNV149" s="609"/>
      <c r="PNW149" s="607"/>
      <c r="PNX149" s="607"/>
      <c r="PNY149" s="607"/>
      <c r="PNZ149" s="463"/>
      <c r="POA149" s="454"/>
      <c r="POB149" s="607"/>
      <c r="POC149" s="607"/>
      <c r="POD149" s="607"/>
      <c r="POE149" s="607"/>
      <c r="POF149" s="607"/>
      <c r="POG149" s="453"/>
      <c r="POH149" s="289"/>
      <c r="POI149" s="453"/>
      <c r="POJ149" s="453"/>
      <c r="POK149" s="453"/>
      <c r="POL149" s="453"/>
      <c r="POM149" s="453"/>
      <c r="PON149" s="461"/>
      <c r="POO149" s="461"/>
      <c r="POP149" s="461"/>
      <c r="POQ149" s="609"/>
      <c r="POR149" s="607"/>
      <c r="POS149" s="607"/>
      <c r="POT149" s="607"/>
      <c r="POU149" s="463"/>
      <c r="POV149" s="454"/>
      <c r="POW149" s="607"/>
      <c r="POX149" s="607"/>
      <c r="POY149" s="607"/>
      <c r="POZ149" s="607"/>
      <c r="PPA149" s="607"/>
      <c r="PPB149" s="453"/>
      <c r="PPC149" s="289"/>
      <c r="PPD149" s="453"/>
      <c r="PPE149" s="453"/>
      <c r="PPF149" s="453"/>
      <c r="PPG149" s="453"/>
      <c r="PPH149" s="453"/>
      <c r="PPI149" s="461"/>
      <c r="PPJ149" s="461"/>
      <c r="PPK149" s="461"/>
      <c r="PPL149" s="609"/>
      <c r="PPM149" s="607"/>
      <c r="PPN149" s="607"/>
      <c r="PPO149" s="607"/>
      <c r="PPP149" s="463"/>
      <c r="PPQ149" s="454"/>
      <c r="PPR149" s="607"/>
      <c r="PPS149" s="607"/>
      <c r="PPT149" s="607"/>
      <c r="PPU149" s="607"/>
      <c r="PPV149" s="607"/>
      <c r="PPW149" s="453"/>
      <c r="PPX149" s="289"/>
      <c r="PPY149" s="453"/>
      <c r="PPZ149" s="453"/>
      <c r="PQA149" s="453"/>
      <c r="PQB149" s="453"/>
      <c r="PQC149" s="453"/>
      <c r="PQD149" s="461"/>
      <c r="PQE149" s="461"/>
      <c r="PQF149" s="461"/>
      <c r="PQG149" s="609"/>
      <c r="PQH149" s="607"/>
      <c r="PQI149" s="607"/>
      <c r="PQJ149" s="607"/>
      <c r="PQK149" s="463"/>
      <c r="PQL149" s="454"/>
      <c r="PQM149" s="607"/>
      <c r="PQN149" s="607"/>
      <c r="PQO149" s="607"/>
      <c r="PQP149" s="607"/>
      <c r="PQQ149" s="607"/>
      <c r="PQR149" s="453"/>
      <c r="PQS149" s="289"/>
      <c r="PQT149" s="453"/>
      <c r="PQU149" s="453"/>
      <c r="PQV149" s="453"/>
      <c r="PQW149" s="453"/>
      <c r="PQX149" s="453"/>
      <c r="PQY149" s="461"/>
      <c r="PQZ149" s="461"/>
      <c r="PRA149" s="461"/>
      <c r="PRB149" s="609"/>
      <c r="PRC149" s="607"/>
      <c r="PRD149" s="607"/>
      <c r="PRE149" s="607"/>
      <c r="PRF149" s="463"/>
      <c r="PRG149" s="454"/>
      <c r="PRH149" s="607"/>
      <c r="PRI149" s="607"/>
      <c r="PRJ149" s="607"/>
      <c r="PRK149" s="607"/>
      <c r="PRL149" s="607"/>
      <c r="PRM149" s="453"/>
      <c r="PRN149" s="289"/>
      <c r="PRO149" s="453"/>
      <c r="PRP149" s="453"/>
      <c r="PRQ149" s="453"/>
      <c r="PRR149" s="453"/>
      <c r="PRS149" s="453"/>
      <c r="PRT149" s="461"/>
      <c r="PRU149" s="461"/>
      <c r="PRV149" s="461"/>
      <c r="PRW149" s="609"/>
      <c r="PRX149" s="607"/>
      <c r="PRY149" s="607"/>
      <c r="PRZ149" s="607"/>
      <c r="PSA149" s="463"/>
      <c r="PSB149" s="454"/>
      <c r="PSC149" s="607"/>
      <c r="PSD149" s="607"/>
      <c r="PSE149" s="607"/>
      <c r="PSF149" s="607"/>
      <c r="PSG149" s="607"/>
      <c r="PSH149" s="453"/>
      <c r="PSI149" s="289"/>
      <c r="PSJ149" s="453"/>
      <c r="PSK149" s="453"/>
      <c r="PSL149" s="453"/>
      <c r="PSM149" s="453"/>
      <c r="PSN149" s="453"/>
      <c r="PSO149" s="461"/>
      <c r="PSP149" s="461"/>
      <c r="PSQ149" s="461"/>
      <c r="PSR149" s="609"/>
      <c r="PSS149" s="607"/>
      <c r="PST149" s="607"/>
      <c r="PSU149" s="607"/>
      <c r="PSV149" s="463"/>
      <c r="PSW149" s="454"/>
      <c r="PSX149" s="607"/>
      <c r="PSY149" s="607"/>
      <c r="PSZ149" s="607"/>
      <c r="PTA149" s="607"/>
      <c r="PTB149" s="607"/>
      <c r="PTC149" s="453"/>
      <c r="PTD149" s="289"/>
      <c r="PTE149" s="453"/>
      <c r="PTF149" s="453"/>
      <c r="PTG149" s="453"/>
      <c r="PTH149" s="453"/>
      <c r="PTI149" s="453"/>
      <c r="PTJ149" s="461"/>
      <c r="PTK149" s="461"/>
      <c r="PTL149" s="461"/>
      <c r="PTM149" s="609"/>
      <c r="PTN149" s="607"/>
      <c r="PTO149" s="607"/>
      <c r="PTP149" s="607"/>
      <c r="PTQ149" s="463"/>
      <c r="PTR149" s="454"/>
      <c r="PTS149" s="607"/>
      <c r="PTT149" s="607"/>
      <c r="PTU149" s="607"/>
      <c r="PTV149" s="607"/>
      <c r="PTW149" s="607"/>
      <c r="PTX149" s="453"/>
      <c r="PTY149" s="289"/>
      <c r="PTZ149" s="453"/>
      <c r="PUA149" s="453"/>
      <c r="PUB149" s="453"/>
      <c r="PUC149" s="453"/>
      <c r="PUD149" s="453"/>
      <c r="PUE149" s="461"/>
      <c r="PUF149" s="461"/>
      <c r="PUG149" s="461"/>
      <c r="PUH149" s="609"/>
      <c r="PUI149" s="607"/>
      <c r="PUJ149" s="607"/>
      <c r="PUK149" s="607"/>
      <c r="PUL149" s="463"/>
      <c r="PUM149" s="454"/>
      <c r="PUN149" s="607"/>
      <c r="PUO149" s="607"/>
      <c r="PUP149" s="607"/>
      <c r="PUQ149" s="607"/>
      <c r="PUR149" s="607"/>
      <c r="PUS149" s="453"/>
      <c r="PUT149" s="289"/>
      <c r="PUU149" s="453"/>
      <c r="PUV149" s="453"/>
      <c r="PUW149" s="453"/>
      <c r="PUX149" s="453"/>
      <c r="PUY149" s="453"/>
      <c r="PUZ149" s="461"/>
      <c r="PVA149" s="461"/>
      <c r="PVB149" s="461"/>
      <c r="PVC149" s="609"/>
      <c r="PVD149" s="607"/>
      <c r="PVE149" s="607"/>
      <c r="PVF149" s="607"/>
      <c r="PVG149" s="463"/>
      <c r="PVH149" s="454"/>
      <c r="PVI149" s="607"/>
      <c r="PVJ149" s="607"/>
      <c r="PVK149" s="607"/>
      <c r="PVL149" s="607"/>
      <c r="PVM149" s="607"/>
      <c r="PVN149" s="453"/>
      <c r="PVO149" s="289"/>
      <c r="PVP149" s="453"/>
      <c r="PVQ149" s="453"/>
      <c r="PVR149" s="453"/>
      <c r="PVS149" s="453"/>
      <c r="PVT149" s="453"/>
      <c r="PVU149" s="461"/>
      <c r="PVV149" s="461"/>
      <c r="PVW149" s="461"/>
      <c r="PVX149" s="609"/>
      <c r="PVY149" s="607"/>
      <c r="PVZ149" s="607"/>
      <c r="PWA149" s="607"/>
      <c r="PWB149" s="463"/>
      <c r="PWC149" s="454"/>
      <c r="PWD149" s="607"/>
      <c r="PWE149" s="607"/>
      <c r="PWF149" s="607"/>
      <c r="PWG149" s="607"/>
      <c r="PWH149" s="607"/>
      <c r="PWI149" s="453"/>
      <c r="PWJ149" s="289"/>
      <c r="PWK149" s="453"/>
      <c r="PWL149" s="453"/>
      <c r="PWM149" s="453"/>
      <c r="PWN149" s="453"/>
      <c r="PWO149" s="453"/>
      <c r="PWP149" s="461"/>
      <c r="PWQ149" s="461"/>
      <c r="PWR149" s="461"/>
      <c r="PWS149" s="609"/>
      <c r="PWT149" s="607"/>
      <c r="PWU149" s="607"/>
      <c r="PWV149" s="607"/>
      <c r="PWW149" s="463"/>
      <c r="PWX149" s="454"/>
      <c r="PWY149" s="607"/>
      <c r="PWZ149" s="607"/>
      <c r="PXA149" s="607"/>
      <c r="PXB149" s="607"/>
      <c r="PXC149" s="607"/>
      <c r="PXD149" s="453"/>
      <c r="PXE149" s="289"/>
      <c r="PXF149" s="453"/>
      <c r="PXG149" s="453"/>
      <c r="PXH149" s="453"/>
      <c r="PXI149" s="453"/>
      <c r="PXJ149" s="453"/>
      <c r="PXK149" s="461"/>
      <c r="PXL149" s="461"/>
      <c r="PXM149" s="461"/>
      <c r="PXN149" s="609"/>
      <c r="PXO149" s="607"/>
      <c r="PXP149" s="607"/>
      <c r="PXQ149" s="607"/>
      <c r="PXR149" s="463"/>
      <c r="PXS149" s="454"/>
      <c r="PXT149" s="607"/>
      <c r="PXU149" s="607"/>
      <c r="PXV149" s="607"/>
      <c r="PXW149" s="607"/>
      <c r="PXX149" s="607"/>
      <c r="PXY149" s="453"/>
      <c r="PXZ149" s="289"/>
      <c r="PYA149" s="453"/>
      <c r="PYB149" s="453"/>
      <c r="PYC149" s="453"/>
      <c r="PYD149" s="453"/>
      <c r="PYE149" s="453"/>
      <c r="PYF149" s="461"/>
      <c r="PYG149" s="461"/>
      <c r="PYH149" s="461"/>
      <c r="PYI149" s="609"/>
      <c r="PYJ149" s="607"/>
      <c r="PYK149" s="607"/>
      <c r="PYL149" s="607"/>
      <c r="PYM149" s="463"/>
      <c r="PYN149" s="454"/>
      <c r="PYO149" s="607"/>
      <c r="PYP149" s="607"/>
      <c r="PYQ149" s="607"/>
      <c r="PYR149" s="607"/>
      <c r="PYS149" s="607"/>
      <c r="PYT149" s="453"/>
      <c r="PYU149" s="289"/>
      <c r="PYV149" s="453"/>
      <c r="PYW149" s="453"/>
      <c r="PYX149" s="453"/>
      <c r="PYY149" s="453"/>
      <c r="PYZ149" s="453"/>
      <c r="PZA149" s="461"/>
      <c r="PZB149" s="461"/>
      <c r="PZC149" s="461"/>
      <c r="PZD149" s="609"/>
      <c r="PZE149" s="607"/>
      <c r="PZF149" s="607"/>
      <c r="PZG149" s="607"/>
      <c r="PZH149" s="463"/>
      <c r="PZI149" s="454"/>
      <c r="PZJ149" s="607"/>
      <c r="PZK149" s="607"/>
      <c r="PZL149" s="607"/>
      <c r="PZM149" s="607"/>
      <c r="PZN149" s="607"/>
      <c r="PZO149" s="453"/>
      <c r="PZP149" s="289"/>
      <c r="PZQ149" s="453"/>
      <c r="PZR149" s="453"/>
      <c r="PZS149" s="453"/>
      <c r="PZT149" s="453"/>
      <c r="PZU149" s="453"/>
      <c r="PZV149" s="461"/>
      <c r="PZW149" s="461"/>
      <c r="PZX149" s="461"/>
      <c r="PZY149" s="609"/>
      <c r="PZZ149" s="607"/>
      <c r="QAA149" s="607"/>
      <c r="QAB149" s="607"/>
      <c r="QAC149" s="463"/>
      <c r="QAD149" s="454"/>
      <c r="QAE149" s="607"/>
      <c r="QAF149" s="607"/>
      <c r="QAG149" s="607"/>
      <c r="QAH149" s="607"/>
      <c r="QAI149" s="607"/>
      <c r="QAJ149" s="453"/>
      <c r="QAK149" s="289"/>
      <c r="QAL149" s="453"/>
      <c r="QAM149" s="453"/>
      <c r="QAN149" s="453"/>
      <c r="QAO149" s="453"/>
      <c r="QAP149" s="453"/>
      <c r="QAQ149" s="461"/>
      <c r="QAR149" s="461"/>
      <c r="QAS149" s="461"/>
      <c r="QAT149" s="609"/>
      <c r="QAU149" s="607"/>
      <c r="QAV149" s="607"/>
      <c r="QAW149" s="607"/>
      <c r="QAX149" s="463"/>
      <c r="QAY149" s="454"/>
      <c r="QAZ149" s="607"/>
      <c r="QBA149" s="607"/>
      <c r="QBB149" s="607"/>
      <c r="QBC149" s="607"/>
      <c r="QBD149" s="607"/>
      <c r="QBE149" s="453"/>
      <c r="QBF149" s="289"/>
      <c r="QBG149" s="453"/>
      <c r="QBH149" s="453"/>
      <c r="QBI149" s="453"/>
      <c r="QBJ149" s="453"/>
      <c r="QBK149" s="453"/>
      <c r="QBL149" s="461"/>
      <c r="QBM149" s="461"/>
      <c r="QBN149" s="461"/>
      <c r="QBO149" s="609"/>
      <c r="QBP149" s="607"/>
      <c r="QBQ149" s="607"/>
      <c r="QBR149" s="607"/>
      <c r="QBS149" s="463"/>
      <c r="QBT149" s="454"/>
      <c r="QBU149" s="607"/>
      <c r="QBV149" s="607"/>
      <c r="QBW149" s="607"/>
      <c r="QBX149" s="607"/>
      <c r="QBY149" s="607"/>
      <c r="QBZ149" s="453"/>
      <c r="QCA149" s="289"/>
      <c r="QCB149" s="453"/>
      <c r="QCC149" s="453"/>
      <c r="QCD149" s="453"/>
      <c r="QCE149" s="453"/>
      <c r="QCF149" s="453"/>
      <c r="QCG149" s="461"/>
      <c r="QCH149" s="461"/>
      <c r="QCI149" s="461"/>
      <c r="QCJ149" s="609"/>
      <c r="QCK149" s="607"/>
      <c r="QCL149" s="607"/>
      <c r="QCM149" s="607"/>
      <c r="QCN149" s="463"/>
      <c r="QCO149" s="454"/>
      <c r="QCP149" s="607"/>
      <c r="QCQ149" s="607"/>
      <c r="QCR149" s="607"/>
      <c r="QCS149" s="607"/>
      <c r="QCT149" s="607"/>
      <c r="QCU149" s="453"/>
      <c r="QCV149" s="289"/>
      <c r="QCW149" s="453"/>
      <c r="QCX149" s="453"/>
      <c r="QCY149" s="453"/>
      <c r="QCZ149" s="453"/>
      <c r="QDA149" s="453"/>
      <c r="QDB149" s="461"/>
      <c r="QDC149" s="461"/>
      <c r="QDD149" s="461"/>
      <c r="QDE149" s="609"/>
      <c r="QDF149" s="607"/>
      <c r="QDG149" s="607"/>
      <c r="QDH149" s="607"/>
      <c r="QDI149" s="463"/>
      <c r="QDJ149" s="454"/>
      <c r="QDK149" s="607"/>
      <c r="QDL149" s="607"/>
      <c r="QDM149" s="607"/>
      <c r="QDN149" s="607"/>
      <c r="QDO149" s="607"/>
      <c r="QDP149" s="453"/>
      <c r="QDQ149" s="289"/>
      <c r="QDR149" s="453"/>
      <c r="QDS149" s="453"/>
      <c r="QDT149" s="453"/>
      <c r="QDU149" s="453"/>
      <c r="QDV149" s="453"/>
      <c r="QDW149" s="461"/>
      <c r="QDX149" s="461"/>
      <c r="QDY149" s="461"/>
      <c r="QDZ149" s="609"/>
      <c r="QEA149" s="607"/>
      <c r="QEB149" s="607"/>
      <c r="QEC149" s="607"/>
      <c r="QED149" s="463"/>
      <c r="QEE149" s="454"/>
      <c r="QEF149" s="607"/>
      <c r="QEG149" s="607"/>
      <c r="QEH149" s="607"/>
      <c r="QEI149" s="607"/>
      <c r="QEJ149" s="607"/>
      <c r="QEK149" s="453"/>
      <c r="QEL149" s="289"/>
      <c r="QEM149" s="453"/>
      <c r="QEN149" s="453"/>
      <c r="QEO149" s="453"/>
      <c r="QEP149" s="453"/>
      <c r="QEQ149" s="453"/>
      <c r="QER149" s="461"/>
      <c r="QES149" s="461"/>
      <c r="QET149" s="461"/>
      <c r="QEU149" s="609"/>
      <c r="QEV149" s="607"/>
      <c r="QEW149" s="607"/>
      <c r="QEX149" s="607"/>
      <c r="QEY149" s="463"/>
      <c r="QEZ149" s="454"/>
      <c r="QFA149" s="607"/>
      <c r="QFB149" s="607"/>
      <c r="QFC149" s="607"/>
      <c r="QFD149" s="607"/>
      <c r="QFE149" s="607"/>
      <c r="QFF149" s="453"/>
      <c r="QFG149" s="289"/>
      <c r="QFH149" s="453"/>
      <c r="QFI149" s="453"/>
      <c r="QFJ149" s="453"/>
      <c r="QFK149" s="453"/>
      <c r="QFL149" s="453"/>
      <c r="QFM149" s="461"/>
      <c r="QFN149" s="461"/>
      <c r="QFO149" s="461"/>
      <c r="QFP149" s="609"/>
      <c r="QFQ149" s="607"/>
      <c r="QFR149" s="607"/>
      <c r="QFS149" s="607"/>
      <c r="QFT149" s="463"/>
      <c r="QFU149" s="454"/>
      <c r="QFV149" s="607"/>
      <c r="QFW149" s="607"/>
      <c r="QFX149" s="607"/>
      <c r="QFY149" s="607"/>
      <c r="QFZ149" s="607"/>
      <c r="QGA149" s="453"/>
      <c r="QGB149" s="289"/>
      <c r="QGC149" s="453"/>
      <c r="QGD149" s="453"/>
      <c r="QGE149" s="453"/>
      <c r="QGF149" s="453"/>
      <c r="QGG149" s="453"/>
      <c r="QGH149" s="461"/>
      <c r="QGI149" s="461"/>
      <c r="QGJ149" s="461"/>
      <c r="QGK149" s="609"/>
      <c r="QGL149" s="607"/>
      <c r="QGM149" s="607"/>
      <c r="QGN149" s="607"/>
      <c r="QGO149" s="463"/>
      <c r="QGP149" s="454"/>
      <c r="QGQ149" s="607"/>
      <c r="QGR149" s="607"/>
      <c r="QGS149" s="607"/>
      <c r="QGT149" s="607"/>
      <c r="QGU149" s="607"/>
      <c r="QGV149" s="453"/>
      <c r="QGW149" s="289"/>
      <c r="QGX149" s="453"/>
      <c r="QGY149" s="453"/>
      <c r="QGZ149" s="453"/>
      <c r="QHA149" s="453"/>
      <c r="QHB149" s="453"/>
      <c r="QHC149" s="461"/>
      <c r="QHD149" s="461"/>
      <c r="QHE149" s="461"/>
      <c r="QHF149" s="609"/>
      <c r="QHG149" s="607"/>
      <c r="QHH149" s="607"/>
      <c r="QHI149" s="607"/>
      <c r="QHJ149" s="463"/>
      <c r="QHK149" s="454"/>
      <c r="QHL149" s="607"/>
      <c r="QHM149" s="607"/>
      <c r="QHN149" s="607"/>
      <c r="QHO149" s="607"/>
      <c r="QHP149" s="607"/>
      <c r="QHQ149" s="453"/>
      <c r="QHR149" s="289"/>
      <c r="QHS149" s="453"/>
      <c r="QHT149" s="453"/>
      <c r="QHU149" s="453"/>
      <c r="QHV149" s="453"/>
      <c r="QHW149" s="453"/>
      <c r="QHX149" s="461"/>
      <c r="QHY149" s="461"/>
      <c r="QHZ149" s="461"/>
      <c r="QIA149" s="609"/>
      <c r="QIB149" s="607"/>
      <c r="QIC149" s="607"/>
      <c r="QID149" s="607"/>
      <c r="QIE149" s="463"/>
      <c r="QIF149" s="454"/>
      <c r="QIG149" s="607"/>
      <c r="QIH149" s="607"/>
      <c r="QII149" s="607"/>
      <c r="QIJ149" s="607"/>
      <c r="QIK149" s="607"/>
      <c r="QIL149" s="453"/>
      <c r="QIM149" s="289"/>
      <c r="QIN149" s="453"/>
      <c r="QIO149" s="453"/>
      <c r="QIP149" s="453"/>
      <c r="QIQ149" s="453"/>
      <c r="QIR149" s="453"/>
      <c r="QIS149" s="461"/>
      <c r="QIT149" s="461"/>
      <c r="QIU149" s="461"/>
      <c r="QIV149" s="609"/>
      <c r="QIW149" s="607"/>
      <c r="QIX149" s="607"/>
      <c r="QIY149" s="607"/>
      <c r="QIZ149" s="463"/>
      <c r="QJA149" s="454"/>
      <c r="QJB149" s="607"/>
      <c r="QJC149" s="607"/>
      <c r="QJD149" s="607"/>
      <c r="QJE149" s="607"/>
      <c r="QJF149" s="607"/>
      <c r="QJG149" s="453"/>
      <c r="QJH149" s="289"/>
      <c r="QJI149" s="453"/>
      <c r="QJJ149" s="453"/>
      <c r="QJK149" s="453"/>
      <c r="QJL149" s="453"/>
      <c r="QJM149" s="453"/>
      <c r="QJN149" s="461"/>
      <c r="QJO149" s="461"/>
      <c r="QJP149" s="461"/>
      <c r="QJQ149" s="609"/>
      <c r="QJR149" s="607"/>
      <c r="QJS149" s="607"/>
      <c r="QJT149" s="607"/>
      <c r="QJU149" s="463"/>
      <c r="QJV149" s="454"/>
      <c r="QJW149" s="607"/>
      <c r="QJX149" s="607"/>
      <c r="QJY149" s="607"/>
      <c r="QJZ149" s="607"/>
      <c r="QKA149" s="607"/>
      <c r="QKB149" s="453"/>
      <c r="QKC149" s="289"/>
      <c r="QKD149" s="453"/>
      <c r="QKE149" s="453"/>
      <c r="QKF149" s="453"/>
      <c r="QKG149" s="453"/>
      <c r="QKH149" s="453"/>
      <c r="QKI149" s="461"/>
      <c r="QKJ149" s="461"/>
      <c r="QKK149" s="461"/>
      <c r="QKL149" s="609"/>
      <c r="QKM149" s="607"/>
      <c r="QKN149" s="607"/>
      <c r="QKO149" s="607"/>
      <c r="QKP149" s="463"/>
      <c r="QKQ149" s="454"/>
      <c r="QKR149" s="607"/>
      <c r="QKS149" s="607"/>
      <c r="QKT149" s="607"/>
      <c r="QKU149" s="607"/>
      <c r="QKV149" s="607"/>
      <c r="QKW149" s="453"/>
      <c r="QKX149" s="289"/>
      <c r="QKY149" s="453"/>
      <c r="QKZ149" s="453"/>
      <c r="QLA149" s="453"/>
      <c r="QLB149" s="453"/>
      <c r="QLC149" s="453"/>
      <c r="QLD149" s="461"/>
      <c r="QLE149" s="461"/>
      <c r="QLF149" s="461"/>
      <c r="QLG149" s="609"/>
      <c r="QLH149" s="607"/>
      <c r="QLI149" s="607"/>
      <c r="QLJ149" s="607"/>
      <c r="QLK149" s="463"/>
      <c r="QLL149" s="454"/>
      <c r="QLM149" s="607"/>
      <c r="QLN149" s="607"/>
      <c r="QLO149" s="607"/>
      <c r="QLP149" s="607"/>
      <c r="QLQ149" s="607"/>
      <c r="QLR149" s="453"/>
      <c r="QLS149" s="289"/>
      <c r="QLT149" s="453"/>
      <c r="QLU149" s="453"/>
      <c r="QLV149" s="453"/>
      <c r="QLW149" s="453"/>
      <c r="QLX149" s="453"/>
      <c r="QLY149" s="461"/>
      <c r="QLZ149" s="461"/>
      <c r="QMA149" s="461"/>
      <c r="QMB149" s="609"/>
      <c r="QMC149" s="607"/>
      <c r="QMD149" s="607"/>
      <c r="QME149" s="607"/>
      <c r="QMF149" s="463"/>
      <c r="QMG149" s="454"/>
      <c r="QMH149" s="607"/>
      <c r="QMI149" s="607"/>
      <c r="QMJ149" s="607"/>
      <c r="QMK149" s="607"/>
      <c r="QML149" s="607"/>
      <c r="QMM149" s="453"/>
      <c r="QMN149" s="289"/>
      <c r="QMO149" s="453"/>
      <c r="QMP149" s="453"/>
      <c r="QMQ149" s="453"/>
      <c r="QMR149" s="453"/>
      <c r="QMS149" s="453"/>
      <c r="QMT149" s="461"/>
      <c r="QMU149" s="461"/>
      <c r="QMV149" s="461"/>
      <c r="QMW149" s="609"/>
      <c r="QMX149" s="607"/>
      <c r="QMY149" s="607"/>
      <c r="QMZ149" s="607"/>
      <c r="QNA149" s="463"/>
      <c r="QNB149" s="454"/>
      <c r="QNC149" s="607"/>
      <c r="QND149" s="607"/>
      <c r="QNE149" s="607"/>
      <c r="QNF149" s="607"/>
      <c r="QNG149" s="607"/>
      <c r="QNH149" s="453"/>
      <c r="QNI149" s="289"/>
      <c r="QNJ149" s="453"/>
      <c r="QNK149" s="453"/>
      <c r="QNL149" s="453"/>
      <c r="QNM149" s="453"/>
      <c r="QNN149" s="453"/>
      <c r="QNO149" s="461"/>
      <c r="QNP149" s="461"/>
      <c r="QNQ149" s="461"/>
      <c r="QNR149" s="609"/>
      <c r="QNS149" s="607"/>
      <c r="QNT149" s="607"/>
      <c r="QNU149" s="607"/>
      <c r="QNV149" s="463"/>
      <c r="QNW149" s="454"/>
      <c r="QNX149" s="607"/>
      <c r="QNY149" s="607"/>
      <c r="QNZ149" s="607"/>
      <c r="QOA149" s="607"/>
      <c r="QOB149" s="607"/>
      <c r="QOC149" s="453"/>
      <c r="QOD149" s="289"/>
      <c r="QOE149" s="453"/>
      <c r="QOF149" s="453"/>
      <c r="QOG149" s="453"/>
      <c r="QOH149" s="453"/>
      <c r="QOI149" s="453"/>
      <c r="QOJ149" s="461"/>
      <c r="QOK149" s="461"/>
      <c r="QOL149" s="461"/>
      <c r="QOM149" s="609"/>
      <c r="QON149" s="607"/>
      <c r="QOO149" s="607"/>
      <c r="QOP149" s="607"/>
      <c r="QOQ149" s="463"/>
      <c r="QOR149" s="454"/>
      <c r="QOS149" s="607"/>
      <c r="QOT149" s="607"/>
      <c r="QOU149" s="607"/>
      <c r="QOV149" s="607"/>
      <c r="QOW149" s="607"/>
      <c r="QOX149" s="453"/>
      <c r="QOY149" s="289"/>
      <c r="QOZ149" s="453"/>
      <c r="QPA149" s="453"/>
      <c r="QPB149" s="453"/>
      <c r="QPC149" s="453"/>
      <c r="QPD149" s="453"/>
      <c r="QPE149" s="461"/>
      <c r="QPF149" s="461"/>
      <c r="QPG149" s="461"/>
      <c r="QPH149" s="609"/>
      <c r="QPI149" s="607"/>
      <c r="QPJ149" s="607"/>
      <c r="QPK149" s="607"/>
      <c r="QPL149" s="463"/>
      <c r="QPM149" s="454"/>
      <c r="QPN149" s="607"/>
      <c r="QPO149" s="607"/>
      <c r="QPP149" s="607"/>
      <c r="QPQ149" s="607"/>
      <c r="QPR149" s="607"/>
      <c r="QPS149" s="453"/>
      <c r="QPT149" s="289"/>
      <c r="QPU149" s="453"/>
      <c r="QPV149" s="453"/>
      <c r="QPW149" s="453"/>
      <c r="QPX149" s="453"/>
      <c r="QPY149" s="453"/>
      <c r="QPZ149" s="461"/>
      <c r="QQA149" s="461"/>
      <c r="QQB149" s="461"/>
      <c r="QQC149" s="609"/>
      <c r="QQD149" s="607"/>
      <c r="QQE149" s="607"/>
      <c r="QQF149" s="607"/>
      <c r="QQG149" s="463"/>
      <c r="QQH149" s="454"/>
      <c r="QQI149" s="607"/>
      <c r="QQJ149" s="607"/>
      <c r="QQK149" s="607"/>
      <c r="QQL149" s="607"/>
      <c r="QQM149" s="607"/>
      <c r="QQN149" s="453"/>
      <c r="QQO149" s="289"/>
      <c r="QQP149" s="453"/>
      <c r="QQQ149" s="453"/>
      <c r="QQR149" s="453"/>
      <c r="QQS149" s="453"/>
      <c r="QQT149" s="453"/>
      <c r="QQU149" s="461"/>
      <c r="QQV149" s="461"/>
      <c r="QQW149" s="461"/>
      <c r="QQX149" s="609"/>
      <c r="QQY149" s="607"/>
      <c r="QQZ149" s="607"/>
      <c r="QRA149" s="607"/>
      <c r="QRB149" s="463"/>
      <c r="QRC149" s="454"/>
      <c r="QRD149" s="607"/>
      <c r="QRE149" s="607"/>
      <c r="QRF149" s="607"/>
      <c r="QRG149" s="607"/>
      <c r="QRH149" s="607"/>
      <c r="QRI149" s="453"/>
      <c r="QRJ149" s="289"/>
      <c r="QRK149" s="453"/>
      <c r="QRL149" s="453"/>
      <c r="QRM149" s="453"/>
      <c r="QRN149" s="453"/>
      <c r="QRO149" s="453"/>
      <c r="QRP149" s="461"/>
      <c r="QRQ149" s="461"/>
      <c r="QRR149" s="461"/>
      <c r="QRS149" s="609"/>
      <c r="QRT149" s="607"/>
      <c r="QRU149" s="607"/>
      <c r="QRV149" s="607"/>
      <c r="QRW149" s="463"/>
      <c r="QRX149" s="454"/>
      <c r="QRY149" s="607"/>
      <c r="QRZ149" s="607"/>
      <c r="QSA149" s="607"/>
      <c r="QSB149" s="607"/>
      <c r="QSC149" s="607"/>
      <c r="QSD149" s="453"/>
      <c r="QSE149" s="289"/>
      <c r="QSF149" s="453"/>
      <c r="QSG149" s="453"/>
      <c r="QSH149" s="453"/>
      <c r="QSI149" s="453"/>
      <c r="QSJ149" s="453"/>
      <c r="QSK149" s="461"/>
      <c r="QSL149" s="461"/>
      <c r="QSM149" s="461"/>
      <c r="QSN149" s="609"/>
      <c r="QSO149" s="607"/>
      <c r="QSP149" s="607"/>
      <c r="QSQ149" s="607"/>
      <c r="QSR149" s="463"/>
      <c r="QSS149" s="454"/>
      <c r="QST149" s="607"/>
      <c r="QSU149" s="607"/>
      <c r="QSV149" s="607"/>
      <c r="QSW149" s="607"/>
      <c r="QSX149" s="607"/>
      <c r="QSY149" s="453"/>
      <c r="QSZ149" s="289"/>
      <c r="QTA149" s="453"/>
      <c r="QTB149" s="453"/>
      <c r="QTC149" s="453"/>
      <c r="QTD149" s="453"/>
      <c r="QTE149" s="453"/>
      <c r="QTF149" s="461"/>
      <c r="QTG149" s="461"/>
      <c r="QTH149" s="461"/>
      <c r="QTI149" s="609"/>
      <c r="QTJ149" s="607"/>
      <c r="QTK149" s="607"/>
      <c r="QTL149" s="607"/>
      <c r="QTM149" s="463"/>
      <c r="QTN149" s="454"/>
      <c r="QTO149" s="607"/>
      <c r="QTP149" s="607"/>
      <c r="QTQ149" s="607"/>
      <c r="QTR149" s="607"/>
      <c r="QTS149" s="607"/>
      <c r="QTT149" s="453"/>
      <c r="QTU149" s="289"/>
      <c r="QTV149" s="453"/>
      <c r="QTW149" s="453"/>
      <c r="QTX149" s="453"/>
      <c r="QTY149" s="453"/>
      <c r="QTZ149" s="453"/>
      <c r="QUA149" s="461"/>
      <c r="QUB149" s="461"/>
      <c r="QUC149" s="461"/>
      <c r="QUD149" s="609"/>
      <c r="QUE149" s="607"/>
      <c r="QUF149" s="607"/>
      <c r="QUG149" s="607"/>
      <c r="QUH149" s="463"/>
      <c r="QUI149" s="454"/>
      <c r="QUJ149" s="607"/>
      <c r="QUK149" s="607"/>
      <c r="QUL149" s="607"/>
      <c r="QUM149" s="607"/>
      <c r="QUN149" s="607"/>
      <c r="QUO149" s="453"/>
      <c r="QUP149" s="289"/>
      <c r="QUQ149" s="453"/>
      <c r="QUR149" s="453"/>
      <c r="QUS149" s="453"/>
      <c r="QUT149" s="453"/>
      <c r="QUU149" s="453"/>
      <c r="QUV149" s="461"/>
      <c r="QUW149" s="461"/>
      <c r="QUX149" s="461"/>
      <c r="QUY149" s="609"/>
      <c r="QUZ149" s="607"/>
      <c r="QVA149" s="607"/>
      <c r="QVB149" s="607"/>
      <c r="QVC149" s="463"/>
      <c r="QVD149" s="454"/>
      <c r="QVE149" s="607"/>
      <c r="QVF149" s="607"/>
      <c r="QVG149" s="607"/>
      <c r="QVH149" s="607"/>
      <c r="QVI149" s="607"/>
      <c r="QVJ149" s="453"/>
      <c r="QVK149" s="289"/>
      <c r="QVL149" s="453"/>
      <c r="QVM149" s="453"/>
      <c r="QVN149" s="453"/>
      <c r="QVO149" s="453"/>
      <c r="QVP149" s="453"/>
      <c r="QVQ149" s="461"/>
      <c r="QVR149" s="461"/>
      <c r="QVS149" s="461"/>
      <c r="QVT149" s="609"/>
      <c r="QVU149" s="607"/>
      <c r="QVV149" s="607"/>
      <c r="QVW149" s="607"/>
      <c r="QVX149" s="463"/>
      <c r="QVY149" s="454"/>
      <c r="QVZ149" s="607"/>
      <c r="QWA149" s="607"/>
      <c r="QWB149" s="607"/>
      <c r="QWC149" s="607"/>
      <c r="QWD149" s="607"/>
      <c r="QWE149" s="453"/>
      <c r="QWF149" s="289"/>
      <c r="QWG149" s="453"/>
      <c r="QWH149" s="453"/>
      <c r="QWI149" s="453"/>
      <c r="QWJ149" s="453"/>
      <c r="QWK149" s="453"/>
      <c r="QWL149" s="461"/>
      <c r="QWM149" s="461"/>
      <c r="QWN149" s="461"/>
      <c r="QWO149" s="609"/>
      <c r="QWP149" s="607"/>
      <c r="QWQ149" s="607"/>
      <c r="QWR149" s="607"/>
      <c r="QWS149" s="463"/>
      <c r="QWT149" s="454"/>
      <c r="QWU149" s="607"/>
      <c r="QWV149" s="607"/>
      <c r="QWW149" s="607"/>
      <c r="QWX149" s="607"/>
      <c r="QWY149" s="607"/>
      <c r="QWZ149" s="453"/>
      <c r="QXA149" s="289"/>
      <c r="QXB149" s="453"/>
      <c r="QXC149" s="453"/>
      <c r="QXD149" s="453"/>
      <c r="QXE149" s="453"/>
      <c r="QXF149" s="453"/>
      <c r="QXG149" s="461"/>
      <c r="QXH149" s="461"/>
      <c r="QXI149" s="461"/>
      <c r="QXJ149" s="609"/>
      <c r="QXK149" s="607"/>
      <c r="QXL149" s="607"/>
      <c r="QXM149" s="607"/>
      <c r="QXN149" s="463"/>
      <c r="QXO149" s="454"/>
      <c r="QXP149" s="607"/>
      <c r="QXQ149" s="607"/>
      <c r="QXR149" s="607"/>
      <c r="QXS149" s="607"/>
      <c r="QXT149" s="607"/>
      <c r="QXU149" s="453"/>
      <c r="QXV149" s="289"/>
      <c r="QXW149" s="453"/>
      <c r="QXX149" s="453"/>
      <c r="QXY149" s="453"/>
      <c r="QXZ149" s="453"/>
      <c r="QYA149" s="453"/>
      <c r="QYB149" s="461"/>
      <c r="QYC149" s="461"/>
      <c r="QYD149" s="461"/>
      <c r="QYE149" s="609"/>
      <c r="QYF149" s="607"/>
      <c r="QYG149" s="607"/>
      <c r="QYH149" s="607"/>
      <c r="QYI149" s="463"/>
      <c r="QYJ149" s="454"/>
      <c r="QYK149" s="607"/>
      <c r="QYL149" s="607"/>
      <c r="QYM149" s="607"/>
      <c r="QYN149" s="607"/>
      <c r="QYO149" s="607"/>
      <c r="QYP149" s="453"/>
      <c r="QYQ149" s="289"/>
      <c r="QYR149" s="453"/>
      <c r="QYS149" s="453"/>
      <c r="QYT149" s="453"/>
      <c r="QYU149" s="453"/>
      <c r="QYV149" s="453"/>
      <c r="QYW149" s="461"/>
      <c r="QYX149" s="461"/>
      <c r="QYY149" s="461"/>
      <c r="QYZ149" s="609"/>
      <c r="QZA149" s="607"/>
      <c r="QZB149" s="607"/>
      <c r="QZC149" s="607"/>
      <c r="QZD149" s="463"/>
      <c r="QZE149" s="454"/>
      <c r="QZF149" s="607"/>
      <c r="QZG149" s="607"/>
      <c r="QZH149" s="607"/>
      <c r="QZI149" s="607"/>
      <c r="QZJ149" s="607"/>
      <c r="QZK149" s="453"/>
      <c r="QZL149" s="289"/>
      <c r="QZM149" s="453"/>
      <c r="QZN149" s="453"/>
      <c r="QZO149" s="453"/>
      <c r="QZP149" s="453"/>
      <c r="QZQ149" s="453"/>
      <c r="QZR149" s="461"/>
      <c r="QZS149" s="461"/>
      <c r="QZT149" s="461"/>
      <c r="QZU149" s="609"/>
      <c r="QZV149" s="607"/>
      <c r="QZW149" s="607"/>
      <c r="QZX149" s="607"/>
      <c r="QZY149" s="463"/>
      <c r="QZZ149" s="454"/>
      <c r="RAA149" s="607"/>
      <c r="RAB149" s="607"/>
      <c r="RAC149" s="607"/>
      <c r="RAD149" s="607"/>
      <c r="RAE149" s="607"/>
      <c r="RAF149" s="453"/>
      <c r="RAG149" s="289"/>
      <c r="RAH149" s="453"/>
      <c r="RAI149" s="453"/>
      <c r="RAJ149" s="453"/>
      <c r="RAK149" s="453"/>
      <c r="RAL149" s="453"/>
      <c r="RAM149" s="461"/>
      <c r="RAN149" s="461"/>
      <c r="RAO149" s="461"/>
      <c r="RAP149" s="609"/>
      <c r="RAQ149" s="607"/>
      <c r="RAR149" s="607"/>
      <c r="RAS149" s="607"/>
      <c r="RAT149" s="463"/>
      <c r="RAU149" s="454"/>
      <c r="RAV149" s="607"/>
      <c r="RAW149" s="607"/>
      <c r="RAX149" s="607"/>
      <c r="RAY149" s="607"/>
      <c r="RAZ149" s="607"/>
      <c r="RBA149" s="453"/>
      <c r="RBB149" s="289"/>
      <c r="RBC149" s="453"/>
      <c r="RBD149" s="453"/>
      <c r="RBE149" s="453"/>
      <c r="RBF149" s="453"/>
      <c r="RBG149" s="453"/>
      <c r="RBH149" s="461"/>
      <c r="RBI149" s="461"/>
      <c r="RBJ149" s="461"/>
      <c r="RBK149" s="609"/>
      <c r="RBL149" s="607"/>
      <c r="RBM149" s="607"/>
      <c r="RBN149" s="607"/>
      <c r="RBO149" s="463"/>
      <c r="RBP149" s="454"/>
      <c r="RBQ149" s="607"/>
      <c r="RBR149" s="607"/>
      <c r="RBS149" s="607"/>
      <c r="RBT149" s="607"/>
      <c r="RBU149" s="607"/>
      <c r="RBV149" s="453"/>
      <c r="RBW149" s="289"/>
      <c r="RBX149" s="453"/>
      <c r="RBY149" s="453"/>
      <c r="RBZ149" s="453"/>
      <c r="RCA149" s="453"/>
      <c r="RCB149" s="453"/>
      <c r="RCC149" s="461"/>
      <c r="RCD149" s="461"/>
      <c r="RCE149" s="461"/>
      <c r="RCF149" s="609"/>
      <c r="RCG149" s="607"/>
      <c r="RCH149" s="607"/>
      <c r="RCI149" s="607"/>
      <c r="RCJ149" s="463"/>
      <c r="RCK149" s="454"/>
      <c r="RCL149" s="607"/>
      <c r="RCM149" s="607"/>
      <c r="RCN149" s="607"/>
      <c r="RCO149" s="607"/>
      <c r="RCP149" s="607"/>
      <c r="RCQ149" s="453"/>
      <c r="RCR149" s="289"/>
      <c r="RCS149" s="453"/>
      <c r="RCT149" s="453"/>
      <c r="RCU149" s="453"/>
      <c r="RCV149" s="453"/>
      <c r="RCW149" s="453"/>
      <c r="RCX149" s="461"/>
      <c r="RCY149" s="461"/>
      <c r="RCZ149" s="461"/>
      <c r="RDA149" s="609"/>
      <c r="RDB149" s="607"/>
      <c r="RDC149" s="607"/>
      <c r="RDD149" s="607"/>
      <c r="RDE149" s="463"/>
      <c r="RDF149" s="454"/>
      <c r="RDG149" s="607"/>
      <c r="RDH149" s="607"/>
      <c r="RDI149" s="607"/>
      <c r="RDJ149" s="607"/>
      <c r="RDK149" s="607"/>
      <c r="RDL149" s="453"/>
      <c r="RDM149" s="289"/>
      <c r="RDN149" s="453"/>
      <c r="RDO149" s="453"/>
      <c r="RDP149" s="453"/>
      <c r="RDQ149" s="453"/>
      <c r="RDR149" s="453"/>
      <c r="RDS149" s="461"/>
      <c r="RDT149" s="461"/>
      <c r="RDU149" s="461"/>
      <c r="RDV149" s="609"/>
      <c r="RDW149" s="607"/>
      <c r="RDX149" s="607"/>
      <c r="RDY149" s="607"/>
      <c r="RDZ149" s="463"/>
      <c r="REA149" s="454"/>
      <c r="REB149" s="607"/>
      <c r="REC149" s="607"/>
      <c r="RED149" s="607"/>
      <c r="REE149" s="607"/>
      <c r="REF149" s="607"/>
      <c r="REG149" s="453"/>
      <c r="REH149" s="289"/>
      <c r="REI149" s="453"/>
      <c r="REJ149" s="453"/>
      <c r="REK149" s="453"/>
      <c r="REL149" s="453"/>
      <c r="REM149" s="453"/>
      <c r="REN149" s="461"/>
      <c r="REO149" s="461"/>
      <c r="REP149" s="461"/>
      <c r="REQ149" s="609"/>
      <c r="RER149" s="607"/>
      <c r="RES149" s="607"/>
      <c r="RET149" s="607"/>
      <c r="REU149" s="463"/>
      <c r="REV149" s="454"/>
      <c r="REW149" s="607"/>
      <c r="REX149" s="607"/>
      <c r="REY149" s="607"/>
      <c r="REZ149" s="607"/>
      <c r="RFA149" s="607"/>
      <c r="RFB149" s="453"/>
      <c r="RFC149" s="289"/>
      <c r="RFD149" s="453"/>
      <c r="RFE149" s="453"/>
      <c r="RFF149" s="453"/>
      <c r="RFG149" s="453"/>
      <c r="RFH149" s="453"/>
      <c r="RFI149" s="461"/>
      <c r="RFJ149" s="461"/>
      <c r="RFK149" s="461"/>
      <c r="RFL149" s="609"/>
      <c r="RFM149" s="607"/>
      <c r="RFN149" s="607"/>
      <c r="RFO149" s="607"/>
      <c r="RFP149" s="463"/>
      <c r="RFQ149" s="454"/>
      <c r="RFR149" s="607"/>
      <c r="RFS149" s="607"/>
      <c r="RFT149" s="607"/>
      <c r="RFU149" s="607"/>
      <c r="RFV149" s="607"/>
      <c r="RFW149" s="453"/>
      <c r="RFX149" s="289"/>
      <c r="RFY149" s="453"/>
      <c r="RFZ149" s="453"/>
      <c r="RGA149" s="453"/>
      <c r="RGB149" s="453"/>
      <c r="RGC149" s="453"/>
      <c r="RGD149" s="461"/>
      <c r="RGE149" s="461"/>
      <c r="RGF149" s="461"/>
      <c r="RGG149" s="609"/>
      <c r="RGH149" s="607"/>
      <c r="RGI149" s="607"/>
      <c r="RGJ149" s="607"/>
      <c r="RGK149" s="463"/>
      <c r="RGL149" s="454"/>
      <c r="RGM149" s="607"/>
      <c r="RGN149" s="607"/>
      <c r="RGO149" s="607"/>
      <c r="RGP149" s="607"/>
      <c r="RGQ149" s="607"/>
      <c r="RGR149" s="453"/>
      <c r="RGS149" s="289"/>
      <c r="RGT149" s="453"/>
      <c r="RGU149" s="453"/>
      <c r="RGV149" s="453"/>
      <c r="RGW149" s="453"/>
      <c r="RGX149" s="453"/>
      <c r="RGY149" s="461"/>
      <c r="RGZ149" s="461"/>
      <c r="RHA149" s="461"/>
      <c r="RHB149" s="609"/>
      <c r="RHC149" s="607"/>
      <c r="RHD149" s="607"/>
      <c r="RHE149" s="607"/>
      <c r="RHF149" s="463"/>
      <c r="RHG149" s="454"/>
      <c r="RHH149" s="607"/>
      <c r="RHI149" s="607"/>
      <c r="RHJ149" s="607"/>
      <c r="RHK149" s="607"/>
      <c r="RHL149" s="607"/>
      <c r="RHM149" s="453"/>
      <c r="RHN149" s="289"/>
      <c r="RHO149" s="453"/>
      <c r="RHP149" s="453"/>
      <c r="RHQ149" s="453"/>
      <c r="RHR149" s="453"/>
      <c r="RHS149" s="453"/>
      <c r="RHT149" s="461"/>
      <c r="RHU149" s="461"/>
      <c r="RHV149" s="461"/>
      <c r="RHW149" s="609"/>
      <c r="RHX149" s="607"/>
      <c r="RHY149" s="607"/>
      <c r="RHZ149" s="607"/>
      <c r="RIA149" s="463"/>
      <c r="RIB149" s="454"/>
      <c r="RIC149" s="607"/>
      <c r="RID149" s="607"/>
      <c r="RIE149" s="607"/>
      <c r="RIF149" s="607"/>
      <c r="RIG149" s="607"/>
      <c r="RIH149" s="453"/>
      <c r="RII149" s="289"/>
      <c r="RIJ149" s="453"/>
      <c r="RIK149" s="453"/>
      <c r="RIL149" s="453"/>
      <c r="RIM149" s="453"/>
      <c r="RIN149" s="453"/>
      <c r="RIO149" s="461"/>
      <c r="RIP149" s="461"/>
      <c r="RIQ149" s="461"/>
      <c r="RIR149" s="609"/>
      <c r="RIS149" s="607"/>
      <c r="RIT149" s="607"/>
      <c r="RIU149" s="607"/>
      <c r="RIV149" s="463"/>
      <c r="RIW149" s="454"/>
      <c r="RIX149" s="607"/>
      <c r="RIY149" s="607"/>
      <c r="RIZ149" s="607"/>
      <c r="RJA149" s="607"/>
      <c r="RJB149" s="607"/>
      <c r="RJC149" s="453"/>
      <c r="RJD149" s="289"/>
      <c r="RJE149" s="453"/>
      <c r="RJF149" s="453"/>
      <c r="RJG149" s="453"/>
      <c r="RJH149" s="453"/>
      <c r="RJI149" s="453"/>
      <c r="RJJ149" s="461"/>
      <c r="RJK149" s="461"/>
      <c r="RJL149" s="461"/>
      <c r="RJM149" s="609"/>
      <c r="RJN149" s="607"/>
      <c r="RJO149" s="607"/>
      <c r="RJP149" s="607"/>
      <c r="RJQ149" s="463"/>
      <c r="RJR149" s="454"/>
      <c r="RJS149" s="607"/>
      <c r="RJT149" s="607"/>
      <c r="RJU149" s="607"/>
      <c r="RJV149" s="607"/>
      <c r="RJW149" s="607"/>
      <c r="RJX149" s="453"/>
      <c r="RJY149" s="289"/>
      <c r="RJZ149" s="453"/>
      <c r="RKA149" s="453"/>
      <c r="RKB149" s="453"/>
      <c r="RKC149" s="453"/>
      <c r="RKD149" s="453"/>
      <c r="RKE149" s="461"/>
      <c r="RKF149" s="461"/>
      <c r="RKG149" s="461"/>
      <c r="RKH149" s="609"/>
      <c r="RKI149" s="607"/>
      <c r="RKJ149" s="607"/>
      <c r="RKK149" s="607"/>
      <c r="RKL149" s="463"/>
      <c r="RKM149" s="454"/>
      <c r="RKN149" s="607"/>
      <c r="RKO149" s="607"/>
      <c r="RKP149" s="607"/>
      <c r="RKQ149" s="607"/>
      <c r="RKR149" s="607"/>
      <c r="RKS149" s="453"/>
      <c r="RKT149" s="289"/>
      <c r="RKU149" s="453"/>
      <c r="RKV149" s="453"/>
      <c r="RKW149" s="453"/>
      <c r="RKX149" s="453"/>
      <c r="RKY149" s="453"/>
      <c r="RKZ149" s="461"/>
      <c r="RLA149" s="461"/>
      <c r="RLB149" s="461"/>
      <c r="RLC149" s="609"/>
      <c r="RLD149" s="607"/>
      <c r="RLE149" s="607"/>
      <c r="RLF149" s="607"/>
      <c r="RLG149" s="463"/>
      <c r="RLH149" s="454"/>
      <c r="RLI149" s="607"/>
      <c r="RLJ149" s="607"/>
      <c r="RLK149" s="607"/>
      <c r="RLL149" s="607"/>
      <c r="RLM149" s="607"/>
      <c r="RLN149" s="453"/>
      <c r="RLO149" s="289"/>
      <c r="RLP149" s="453"/>
      <c r="RLQ149" s="453"/>
      <c r="RLR149" s="453"/>
      <c r="RLS149" s="453"/>
      <c r="RLT149" s="453"/>
      <c r="RLU149" s="461"/>
      <c r="RLV149" s="461"/>
      <c r="RLW149" s="461"/>
      <c r="RLX149" s="609"/>
      <c r="RLY149" s="607"/>
      <c r="RLZ149" s="607"/>
      <c r="RMA149" s="607"/>
      <c r="RMB149" s="463"/>
      <c r="RMC149" s="454"/>
      <c r="RMD149" s="607"/>
      <c r="RME149" s="607"/>
      <c r="RMF149" s="607"/>
      <c r="RMG149" s="607"/>
      <c r="RMH149" s="607"/>
      <c r="RMI149" s="453"/>
      <c r="RMJ149" s="289"/>
      <c r="RMK149" s="453"/>
      <c r="RML149" s="453"/>
      <c r="RMM149" s="453"/>
      <c r="RMN149" s="453"/>
      <c r="RMO149" s="453"/>
      <c r="RMP149" s="461"/>
      <c r="RMQ149" s="461"/>
      <c r="RMR149" s="461"/>
      <c r="RMS149" s="609"/>
      <c r="RMT149" s="607"/>
      <c r="RMU149" s="607"/>
      <c r="RMV149" s="607"/>
      <c r="RMW149" s="463"/>
      <c r="RMX149" s="454"/>
      <c r="RMY149" s="607"/>
      <c r="RMZ149" s="607"/>
      <c r="RNA149" s="607"/>
      <c r="RNB149" s="607"/>
      <c r="RNC149" s="607"/>
      <c r="RND149" s="453"/>
      <c r="RNE149" s="289"/>
      <c r="RNF149" s="453"/>
      <c r="RNG149" s="453"/>
      <c r="RNH149" s="453"/>
      <c r="RNI149" s="453"/>
      <c r="RNJ149" s="453"/>
      <c r="RNK149" s="461"/>
      <c r="RNL149" s="461"/>
      <c r="RNM149" s="461"/>
      <c r="RNN149" s="609"/>
      <c r="RNO149" s="607"/>
      <c r="RNP149" s="607"/>
      <c r="RNQ149" s="607"/>
      <c r="RNR149" s="463"/>
      <c r="RNS149" s="454"/>
      <c r="RNT149" s="607"/>
      <c r="RNU149" s="607"/>
      <c r="RNV149" s="607"/>
      <c r="RNW149" s="607"/>
      <c r="RNX149" s="607"/>
      <c r="RNY149" s="453"/>
      <c r="RNZ149" s="289"/>
      <c r="ROA149" s="453"/>
      <c r="ROB149" s="453"/>
      <c r="ROC149" s="453"/>
      <c r="ROD149" s="453"/>
      <c r="ROE149" s="453"/>
      <c r="ROF149" s="461"/>
      <c r="ROG149" s="461"/>
      <c r="ROH149" s="461"/>
      <c r="ROI149" s="609"/>
      <c r="ROJ149" s="607"/>
      <c r="ROK149" s="607"/>
      <c r="ROL149" s="607"/>
      <c r="ROM149" s="463"/>
      <c r="RON149" s="454"/>
      <c r="ROO149" s="607"/>
      <c r="ROP149" s="607"/>
      <c r="ROQ149" s="607"/>
      <c r="ROR149" s="607"/>
      <c r="ROS149" s="607"/>
      <c r="ROT149" s="453"/>
      <c r="ROU149" s="289"/>
      <c r="ROV149" s="453"/>
      <c r="ROW149" s="453"/>
      <c r="ROX149" s="453"/>
      <c r="ROY149" s="453"/>
      <c r="ROZ149" s="453"/>
      <c r="RPA149" s="461"/>
      <c r="RPB149" s="461"/>
      <c r="RPC149" s="461"/>
      <c r="RPD149" s="609"/>
      <c r="RPE149" s="607"/>
      <c r="RPF149" s="607"/>
      <c r="RPG149" s="607"/>
      <c r="RPH149" s="463"/>
      <c r="RPI149" s="454"/>
      <c r="RPJ149" s="607"/>
      <c r="RPK149" s="607"/>
      <c r="RPL149" s="607"/>
      <c r="RPM149" s="607"/>
      <c r="RPN149" s="607"/>
      <c r="RPO149" s="453"/>
      <c r="RPP149" s="289"/>
      <c r="RPQ149" s="453"/>
      <c r="RPR149" s="453"/>
      <c r="RPS149" s="453"/>
      <c r="RPT149" s="453"/>
      <c r="RPU149" s="453"/>
      <c r="RPV149" s="461"/>
      <c r="RPW149" s="461"/>
      <c r="RPX149" s="461"/>
      <c r="RPY149" s="609"/>
      <c r="RPZ149" s="607"/>
      <c r="RQA149" s="607"/>
      <c r="RQB149" s="607"/>
      <c r="RQC149" s="463"/>
      <c r="RQD149" s="454"/>
      <c r="RQE149" s="607"/>
      <c r="RQF149" s="607"/>
      <c r="RQG149" s="607"/>
      <c r="RQH149" s="607"/>
      <c r="RQI149" s="607"/>
      <c r="RQJ149" s="453"/>
      <c r="RQK149" s="289"/>
      <c r="RQL149" s="453"/>
      <c r="RQM149" s="453"/>
      <c r="RQN149" s="453"/>
      <c r="RQO149" s="453"/>
      <c r="RQP149" s="453"/>
      <c r="RQQ149" s="461"/>
      <c r="RQR149" s="461"/>
      <c r="RQS149" s="461"/>
      <c r="RQT149" s="609"/>
      <c r="RQU149" s="607"/>
      <c r="RQV149" s="607"/>
      <c r="RQW149" s="607"/>
      <c r="RQX149" s="463"/>
      <c r="RQY149" s="454"/>
      <c r="RQZ149" s="607"/>
      <c r="RRA149" s="607"/>
      <c r="RRB149" s="607"/>
      <c r="RRC149" s="607"/>
      <c r="RRD149" s="607"/>
      <c r="RRE149" s="453"/>
      <c r="RRF149" s="289"/>
      <c r="RRG149" s="453"/>
      <c r="RRH149" s="453"/>
      <c r="RRI149" s="453"/>
      <c r="RRJ149" s="453"/>
      <c r="RRK149" s="453"/>
      <c r="RRL149" s="461"/>
      <c r="RRM149" s="461"/>
      <c r="RRN149" s="461"/>
      <c r="RRO149" s="609"/>
      <c r="RRP149" s="607"/>
      <c r="RRQ149" s="607"/>
      <c r="RRR149" s="607"/>
      <c r="RRS149" s="463"/>
      <c r="RRT149" s="454"/>
      <c r="RRU149" s="607"/>
      <c r="RRV149" s="607"/>
      <c r="RRW149" s="607"/>
      <c r="RRX149" s="607"/>
      <c r="RRY149" s="607"/>
      <c r="RRZ149" s="453"/>
      <c r="RSA149" s="289"/>
      <c r="RSB149" s="453"/>
      <c r="RSC149" s="453"/>
      <c r="RSD149" s="453"/>
      <c r="RSE149" s="453"/>
      <c r="RSF149" s="453"/>
      <c r="RSG149" s="461"/>
      <c r="RSH149" s="461"/>
      <c r="RSI149" s="461"/>
      <c r="RSJ149" s="609"/>
      <c r="RSK149" s="607"/>
      <c r="RSL149" s="607"/>
      <c r="RSM149" s="607"/>
      <c r="RSN149" s="463"/>
      <c r="RSO149" s="454"/>
      <c r="RSP149" s="607"/>
      <c r="RSQ149" s="607"/>
      <c r="RSR149" s="607"/>
      <c r="RSS149" s="607"/>
      <c r="RST149" s="607"/>
      <c r="RSU149" s="453"/>
      <c r="RSV149" s="289"/>
      <c r="RSW149" s="453"/>
      <c r="RSX149" s="453"/>
      <c r="RSY149" s="453"/>
      <c r="RSZ149" s="453"/>
      <c r="RTA149" s="453"/>
      <c r="RTB149" s="461"/>
      <c r="RTC149" s="461"/>
      <c r="RTD149" s="461"/>
      <c r="RTE149" s="609"/>
      <c r="RTF149" s="607"/>
      <c r="RTG149" s="607"/>
      <c r="RTH149" s="607"/>
      <c r="RTI149" s="463"/>
      <c r="RTJ149" s="454"/>
      <c r="RTK149" s="607"/>
      <c r="RTL149" s="607"/>
      <c r="RTM149" s="607"/>
      <c r="RTN149" s="607"/>
      <c r="RTO149" s="607"/>
      <c r="RTP149" s="453"/>
      <c r="RTQ149" s="289"/>
      <c r="RTR149" s="453"/>
      <c r="RTS149" s="453"/>
      <c r="RTT149" s="453"/>
      <c r="RTU149" s="453"/>
      <c r="RTV149" s="453"/>
      <c r="RTW149" s="461"/>
      <c r="RTX149" s="461"/>
      <c r="RTY149" s="461"/>
      <c r="RTZ149" s="609"/>
      <c r="RUA149" s="607"/>
      <c r="RUB149" s="607"/>
      <c r="RUC149" s="607"/>
      <c r="RUD149" s="463"/>
      <c r="RUE149" s="454"/>
      <c r="RUF149" s="607"/>
      <c r="RUG149" s="607"/>
      <c r="RUH149" s="607"/>
      <c r="RUI149" s="607"/>
      <c r="RUJ149" s="607"/>
      <c r="RUK149" s="453"/>
      <c r="RUL149" s="289"/>
      <c r="RUM149" s="453"/>
      <c r="RUN149" s="453"/>
      <c r="RUO149" s="453"/>
      <c r="RUP149" s="453"/>
      <c r="RUQ149" s="453"/>
      <c r="RUR149" s="461"/>
      <c r="RUS149" s="461"/>
      <c r="RUT149" s="461"/>
      <c r="RUU149" s="609"/>
      <c r="RUV149" s="607"/>
      <c r="RUW149" s="607"/>
      <c r="RUX149" s="607"/>
      <c r="RUY149" s="463"/>
      <c r="RUZ149" s="454"/>
      <c r="RVA149" s="607"/>
      <c r="RVB149" s="607"/>
      <c r="RVC149" s="607"/>
      <c r="RVD149" s="607"/>
      <c r="RVE149" s="607"/>
      <c r="RVF149" s="453"/>
      <c r="RVG149" s="289"/>
      <c r="RVH149" s="453"/>
      <c r="RVI149" s="453"/>
      <c r="RVJ149" s="453"/>
      <c r="RVK149" s="453"/>
      <c r="RVL149" s="453"/>
      <c r="RVM149" s="461"/>
      <c r="RVN149" s="461"/>
      <c r="RVO149" s="461"/>
      <c r="RVP149" s="609"/>
      <c r="RVQ149" s="607"/>
      <c r="RVR149" s="607"/>
      <c r="RVS149" s="607"/>
      <c r="RVT149" s="463"/>
      <c r="RVU149" s="454"/>
      <c r="RVV149" s="607"/>
      <c r="RVW149" s="607"/>
      <c r="RVX149" s="607"/>
      <c r="RVY149" s="607"/>
      <c r="RVZ149" s="607"/>
      <c r="RWA149" s="453"/>
      <c r="RWB149" s="289"/>
      <c r="RWC149" s="453"/>
      <c r="RWD149" s="453"/>
      <c r="RWE149" s="453"/>
      <c r="RWF149" s="453"/>
      <c r="RWG149" s="453"/>
      <c r="RWH149" s="461"/>
      <c r="RWI149" s="461"/>
      <c r="RWJ149" s="461"/>
      <c r="RWK149" s="609"/>
      <c r="RWL149" s="607"/>
      <c r="RWM149" s="607"/>
      <c r="RWN149" s="607"/>
      <c r="RWO149" s="463"/>
      <c r="RWP149" s="454"/>
      <c r="RWQ149" s="607"/>
      <c r="RWR149" s="607"/>
      <c r="RWS149" s="607"/>
      <c r="RWT149" s="607"/>
      <c r="RWU149" s="607"/>
      <c r="RWV149" s="453"/>
      <c r="RWW149" s="289"/>
      <c r="RWX149" s="453"/>
      <c r="RWY149" s="453"/>
      <c r="RWZ149" s="453"/>
      <c r="RXA149" s="453"/>
      <c r="RXB149" s="453"/>
      <c r="RXC149" s="461"/>
      <c r="RXD149" s="461"/>
      <c r="RXE149" s="461"/>
      <c r="RXF149" s="609"/>
      <c r="RXG149" s="607"/>
      <c r="RXH149" s="607"/>
      <c r="RXI149" s="607"/>
      <c r="RXJ149" s="463"/>
      <c r="RXK149" s="454"/>
      <c r="RXL149" s="607"/>
      <c r="RXM149" s="607"/>
      <c r="RXN149" s="607"/>
      <c r="RXO149" s="607"/>
      <c r="RXP149" s="607"/>
      <c r="RXQ149" s="453"/>
      <c r="RXR149" s="289"/>
      <c r="RXS149" s="453"/>
      <c r="RXT149" s="453"/>
      <c r="RXU149" s="453"/>
      <c r="RXV149" s="453"/>
      <c r="RXW149" s="453"/>
      <c r="RXX149" s="461"/>
      <c r="RXY149" s="461"/>
      <c r="RXZ149" s="461"/>
      <c r="RYA149" s="609"/>
      <c r="RYB149" s="607"/>
      <c r="RYC149" s="607"/>
      <c r="RYD149" s="607"/>
      <c r="RYE149" s="463"/>
      <c r="RYF149" s="454"/>
      <c r="RYG149" s="607"/>
      <c r="RYH149" s="607"/>
      <c r="RYI149" s="607"/>
      <c r="RYJ149" s="607"/>
      <c r="RYK149" s="607"/>
      <c r="RYL149" s="453"/>
      <c r="RYM149" s="289"/>
      <c r="RYN149" s="453"/>
      <c r="RYO149" s="453"/>
      <c r="RYP149" s="453"/>
      <c r="RYQ149" s="453"/>
      <c r="RYR149" s="453"/>
      <c r="RYS149" s="461"/>
      <c r="RYT149" s="461"/>
      <c r="RYU149" s="461"/>
      <c r="RYV149" s="609"/>
      <c r="RYW149" s="607"/>
      <c r="RYX149" s="607"/>
      <c r="RYY149" s="607"/>
      <c r="RYZ149" s="463"/>
      <c r="RZA149" s="454"/>
      <c r="RZB149" s="607"/>
      <c r="RZC149" s="607"/>
      <c r="RZD149" s="607"/>
      <c r="RZE149" s="607"/>
      <c r="RZF149" s="607"/>
      <c r="RZG149" s="453"/>
      <c r="RZH149" s="289"/>
      <c r="RZI149" s="453"/>
      <c r="RZJ149" s="453"/>
      <c r="RZK149" s="453"/>
      <c r="RZL149" s="453"/>
      <c r="RZM149" s="453"/>
      <c r="RZN149" s="461"/>
      <c r="RZO149" s="461"/>
      <c r="RZP149" s="461"/>
      <c r="RZQ149" s="609"/>
      <c r="RZR149" s="607"/>
      <c r="RZS149" s="607"/>
      <c r="RZT149" s="607"/>
      <c r="RZU149" s="463"/>
      <c r="RZV149" s="454"/>
      <c r="RZW149" s="607"/>
      <c r="RZX149" s="607"/>
      <c r="RZY149" s="607"/>
      <c r="RZZ149" s="607"/>
      <c r="SAA149" s="607"/>
      <c r="SAB149" s="453"/>
      <c r="SAC149" s="289"/>
      <c r="SAD149" s="453"/>
      <c r="SAE149" s="453"/>
      <c r="SAF149" s="453"/>
      <c r="SAG149" s="453"/>
      <c r="SAH149" s="453"/>
      <c r="SAI149" s="461"/>
      <c r="SAJ149" s="461"/>
      <c r="SAK149" s="461"/>
      <c r="SAL149" s="609"/>
      <c r="SAM149" s="607"/>
      <c r="SAN149" s="607"/>
      <c r="SAO149" s="607"/>
      <c r="SAP149" s="463"/>
      <c r="SAQ149" s="454"/>
      <c r="SAR149" s="607"/>
      <c r="SAS149" s="607"/>
      <c r="SAT149" s="607"/>
      <c r="SAU149" s="607"/>
      <c r="SAV149" s="607"/>
      <c r="SAW149" s="453"/>
      <c r="SAX149" s="289"/>
      <c r="SAY149" s="453"/>
      <c r="SAZ149" s="453"/>
      <c r="SBA149" s="453"/>
      <c r="SBB149" s="453"/>
      <c r="SBC149" s="453"/>
      <c r="SBD149" s="461"/>
      <c r="SBE149" s="461"/>
      <c r="SBF149" s="461"/>
      <c r="SBG149" s="609"/>
      <c r="SBH149" s="607"/>
      <c r="SBI149" s="607"/>
      <c r="SBJ149" s="607"/>
      <c r="SBK149" s="463"/>
      <c r="SBL149" s="454"/>
      <c r="SBM149" s="607"/>
      <c r="SBN149" s="607"/>
      <c r="SBO149" s="607"/>
      <c r="SBP149" s="607"/>
      <c r="SBQ149" s="607"/>
      <c r="SBR149" s="453"/>
      <c r="SBS149" s="289"/>
      <c r="SBT149" s="453"/>
      <c r="SBU149" s="453"/>
      <c r="SBV149" s="453"/>
      <c r="SBW149" s="453"/>
      <c r="SBX149" s="453"/>
      <c r="SBY149" s="461"/>
      <c r="SBZ149" s="461"/>
      <c r="SCA149" s="461"/>
      <c r="SCB149" s="609"/>
      <c r="SCC149" s="607"/>
      <c r="SCD149" s="607"/>
      <c r="SCE149" s="607"/>
      <c r="SCF149" s="463"/>
      <c r="SCG149" s="454"/>
      <c r="SCH149" s="607"/>
      <c r="SCI149" s="607"/>
      <c r="SCJ149" s="607"/>
      <c r="SCK149" s="607"/>
      <c r="SCL149" s="607"/>
      <c r="SCM149" s="453"/>
      <c r="SCN149" s="289"/>
      <c r="SCO149" s="453"/>
      <c r="SCP149" s="453"/>
      <c r="SCQ149" s="453"/>
      <c r="SCR149" s="453"/>
      <c r="SCS149" s="453"/>
      <c r="SCT149" s="461"/>
      <c r="SCU149" s="461"/>
      <c r="SCV149" s="461"/>
      <c r="SCW149" s="609"/>
      <c r="SCX149" s="607"/>
      <c r="SCY149" s="607"/>
      <c r="SCZ149" s="607"/>
      <c r="SDA149" s="463"/>
      <c r="SDB149" s="454"/>
      <c r="SDC149" s="607"/>
      <c r="SDD149" s="607"/>
      <c r="SDE149" s="607"/>
      <c r="SDF149" s="607"/>
      <c r="SDG149" s="607"/>
      <c r="SDH149" s="453"/>
      <c r="SDI149" s="289"/>
      <c r="SDJ149" s="453"/>
      <c r="SDK149" s="453"/>
      <c r="SDL149" s="453"/>
      <c r="SDM149" s="453"/>
      <c r="SDN149" s="453"/>
      <c r="SDO149" s="461"/>
      <c r="SDP149" s="461"/>
      <c r="SDQ149" s="461"/>
      <c r="SDR149" s="609"/>
      <c r="SDS149" s="607"/>
      <c r="SDT149" s="607"/>
      <c r="SDU149" s="607"/>
      <c r="SDV149" s="463"/>
      <c r="SDW149" s="454"/>
      <c r="SDX149" s="607"/>
      <c r="SDY149" s="607"/>
      <c r="SDZ149" s="607"/>
      <c r="SEA149" s="607"/>
      <c r="SEB149" s="607"/>
      <c r="SEC149" s="453"/>
      <c r="SED149" s="289"/>
      <c r="SEE149" s="453"/>
      <c r="SEF149" s="453"/>
      <c r="SEG149" s="453"/>
      <c r="SEH149" s="453"/>
      <c r="SEI149" s="453"/>
      <c r="SEJ149" s="461"/>
      <c r="SEK149" s="461"/>
      <c r="SEL149" s="461"/>
      <c r="SEM149" s="609"/>
      <c r="SEN149" s="607"/>
      <c r="SEO149" s="607"/>
      <c r="SEP149" s="607"/>
      <c r="SEQ149" s="463"/>
      <c r="SER149" s="454"/>
      <c r="SES149" s="607"/>
      <c r="SET149" s="607"/>
      <c r="SEU149" s="607"/>
      <c r="SEV149" s="607"/>
      <c r="SEW149" s="607"/>
      <c r="SEX149" s="453"/>
      <c r="SEY149" s="289"/>
      <c r="SEZ149" s="453"/>
      <c r="SFA149" s="453"/>
      <c r="SFB149" s="453"/>
      <c r="SFC149" s="453"/>
      <c r="SFD149" s="453"/>
      <c r="SFE149" s="461"/>
      <c r="SFF149" s="461"/>
      <c r="SFG149" s="461"/>
      <c r="SFH149" s="609"/>
      <c r="SFI149" s="607"/>
      <c r="SFJ149" s="607"/>
      <c r="SFK149" s="607"/>
      <c r="SFL149" s="463"/>
      <c r="SFM149" s="454"/>
      <c r="SFN149" s="607"/>
      <c r="SFO149" s="607"/>
      <c r="SFP149" s="607"/>
      <c r="SFQ149" s="607"/>
      <c r="SFR149" s="607"/>
      <c r="SFS149" s="453"/>
      <c r="SFT149" s="289"/>
      <c r="SFU149" s="453"/>
      <c r="SFV149" s="453"/>
      <c r="SFW149" s="453"/>
      <c r="SFX149" s="453"/>
      <c r="SFY149" s="453"/>
      <c r="SFZ149" s="461"/>
      <c r="SGA149" s="461"/>
      <c r="SGB149" s="461"/>
      <c r="SGC149" s="609"/>
      <c r="SGD149" s="607"/>
      <c r="SGE149" s="607"/>
      <c r="SGF149" s="607"/>
      <c r="SGG149" s="463"/>
      <c r="SGH149" s="454"/>
      <c r="SGI149" s="607"/>
      <c r="SGJ149" s="607"/>
      <c r="SGK149" s="607"/>
      <c r="SGL149" s="607"/>
      <c r="SGM149" s="607"/>
      <c r="SGN149" s="453"/>
      <c r="SGO149" s="289"/>
      <c r="SGP149" s="453"/>
      <c r="SGQ149" s="453"/>
      <c r="SGR149" s="453"/>
      <c r="SGS149" s="453"/>
      <c r="SGT149" s="453"/>
      <c r="SGU149" s="461"/>
      <c r="SGV149" s="461"/>
      <c r="SGW149" s="461"/>
      <c r="SGX149" s="609"/>
      <c r="SGY149" s="607"/>
      <c r="SGZ149" s="607"/>
      <c r="SHA149" s="607"/>
      <c r="SHB149" s="463"/>
      <c r="SHC149" s="454"/>
      <c r="SHD149" s="607"/>
      <c r="SHE149" s="607"/>
      <c r="SHF149" s="607"/>
      <c r="SHG149" s="607"/>
      <c r="SHH149" s="607"/>
      <c r="SHI149" s="453"/>
      <c r="SHJ149" s="289"/>
      <c r="SHK149" s="453"/>
      <c r="SHL149" s="453"/>
      <c r="SHM149" s="453"/>
      <c r="SHN149" s="453"/>
      <c r="SHO149" s="453"/>
      <c r="SHP149" s="461"/>
      <c r="SHQ149" s="461"/>
      <c r="SHR149" s="461"/>
      <c r="SHS149" s="609"/>
      <c r="SHT149" s="607"/>
      <c r="SHU149" s="607"/>
      <c r="SHV149" s="607"/>
      <c r="SHW149" s="463"/>
      <c r="SHX149" s="454"/>
      <c r="SHY149" s="607"/>
      <c r="SHZ149" s="607"/>
      <c r="SIA149" s="607"/>
      <c r="SIB149" s="607"/>
      <c r="SIC149" s="607"/>
      <c r="SID149" s="453"/>
      <c r="SIE149" s="289"/>
      <c r="SIF149" s="453"/>
      <c r="SIG149" s="453"/>
      <c r="SIH149" s="453"/>
      <c r="SII149" s="453"/>
      <c r="SIJ149" s="453"/>
      <c r="SIK149" s="461"/>
      <c r="SIL149" s="461"/>
      <c r="SIM149" s="461"/>
      <c r="SIN149" s="609"/>
      <c r="SIO149" s="607"/>
      <c r="SIP149" s="607"/>
      <c r="SIQ149" s="607"/>
      <c r="SIR149" s="463"/>
      <c r="SIS149" s="454"/>
      <c r="SIT149" s="607"/>
      <c r="SIU149" s="607"/>
      <c r="SIV149" s="607"/>
      <c r="SIW149" s="607"/>
      <c r="SIX149" s="607"/>
      <c r="SIY149" s="453"/>
      <c r="SIZ149" s="289"/>
      <c r="SJA149" s="453"/>
      <c r="SJB149" s="453"/>
      <c r="SJC149" s="453"/>
      <c r="SJD149" s="453"/>
      <c r="SJE149" s="453"/>
      <c r="SJF149" s="461"/>
      <c r="SJG149" s="461"/>
      <c r="SJH149" s="461"/>
      <c r="SJI149" s="609"/>
      <c r="SJJ149" s="607"/>
      <c r="SJK149" s="607"/>
      <c r="SJL149" s="607"/>
      <c r="SJM149" s="463"/>
      <c r="SJN149" s="454"/>
      <c r="SJO149" s="607"/>
      <c r="SJP149" s="607"/>
      <c r="SJQ149" s="607"/>
      <c r="SJR149" s="607"/>
      <c r="SJS149" s="607"/>
      <c r="SJT149" s="453"/>
      <c r="SJU149" s="289"/>
      <c r="SJV149" s="453"/>
      <c r="SJW149" s="453"/>
      <c r="SJX149" s="453"/>
      <c r="SJY149" s="453"/>
      <c r="SJZ149" s="453"/>
      <c r="SKA149" s="461"/>
      <c r="SKB149" s="461"/>
      <c r="SKC149" s="461"/>
      <c r="SKD149" s="609"/>
      <c r="SKE149" s="607"/>
      <c r="SKF149" s="607"/>
      <c r="SKG149" s="607"/>
      <c r="SKH149" s="463"/>
      <c r="SKI149" s="454"/>
      <c r="SKJ149" s="607"/>
      <c r="SKK149" s="607"/>
      <c r="SKL149" s="607"/>
      <c r="SKM149" s="607"/>
      <c r="SKN149" s="607"/>
      <c r="SKO149" s="453"/>
      <c r="SKP149" s="289"/>
      <c r="SKQ149" s="453"/>
      <c r="SKR149" s="453"/>
      <c r="SKS149" s="453"/>
      <c r="SKT149" s="453"/>
      <c r="SKU149" s="453"/>
      <c r="SKV149" s="461"/>
      <c r="SKW149" s="461"/>
      <c r="SKX149" s="461"/>
      <c r="SKY149" s="609"/>
      <c r="SKZ149" s="607"/>
      <c r="SLA149" s="607"/>
      <c r="SLB149" s="607"/>
      <c r="SLC149" s="463"/>
      <c r="SLD149" s="454"/>
      <c r="SLE149" s="607"/>
      <c r="SLF149" s="607"/>
      <c r="SLG149" s="607"/>
      <c r="SLH149" s="607"/>
      <c r="SLI149" s="607"/>
      <c r="SLJ149" s="453"/>
      <c r="SLK149" s="289"/>
      <c r="SLL149" s="453"/>
      <c r="SLM149" s="453"/>
      <c r="SLN149" s="453"/>
      <c r="SLO149" s="453"/>
      <c r="SLP149" s="453"/>
      <c r="SLQ149" s="461"/>
      <c r="SLR149" s="461"/>
      <c r="SLS149" s="461"/>
      <c r="SLT149" s="609"/>
      <c r="SLU149" s="607"/>
      <c r="SLV149" s="607"/>
      <c r="SLW149" s="607"/>
      <c r="SLX149" s="463"/>
      <c r="SLY149" s="454"/>
      <c r="SLZ149" s="607"/>
      <c r="SMA149" s="607"/>
      <c r="SMB149" s="607"/>
      <c r="SMC149" s="607"/>
      <c r="SMD149" s="607"/>
      <c r="SME149" s="453"/>
      <c r="SMF149" s="289"/>
      <c r="SMG149" s="453"/>
      <c r="SMH149" s="453"/>
      <c r="SMI149" s="453"/>
      <c r="SMJ149" s="453"/>
      <c r="SMK149" s="453"/>
      <c r="SML149" s="461"/>
      <c r="SMM149" s="461"/>
      <c r="SMN149" s="461"/>
      <c r="SMO149" s="609"/>
      <c r="SMP149" s="607"/>
      <c r="SMQ149" s="607"/>
      <c r="SMR149" s="607"/>
      <c r="SMS149" s="463"/>
      <c r="SMT149" s="454"/>
      <c r="SMU149" s="607"/>
      <c r="SMV149" s="607"/>
      <c r="SMW149" s="607"/>
      <c r="SMX149" s="607"/>
      <c r="SMY149" s="607"/>
      <c r="SMZ149" s="453"/>
      <c r="SNA149" s="289"/>
      <c r="SNB149" s="453"/>
      <c r="SNC149" s="453"/>
      <c r="SND149" s="453"/>
      <c r="SNE149" s="453"/>
      <c r="SNF149" s="453"/>
      <c r="SNG149" s="461"/>
      <c r="SNH149" s="461"/>
      <c r="SNI149" s="461"/>
      <c r="SNJ149" s="609"/>
      <c r="SNK149" s="607"/>
      <c r="SNL149" s="607"/>
      <c r="SNM149" s="607"/>
      <c r="SNN149" s="463"/>
      <c r="SNO149" s="454"/>
      <c r="SNP149" s="607"/>
      <c r="SNQ149" s="607"/>
      <c r="SNR149" s="607"/>
      <c r="SNS149" s="607"/>
      <c r="SNT149" s="607"/>
      <c r="SNU149" s="453"/>
      <c r="SNV149" s="289"/>
      <c r="SNW149" s="453"/>
      <c r="SNX149" s="453"/>
      <c r="SNY149" s="453"/>
      <c r="SNZ149" s="453"/>
      <c r="SOA149" s="453"/>
      <c r="SOB149" s="461"/>
      <c r="SOC149" s="461"/>
      <c r="SOD149" s="461"/>
      <c r="SOE149" s="609"/>
      <c r="SOF149" s="607"/>
      <c r="SOG149" s="607"/>
      <c r="SOH149" s="607"/>
      <c r="SOI149" s="463"/>
      <c r="SOJ149" s="454"/>
      <c r="SOK149" s="607"/>
      <c r="SOL149" s="607"/>
      <c r="SOM149" s="607"/>
      <c r="SON149" s="607"/>
      <c r="SOO149" s="607"/>
      <c r="SOP149" s="453"/>
      <c r="SOQ149" s="289"/>
      <c r="SOR149" s="453"/>
      <c r="SOS149" s="453"/>
      <c r="SOT149" s="453"/>
      <c r="SOU149" s="453"/>
      <c r="SOV149" s="453"/>
      <c r="SOW149" s="461"/>
      <c r="SOX149" s="461"/>
      <c r="SOY149" s="461"/>
      <c r="SOZ149" s="609"/>
      <c r="SPA149" s="607"/>
      <c r="SPB149" s="607"/>
      <c r="SPC149" s="607"/>
      <c r="SPD149" s="463"/>
      <c r="SPE149" s="454"/>
      <c r="SPF149" s="607"/>
      <c r="SPG149" s="607"/>
      <c r="SPH149" s="607"/>
      <c r="SPI149" s="607"/>
      <c r="SPJ149" s="607"/>
      <c r="SPK149" s="453"/>
      <c r="SPL149" s="289"/>
      <c r="SPM149" s="453"/>
      <c r="SPN149" s="453"/>
      <c r="SPO149" s="453"/>
      <c r="SPP149" s="453"/>
      <c r="SPQ149" s="453"/>
      <c r="SPR149" s="461"/>
      <c r="SPS149" s="461"/>
      <c r="SPT149" s="461"/>
      <c r="SPU149" s="609"/>
      <c r="SPV149" s="607"/>
      <c r="SPW149" s="607"/>
      <c r="SPX149" s="607"/>
      <c r="SPY149" s="463"/>
      <c r="SPZ149" s="454"/>
      <c r="SQA149" s="607"/>
      <c r="SQB149" s="607"/>
      <c r="SQC149" s="607"/>
      <c r="SQD149" s="607"/>
      <c r="SQE149" s="607"/>
      <c r="SQF149" s="453"/>
      <c r="SQG149" s="289"/>
      <c r="SQH149" s="453"/>
      <c r="SQI149" s="453"/>
      <c r="SQJ149" s="453"/>
      <c r="SQK149" s="453"/>
      <c r="SQL149" s="453"/>
      <c r="SQM149" s="461"/>
      <c r="SQN149" s="461"/>
      <c r="SQO149" s="461"/>
      <c r="SQP149" s="609"/>
      <c r="SQQ149" s="607"/>
      <c r="SQR149" s="607"/>
      <c r="SQS149" s="607"/>
      <c r="SQT149" s="463"/>
      <c r="SQU149" s="454"/>
      <c r="SQV149" s="607"/>
      <c r="SQW149" s="607"/>
      <c r="SQX149" s="607"/>
      <c r="SQY149" s="607"/>
      <c r="SQZ149" s="607"/>
      <c r="SRA149" s="453"/>
      <c r="SRB149" s="289"/>
      <c r="SRC149" s="453"/>
      <c r="SRD149" s="453"/>
      <c r="SRE149" s="453"/>
      <c r="SRF149" s="453"/>
      <c r="SRG149" s="453"/>
      <c r="SRH149" s="461"/>
      <c r="SRI149" s="461"/>
      <c r="SRJ149" s="461"/>
      <c r="SRK149" s="609"/>
      <c r="SRL149" s="607"/>
      <c r="SRM149" s="607"/>
      <c r="SRN149" s="607"/>
      <c r="SRO149" s="463"/>
      <c r="SRP149" s="454"/>
      <c r="SRQ149" s="607"/>
      <c r="SRR149" s="607"/>
      <c r="SRS149" s="607"/>
      <c r="SRT149" s="607"/>
      <c r="SRU149" s="607"/>
      <c r="SRV149" s="453"/>
      <c r="SRW149" s="289"/>
      <c r="SRX149" s="453"/>
      <c r="SRY149" s="453"/>
      <c r="SRZ149" s="453"/>
      <c r="SSA149" s="453"/>
      <c r="SSB149" s="453"/>
      <c r="SSC149" s="461"/>
      <c r="SSD149" s="461"/>
      <c r="SSE149" s="461"/>
      <c r="SSF149" s="609"/>
      <c r="SSG149" s="607"/>
      <c r="SSH149" s="607"/>
      <c r="SSI149" s="607"/>
      <c r="SSJ149" s="463"/>
      <c r="SSK149" s="454"/>
      <c r="SSL149" s="607"/>
      <c r="SSM149" s="607"/>
      <c r="SSN149" s="607"/>
      <c r="SSO149" s="607"/>
      <c r="SSP149" s="607"/>
      <c r="SSQ149" s="453"/>
      <c r="SSR149" s="289"/>
      <c r="SSS149" s="453"/>
      <c r="SST149" s="453"/>
      <c r="SSU149" s="453"/>
      <c r="SSV149" s="453"/>
      <c r="SSW149" s="453"/>
      <c r="SSX149" s="461"/>
      <c r="SSY149" s="461"/>
      <c r="SSZ149" s="461"/>
      <c r="STA149" s="609"/>
      <c r="STB149" s="607"/>
      <c r="STC149" s="607"/>
      <c r="STD149" s="607"/>
      <c r="STE149" s="463"/>
      <c r="STF149" s="454"/>
      <c r="STG149" s="607"/>
      <c r="STH149" s="607"/>
      <c r="STI149" s="607"/>
      <c r="STJ149" s="607"/>
      <c r="STK149" s="607"/>
      <c r="STL149" s="453"/>
      <c r="STM149" s="289"/>
      <c r="STN149" s="453"/>
      <c r="STO149" s="453"/>
      <c r="STP149" s="453"/>
      <c r="STQ149" s="453"/>
      <c r="STR149" s="453"/>
      <c r="STS149" s="461"/>
      <c r="STT149" s="461"/>
      <c r="STU149" s="461"/>
      <c r="STV149" s="609"/>
      <c r="STW149" s="607"/>
      <c r="STX149" s="607"/>
      <c r="STY149" s="607"/>
      <c r="STZ149" s="463"/>
      <c r="SUA149" s="454"/>
      <c r="SUB149" s="607"/>
      <c r="SUC149" s="607"/>
      <c r="SUD149" s="607"/>
      <c r="SUE149" s="607"/>
      <c r="SUF149" s="607"/>
      <c r="SUG149" s="453"/>
      <c r="SUH149" s="289"/>
      <c r="SUI149" s="453"/>
      <c r="SUJ149" s="453"/>
      <c r="SUK149" s="453"/>
      <c r="SUL149" s="453"/>
      <c r="SUM149" s="453"/>
      <c r="SUN149" s="461"/>
      <c r="SUO149" s="461"/>
      <c r="SUP149" s="461"/>
      <c r="SUQ149" s="609"/>
      <c r="SUR149" s="607"/>
      <c r="SUS149" s="607"/>
      <c r="SUT149" s="607"/>
      <c r="SUU149" s="463"/>
      <c r="SUV149" s="454"/>
      <c r="SUW149" s="607"/>
      <c r="SUX149" s="607"/>
      <c r="SUY149" s="607"/>
      <c r="SUZ149" s="607"/>
      <c r="SVA149" s="607"/>
      <c r="SVB149" s="453"/>
      <c r="SVC149" s="289"/>
      <c r="SVD149" s="453"/>
      <c r="SVE149" s="453"/>
      <c r="SVF149" s="453"/>
      <c r="SVG149" s="453"/>
      <c r="SVH149" s="453"/>
      <c r="SVI149" s="461"/>
      <c r="SVJ149" s="461"/>
      <c r="SVK149" s="461"/>
      <c r="SVL149" s="609"/>
      <c r="SVM149" s="607"/>
      <c r="SVN149" s="607"/>
      <c r="SVO149" s="607"/>
      <c r="SVP149" s="463"/>
      <c r="SVQ149" s="454"/>
      <c r="SVR149" s="607"/>
      <c r="SVS149" s="607"/>
      <c r="SVT149" s="607"/>
      <c r="SVU149" s="607"/>
      <c r="SVV149" s="607"/>
      <c r="SVW149" s="453"/>
      <c r="SVX149" s="289"/>
      <c r="SVY149" s="453"/>
      <c r="SVZ149" s="453"/>
      <c r="SWA149" s="453"/>
      <c r="SWB149" s="453"/>
      <c r="SWC149" s="453"/>
      <c r="SWD149" s="461"/>
      <c r="SWE149" s="461"/>
      <c r="SWF149" s="461"/>
      <c r="SWG149" s="609"/>
      <c r="SWH149" s="607"/>
      <c r="SWI149" s="607"/>
      <c r="SWJ149" s="607"/>
      <c r="SWK149" s="463"/>
      <c r="SWL149" s="454"/>
      <c r="SWM149" s="607"/>
      <c r="SWN149" s="607"/>
      <c r="SWO149" s="607"/>
      <c r="SWP149" s="607"/>
      <c r="SWQ149" s="607"/>
      <c r="SWR149" s="453"/>
      <c r="SWS149" s="289"/>
      <c r="SWT149" s="453"/>
      <c r="SWU149" s="453"/>
      <c r="SWV149" s="453"/>
      <c r="SWW149" s="453"/>
      <c r="SWX149" s="453"/>
      <c r="SWY149" s="461"/>
      <c r="SWZ149" s="461"/>
      <c r="SXA149" s="461"/>
      <c r="SXB149" s="609"/>
      <c r="SXC149" s="607"/>
      <c r="SXD149" s="607"/>
      <c r="SXE149" s="607"/>
      <c r="SXF149" s="463"/>
      <c r="SXG149" s="454"/>
      <c r="SXH149" s="607"/>
      <c r="SXI149" s="607"/>
      <c r="SXJ149" s="607"/>
      <c r="SXK149" s="607"/>
      <c r="SXL149" s="607"/>
      <c r="SXM149" s="453"/>
      <c r="SXN149" s="289"/>
      <c r="SXO149" s="453"/>
      <c r="SXP149" s="453"/>
      <c r="SXQ149" s="453"/>
      <c r="SXR149" s="453"/>
      <c r="SXS149" s="453"/>
      <c r="SXT149" s="461"/>
      <c r="SXU149" s="461"/>
      <c r="SXV149" s="461"/>
      <c r="SXW149" s="609"/>
      <c r="SXX149" s="607"/>
      <c r="SXY149" s="607"/>
      <c r="SXZ149" s="607"/>
      <c r="SYA149" s="463"/>
      <c r="SYB149" s="454"/>
      <c r="SYC149" s="607"/>
      <c r="SYD149" s="607"/>
      <c r="SYE149" s="607"/>
      <c r="SYF149" s="607"/>
      <c r="SYG149" s="607"/>
      <c r="SYH149" s="453"/>
      <c r="SYI149" s="289"/>
      <c r="SYJ149" s="453"/>
      <c r="SYK149" s="453"/>
      <c r="SYL149" s="453"/>
      <c r="SYM149" s="453"/>
      <c r="SYN149" s="453"/>
      <c r="SYO149" s="461"/>
      <c r="SYP149" s="461"/>
      <c r="SYQ149" s="461"/>
      <c r="SYR149" s="609"/>
      <c r="SYS149" s="607"/>
      <c r="SYT149" s="607"/>
      <c r="SYU149" s="607"/>
      <c r="SYV149" s="463"/>
      <c r="SYW149" s="454"/>
      <c r="SYX149" s="607"/>
      <c r="SYY149" s="607"/>
      <c r="SYZ149" s="607"/>
      <c r="SZA149" s="607"/>
      <c r="SZB149" s="607"/>
      <c r="SZC149" s="453"/>
      <c r="SZD149" s="289"/>
      <c r="SZE149" s="453"/>
      <c r="SZF149" s="453"/>
      <c r="SZG149" s="453"/>
      <c r="SZH149" s="453"/>
      <c r="SZI149" s="453"/>
      <c r="SZJ149" s="461"/>
      <c r="SZK149" s="461"/>
      <c r="SZL149" s="461"/>
      <c r="SZM149" s="609"/>
      <c r="SZN149" s="607"/>
      <c r="SZO149" s="607"/>
      <c r="SZP149" s="607"/>
      <c r="SZQ149" s="463"/>
      <c r="SZR149" s="454"/>
      <c r="SZS149" s="607"/>
      <c r="SZT149" s="607"/>
      <c r="SZU149" s="607"/>
      <c r="SZV149" s="607"/>
      <c r="SZW149" s="607"/>
      <c r="SZX149" s="453"/>
      <c r="SZY149" s="289"/>
      <c r="SZZ149" s="453"/>
      <c r="TAA149" s="453"/>
      <c r="TAB149" s="453"/>
      <c r="TAC149" s="453"/>
      <c r="TAD149" s="453"/>
      <c r="TAE149" s="461"/>
      <c r="TAF149" s="461"/>
      <c r="TAG149" s="461"/>
      <c r="TAH149" s="609"/>
      <c r="TAI149" s="607"/>
      <c r="TAJ149" s="607"/>
      <c r="TAK149" s="607"/>
      <c r="TAL149" s="463"/>
      <c r="TAM149" s="454"/>
      <c r="TAN149" s="607"/>
      <c r="TAO149" s="607"/>
      <c r="TAP149" s="607"/>
      <c r="TAQ149" s="607"/>
      <c r="TAR149" s="607"/>
      <c r="TAS149" s="453"/>
      <c r="TAT149" s="289"/>
      <c r="TAU149" s="453"/>
      <c r="TAV149" s="453"/>
      <c r="TAW149" s="453"/>
      <c r="TAX149" s="453"/>
      <c r="TAY149" s="453"/>
      <c r="TAZ149" s="461"/>
      <c r="TBA149" s="461"/>
      <c r="TBB149" s="461"/>
      <c r="TBC149" s="609"/>
      <c r="TBD149" s="607"/>
      <c r="TBE149" s="607"/>
      <c r="TBF149" s="607"/>
      <c r="TBG149" s="463"/>
      <c r="TBH149" s="454"/>
      <c r="TBI149" s="607"/>
      <c r="TBJ149" s="607"/>
      <c r="TBK149" s="607"/>
      <c r="TBL149" s="607"/>
      <c r="TBM149" s="607"/>
      <c r="TBN149" s="453"/>
      <c r="TBO149" s="289"/>
      <c r="TBP149" s="453"/>
      <c r="TBQ149" s="453"/>
      <c r="TBR149" s="453"/>
      <c r="TBS149" s="453"/>
      <c r="TBT149" s="453"/>
      <c r="TBU149" s="461"/>
      <c r="TBV149" s="461"/>
      <c r="TBW149" s="461"/>
      <c r="TBX149" s="609"/>
      <c r="TBY149" s="607"/>
      <c r="TBZ149" s="607"/>
      <c r="TCA149" s="607"/>
      <c r="TCB149" s="463"/>
      <c r="TCC149" s="454"/>
      <c r="TCD149" s="607"/>
      <c r="TCE149" s="607"/>
      <c r="TCF149" s="607"/>
      <c r="TCG149" s="607"/>
      <c r="TCH149" s="607"/>
      <c r="TCI149" s="453"/>
      <c r="TCJ149" s="289"/>
      <c r="TCK149" s="453"/>
      <c r="TCL149" s="453"/>
      <c r="TCM149" s="453"/>
      <c r="TCN149" s="453"/>
      <c r="TCO149" s="453"/>
      <c r="TCP149" s="461"/>
      <c r="TCQ149" s="461"/>
      <c r="TCR149" s="461"/>
      <c r="TCS149" s="609"/>
      <c r="TCT149" s="607"/>
      <c r="TCU149" s="607"/>
      <c r="TCV149" s="607"/>
      <c r="TCW149" s="463"/>
      <c r="TCX149" s="454"/>
      <c r="TCY149" s="607"/>
      <c r="TCZ149" s="607"/>
      <c r="TDA149" s="607"/>
      <c r="TDB149" s="607"/>
      <c r="TDC149" s="607"/>
      <c r="TDD149" s="453"/>
      <c r="TDE149" s="289"/>
      <c r="TDF149" s="453"/>
      <c r="TDG149" s="453"/>
      <c r="TDH149" s="453"/>
      <c r="TDI149" s="453"/>
      <c r="TDJ149" s="453"/>
      <c r="TDK149" s="461"/>
      <c r="TDL149" s="461"/>
      <c r="TDM149" s="461"/>
      <c r="TDN149" s="609"/>
      <c r="TDO149" s="607"/>
      <c r="TDP149" s="607"/>
      <c r="TDQ149" s="607"/>
      <c r="TDR149" s="463"/>
      <c r="TDS149" s="454"/>
      <c r="TDT149" s="607"/>
      <c r="TDU149" s="607"/>
      <c r="TDV149" s="607"/>
      <c r="TDW149" s="607"/>
      <c r="TDX149" s="607"/>
      <c r="TDY149" s="453"/>
      <c r="TDZ149" s="289"/>
      <c r="TEA149" s="453"/>
      <c r="TEB149" s="453"/>
      <c r="TEC149" s="453"/>
      <c r="TED149" s="453"/>
      <c r="TEE149" s="453"/>
      <c r="TEF149" s="461"/>
      <c r="TEG149" s="461"/>
      <c r="TEH149" s="461"/>
      <c r="TEI149" s="609"/>
      <c r="TEJ149" s="607"/>
      <c r="TEK149" s="607"/>
      <c r="TEL149" s="607"/>
      <c r="TEM149" s="463"/>
      <c r="TEN149" s="454"/>
      <c r="TEO149" s="607"/>
      <c r="TEP149" s="607"/>
      <c r="TEQ149" s="607"/>
      <c r="TER149" s="607"/>
      <c r="TES149" s="607"/>
      <c r="TET149" s="453"/>
      <c r="TEU149" s="289"/>
      <c r="TEV149" s="453"/>
      <c r="TEW149" s="453"/>
      <c r="TEX149" s="453"/>
      <c r="TEY149" s="453"/>
      <c r="TEZ149" s="453"/>
      <c r="TFA149" s="461"/>
      <c r="TFB149" s="461"/>
      <c r="TFC149" s="461"/>
      <c r="TFD149" s="609"/>
      <c r="TFE149" s="607"/>
      <c r="TFF149" s="607"/>
      <c r="TFG149" s="607"/>
      <c r="TFH149" s="463"/>
      <c r="TFI149" s="454"/>
      <c r="TFJ149" s="607"/>
      <c r="TFK149" s="607"/>
      <c r="TFL149" s="607"/>
      <c r="TFM149" s="607"/>
      <c r="TFN149" s="607"/>
      <c r="TFO149" s="453"/>
      <c r="TFP149" s="289"/>
      <c r="TFQ149" s="453"/>
      <c r="TFR149" s="453"/>
      <c r="TFS149" s="453"/>
      <c r="TFT149" s="453"/>
      <c r="TFU149" s="453"/>
      <c r="TFV149" s="461"/>
      <c r="TFW149" s="461"/>
      <c r="TFX149" s="461"/>
      <c r="TFY149" s="609"/>
      <c r="TFZ149" s="607"/>
      <c r="TGA149" s="607"/>
      <c r="TGB149" s="607"/>
      <c r="TGC149" s="463"/>
      <c r="TGD149" s="454"/>
      <c r="TGE149" s="607"/>
      <c r="TGF149" s="607"/>
      <c r="TGG149" s="607"/>
      <c r="TGH149" s="607"/>
      <c r="TGI149" s="607"/>
      <c r="TGJ149" s="453"/>
      <c r="TGK149" s="289"/>
      <c r="TGL149" s="453"/>
      <c r="TGM149" s="453"/>
      <c r="TGN149" s="453"/>
      <c r="TGO149" s="453"/>
      <c r="TGP149" s="453"/>
      <c r="TGQ149" s="461"/>
      <c r="TGR149" s="461"/>
      <c r="TGS149" s="461"/>
      <c r="TGT149" s="609"/>
      <c r="TGU149" s="607"/>
      <c r="TGV149" s="607"/>
      <c r="TGW149" s="607"/>
      <c r="TGX149" s="463"/>
      <c r="TGY149" s="454"/>
      <c r="TGZ149" s="607"/>
      <c r="THA149" s="607"/>
      <c r="THB149" s="607"/>
      <c r="THC149" s="607"/>
      <c r="THD149" s="607"/>
      <c r="THE149" s="453"/>
      <c r="THF149" s="289"/>
      <c r="THG149" s="453"/>
      <c r="THH149" s="453"/>
      <c r="THI149" s="453"/>
      <c r="THJ149" s="453"/>
      <c r="THK149" s="453"/>
      <c r="THL149" s="461"/>
      <c r="THM149" s="461"/>
      <c r="THN149" s="461"/>
      <c r="THO149" s="609"/>
      <c r="THP149" s="607"/>
      <c r="THQ149" s="607"/>
      <c r="THR149" s="607"/>
      <c r="THS149" s="463"/>
      <c r="THT149" s="454"/>
      <c r="THU149" s="607"/>
      <c r="THV149" s="607"/>
      <c r="THW149" s="607"/>
      <c r="THX149" s="607"/>
      <c r="THY149" s="607"/>
      <c r="THZ149" s="453"/>
      <c r="TIA149" s="289"/>
      <c r="TIB149" s="453"/>
      <c r="TIC149" s="453"/>
      <c r="TID149" s="453"/>
      <c r="TIE149" s="453"/>
      <c r="TIF149" s="453"/>
      <c r="TIG149" s="461"/>
      <c r="TIH149" s="461"/>
      <c r="TII149" s="461"/>
      <c r="TIJ149" s="609"/>
      <c r="TIK149" s="607"/>
      <c r="TIL149" s="607"/>
      <c r="TIM149" s="607"/>
      <c r="TIN149" s="463"/>
      <c r="TIO149" s="454"/>
      <c r="TIP149" s="607"/>
      <c r="TIQ149" s="607"/>
      <c r="TIR149" s="607"/>
      <c r="TIS149" s="607"/>
      <c r="TIT149" s="607"/>
      <c r="TIU149" s="453"/>
      <c r="TIV149" s="289"/>
      <c r="TIW149" s="453"/>
      <c r="TIX149" s="453"/>
      <c r="TIY149" s="453"/>
      <c r="TIZ149" s="453"/>
      <c r="TJA149" s="453"/>
      <c r="TJB149" s="461"/>
      <c r="TJC149" s="461"/>
      <c r="TJD149" s="461"/>
      <c r="TJE149" s="609"/>
      <c r="TJF149" s="607"/>
      <c r="TJG149" s="607"/>
      <c r="TJH149" s="607"/>
      <c r="TJI149" s="463"/>
      <c r="TJJ149" s="454"/>
      <c r="TJK149" s="607"/>
      <c r="TJL149" s="607"/>
      <c r="TJM149" s="607"/>
      <c r="TJN149" s="607"/>
      <c r="TJO149" s="607"/>
      <c r="TJP149" s="453"/>
      <c r="TJQ149" s="289"/>
      <c r="TJR149" s="453"/>
      <c r="TJS149" s="453"/>
      <c r="TJT149" s="453"/>
      <c r="TJU149" s="453"/>
      <c r="TJV149" s="453"/>
      <c r="TJW149" s="461"/>
      <c r="TJX149" s="461"/>
      <c r="TJY149" s="461"/>
      <c r="TJZ149" s="609"/>
      <c r="TKA149" s="607"/>
      <c r="TKB149" s="607"/>
      <c r="TKC149" s="607"/>
      <c r="TKD149" s="463"/>
      <c r="TKE149" s="454"/>
      <c r="TKF149" s="607"/>
      <c r="TKG149" s="607"/>
      <c r="TKH149" s="607"/>
      <c r="TKI149" s="607"/>
      <c r="TKJ149" s="607"/>
      <c r="TKK149" s="453"/>
      <c r="TKL149" s="289"/>
      <c r="TKM149" s="453"/>
      <c r="TKN149" s="453"/>
      <c r="TKO149" s="453"/>
      <c r="TKP149" s="453"/>
      <c r="TKQ149" s="453"/>
      <c r="TKR149" s="461"/>
      <c r="TKS149" s="461"/>
      <c r="TKT149" s="461"/>
      <c r="TKU149" s="609"/>
      <c r="TKV149" s="607"/>
      <c r="TKW149" s="607"/>
      <c r="TKX149" s="607"/>
      <c r="TKY149" s="463"/>
      <c r="TKZ149" s="454"/>
      <c r="TLA149" s="607"/>
      <c r="TLB149" s="607"/>
      <c r="TLC149" s="607"/>
      <c r="TLD149" s="607"/>
      <c r="TLE149" s="607"/>
      <c r="TLF149" s="453"/>
      <c r="TLG149" s="289"/>
      <c r="TLH149" s="453"/>
      <c r="TLI149" s="453"/>
      <c r="TLJ149" s="453"/>
      <c r="TLK149" s="453"/>
      <c r="TLL149" s="453"/>
      <c r="TLM149" s="461"/>
      <c r="TLN149" s="461"/>
      <c r="TLO149" s="461"/>
      <c r="TLP149" s="609"/>
      <c r="TLQ149" s="607"/>
      <c r="TLR149" s="607"/>
      <c r="TLS149" s="607"/>
      <c r="TLT149" s="463"/>
      <c r="TLU149" s="454"/>
      <c r="TLV149" s="607"/>
      <c r="TLW149" s="607"/>
      <c r="TLX149" s="607"/>
      <c r="TLY149" s="607"/>
      <c r="TLZ149" s="607"/>
      <c r="TMA149" s="453"/>
      <c r="TMB149" s="289"/>
      <c r="TMC149" s="453"/>
      <c r="TMD149" s="453"/>
      <c r="TME149" s="453"/>
      <c r="TMF149" s="453"/>
      <c r="TMG149" s="453"/>
      <c r="TMH149" s="461"/>
      <c r="TMI149" s="461"/>
      <c r="TMJ149" s="461"/>
      <c r="TMK149" s="609"/>
      <c r="TML149" s="607"/>
      <c r="TMM149" s="607"/>
      <c r="TMN149" s="607"/>
      <c r="TMO149" s="463"/>
      <c r="TMP149" s="454"/>
      <c r="TMQ149" s="607"/>
      <c r="TMR149" s="607"/>
      <c r="TMS149" s="607"/>
      <c r="TMT149" s="607"/>
      <c r="TMU149" s="607"/>
      <c r="TMV149" s="453"/>
      <c r="TMW149" s="289"/>
      <c r="TMX149" s="453"/>
      <c r="TMY149" s="453"/>
      <c r="TMZ149" s="453"/>
      <c r="TNA149" s="453"/>
      <c r="TNB149" s="453"/>
      <c r="TNC149" s="461"/>
      <c r="TND149" s="461"/>
      <c r="TNE149" s="461"/>
      <c r="TNF149" s="609"/>
      <c r="TNG149" s="607"/>
      <c r="TNH149" s="607"/>
      <c r="TNI149" s="607"/>
      <c r="TNJ149" s="463"/>
      <c r="TNK149" s="454"/>
      <c r="TNL149" s="607"/>
      <c r="TNM149" s="607"/>
      <c r="TNN149" s="607"/>
      <c r="TNO149" s="607"/>
      <c r="TNP149" s="607"/>
      <c r="TNQ149" s="453"/>
      <c r="TNR149" s="289"/>
      <c r="TNS149" s="453"/>
      <c r="TNT149" s="453"/>
      <c r="TNU149" s="453"/>
      <c r="TNV149" s="453"/>
      <c r="TNW149" s="453"/>
      <c r="TNX149" s="461"/>
      <c r="TNY149" s="461"/>
      <c r="TNZ149" s="461"/>
      <c r="TOA149" s="609"/>
      <c r="TOB149" s="607"/>
      <c r="TOC149" s="607"/>
      <c r="TOD149" s="607"/>
      <c r="TOE149" s="463"/>
      <c r="TOF149" s="454"/>
      <c r="TOG149" s="607"/>
      <c r="TOH149" s="607"/>
      <c r="TOI149" s="607"/>
      <c r="TOJ149" s="607"/>
      <c r="TOK149" s="607"/>
      <c r="TOL149" s="453"/>
      <c r="TOM149" s="289"/>
      <c r="TON149" s="453"/>
      <c r="TOO149" s="453"/>
      <c r="TOP149" s="453"/>
      <c r="TOQ149" s="453"/>
      <c r="TOR149" s="453"/>
      <c r="TOS149" s="461"/>
      <c r="TOT149" s="461"/>
      <c r="TOU149" s="461"/>
      <c r="TOV149" s="609"/>
      <c r="TOW149" s="607"/>
      <c r="TOX149" s="607"/>
      <c r="TOY149" s="607"/>
      <c r="TOZ149" s="463"/>
      <c r="TPA149" s="454"/>
      <c r="TPB149" s="607"/>
      <c r="TPC149" s="607"/>
      <c r="TPD149" s="607"/>
      <c r="TPE149" s="607"/>
      <c r="TPF149" s="607"/>
      <c r="TPG149" s="453"/>
      <c r="TPH149" s="289"/>
      <c r="TPI149" s="453"/>
      <c r="TPJ149" s="453"/>
      <c r="TPK149" s="453"/>
      <c r="TPL149" s="453"/>
      <c r="TPM149" s="453"/>
      <c r="TPN149" s="461"/>
      <c r="TPO149" s="461"/>
      <c r="TPP149" s="461"/>
      <c r="TPQ149" s="609"/>
      <c r="TPR149" s="607"/>
      <c r="TPS149" s="607"/>
      <c r="TPT149" s="607"/>
      <c r="TPU149" s="463"/>
      <c r="TPV149" s="454"/>
      <c r="TPW149" s="607"/>
      <c r="TPX149" s="607"/>
      <c r="TPY149" s="607"/>
      <c r="TPZ149" s="607"/>
      <c r="TQA149" s="607"/>
      <c r="TQB149" s="453"/>
      <c r="TQC149" s="289"/>
      <c r="TQD149" s="453"/>
      <c r="TQE149" s="453"/>
      <c r="TQF149" s="453"/>
      <c r="TQG149" s="453"/>
      <c r="TQH149" s="453"/>
      <c r="TQI149" s="461"/>
      <c r="TQJ149" s="461"/>
      <c r="TQK149" s="461"/>
      <c r="TQL149" s="609"/>
      <c r="TQM149" s="607"/>
      <c r="TQN149" s="607"/>
      <c r="TQO149" s="607"/>
      <c r="TQP149" s="463"/>
      <c r="TQQ149" s="454"/>
      <c r="TQR149" s="607"/>
      <c r="TQS149" s="607"/>
      <c r="TQT149" s="607"/>
      <c r="TQU149" s="607"/>
      <c r="TQV149" s="607"/>
      <c r="TQW149" s="453"/>
      <c r="TQX149" s="289"/>
      <c r="TQY149" s="453"/>
      <c r="TQZ149" s="453"/>
      <c r="TRA149" s="453"/>
      <c r="TRB149" s="453"/>
      <c r="TRC149" s="453"/>
      <c r="TRD149" s="461"/>
      <c r="TRE149" s="461"/>
      <c r="TRF149" s="461"/>
      <c r="TRG149" s="609"/>
      <c r="TRH149" s="607"/>
      <c r="TRI149" s="607"/>
      <c r="TRJ149" s="607"/>
      <c r="TRK149" s="463"/>
      <c r="TRL149" s="454"/>
      <c r="TRM149" s="607"/>
      <c r="TRN149" s="607"/>
      <c r="TRO149" s="607"/>
      <c r="TRP149" s="607"/>
      <c r="TRQ149" s="607"/>
      <c r="TRR149" s="453"/>
      <c r="TRS149" s="289"/>
      <c r="TRT149" s="453"/>
      <c r="TRU149" s="453"/>
      <c r="TRV149" s="453"/>
      <c r="TRW149" s="453"/>
      <c r="TRX149" s="453"/>
      <c r="TRY149" s="461"/>
      <c r="TRZ149" s="461"/>
      <c r="TSA149" s="461"/>
      <c r="TSB149" s="609"/>
      <c r="TSC149" s="607"/>
      <c r="TSD149" s="607"/>
      <c r="TSE149" s="607"/>
      <c r="TSF149" s="463"/>
      <c r="TSG149" s="454"/>
      <c r="TSH149" s="607"/>
      <c r="TSI149" s="607"/>
      <c r="TSJ149" s="607"/>
      <c r="TSK149" s="607"/>
      <c r="TSL149" s="607"/>
      <c r="TSM149" s="453"/>
      <c r="TSN149" s="289"/>
      <c r="TSO149" s="453"/>
      <c r="TSP149" s="453"/>
      <c r="TSQ149" s="453"/>
      <c r="TSR149" s="453"/>
      <c r="TSS149" s="453"/>
      <c r="TST149" s="461"/>
      <c r="TSU149" s="461"/>
      <c r="TSV149" s="461"/>
      <c r="TSW149" s="609"/>
      <c r="TSX149" s="607"/>
      <c r="TSY149" s="607"/>
      <c r="TSZ149" s="607"/>
      <c r="TTA149" s="463"/>
      <c r="TTB149" s="454"/>
      <c r="TTC149" s="607"/>
      <c r="TTD149" s="607"/>
      <c r="TTE149" s="607"/>
      <c r="TTF149" s="607"/>
      <c r="TTG149" s="607"/>
      <c r="TTH149" s="453"/>
      <c r="TTI149" s="289"/>
      <c r="TTJ149" s="453"/>
      <c r="TTK149" s="453"/>
      <c r="TTL149" s="453"/>
      <c r="TTM149" s="453"/>
      <c r="TTN149" s="453"/>
      <c r="TTO149" s="461"/>
      <c r="TTP149" s="461"/>
      <c r="TTQ149" s="461"/>
      <c r="TTR149" s="609"/>
      <c r="TTS149" s="607"/>
      <c r="TTT149" s="607"/>
      <c r="TTU149" s="607"/>
      <c r="TTV149" s="463"/>
      <c r="TTW149" s="454"/>
      <c r="TTX149" s="607"/>
      <c r="TTY149" s="607"/>
      <c r="TTZ149" s="607"/>
      <c r="TUA149" s="607"/>
      <c r="TUB149" s="607"/>
      <c r="TUC149" s="453"/>
      <c r="TUD149" s="289"/>
      <c r="TUE149" s="453"/>
      <c r="TUF149" s="453"/>
      <c r="TUG149" s="453"/>
      <c r="TUH149" s="453"/>
      <c r="TUI149" s="453"/>
      <c r="TUJ149" s="461"/>
      <c r="TUK149" s="461"/>
      <c r="TUL149" s="461"/>
      <c r="TUM149" s="609"/>
      <c r="TUN149" s="607"/>
      <c r="TUO149" s="607"/>
      <c r="TUP149" s="607"/>
      <c r="TUQ149" s="463"/>
      <c r="TUR149" s="454"/>
      <c r="TUS149" s="607"/>
      <c r="TUT149" s="607"/>
      <c r="TUU149" s="607"/>
      <c r="TUV149" s="607"/>
      <c r="TUW149" s="607"/>
      <c r="TUX149" s="453"/>
      <c r="TUY149" s="289"/>
      <c r="TUZ149" s="453"/>
      <c r="TVA149" s="453"/>
      <c r="TVB149" s="453"/>
      <c r="TVC149" s="453"/>
      <c r="TVD149" s="453"/>
      <c r="TVE149" s="461"/>
      <c r="TVF149" s="461"/>
      <c r="TVG149" s="461"/>
      <c r="TVH149" s="609"/>
      <c r="TVI149" s="607"/>
      <c r="TVJ149" s="607"/>
      <c r="TVK149" s="607"/>
      <c r="TVL149" s="463"/>
      <c r="TVM149" s="454"/>
      <c r="TVN149" s="607"/>
      <c r="TVO149" s="607"/>
      <c r="TVP149" s="607"/>
      <c r="TVQ149" s="607"/>
      <c r="TVR149" s="607"/>
      <c r="TVS149" s="453"/>
      <c r="TVT149" s="289"/>
      <c r="TVU149" s="453"/>
      <c r="TVV149" s="453"/>
      <c r="TVW149" s="453"/>
      <c r="TVX149" s="453"/>
      <c r="TVY149" s="453"/>
      <c r="TVZ149" s="461"/>
      <c r="TWA149" s="461"/>
      <c r="TWB149" s="461"/>
      <c r="TWC149" s="609"/>
      <c r="TWD149" s="607"/>
      <c r="TWE149" s="607"/>
      <c r="TWF149" s="607"/>
      <c r="TWG149" s="463"/>
      <c r="TWH149" s="454"/>
      <c r="TWI149" s="607"/>
      <c r="TWJ149" s="607"/>
      <c r="TWK149" s="607"/>
      <c r="TWL149" s="607"/>
      <c r="TWM149" s="607"/>
      <c r="TWN149" s="453"/>
      <c r="TWO149" s="289"/>
      <c r="TWP149" s="453"/>
      <c r="TWQ149" s="453"/>
      <c r="TWR149" s="453"/>
      <c r="TWS149" s="453"/>
      <c r="TWT149" s="453"/>
      <c r="TWU149" s="461"/>
      <c r="TWV149" s="461"/>
      <c r="TWW149" s="461"/>
      <c r="TWX149" s="609"/>
      <c r="TWY149" s="607"/>
      <c r="TWZ149" s="607"/>
      <c r="TXA149" s="607"/>
      <c r="TXB149" s="463"/>
      <c r="TXC149" s="454"/>
      <c r="TXD149" s="607"/>
      <c r="TXE149" s="607"/>
      <c r="TXF149" s="607"/>
      <c r="TXG149" s="607"/>
      <c r="TXH149" s="607"/>
      <c r="TXI149" s="453"/>
      <c r="TXJ149" s="289"/>
      <c r="TXK149" s="453"/>
      <c r="TXL149" s="453"/>
      <c r="TXM149" s="453"/>
      <c r="TXN149" s="453"/>
      <c r="TXO149" s="453"/>
      <c r="TXP149" s="461"/>
      <c r="TXQ149" s="461"/>
      <c r="TXR149" s="461"/>
      <c r="TXS149" s="609"/>
      <c r="TXT149" s="607"/>
      <c r="TXU149" s="607"/>
      <c r="TXV149" s="607"/>
      <c r="TXW149" s="463"/>
      <c r="TXX149" s="454"/>
      <c r="TXY149" s="607"/>
      <c r="TXZ149" s="607"/>
      <c r="TYA149" s="607"/>
      <c r="TYB149" s="607"/>
      <c r="TYC149" s="607"/>
      <c r="TYD149" s="453"/>
      <c r="TYE149" s="289"/>
      <c r="TYF149" s="453"/>
      <c r="TYG149" s="453"/>
      <c r="TYH149" s="453"/>
      <c r="TYI149" s="453"/>
      <c r="TYJ149" s="453"/>
      <c r="TYK149" s="461"/>
      <c r="TYL149" s="461"/>
      <c r="TYM149" s="461"/>
      <c r="TYN149" s="609"/>
      <c r="TYO149" s="607"/>
      <c r="TYP149" s="607"/>
      <c r="TYQ149" s="607"/>
      <c r="TYR149" s="463"/>
      <c r="TYS149" s="454"/>
      <c r="TYT149" s="607"/>
      <c r="TYU149" s="607"/>
      <c r="TYV149" s="607"/>
      <c r="TYW149" s="607"/>
      <c r="TYX149" s="607"/>
      <c r="TYY149" s="453"/>
      <c r="TYZ149" s="289"/>
      <c r="TZA149" s="453"/>
      <c r="TZB149" s="453"/>
      <c r="TZC149" s="453"/>
      <c r="TZD149" s="453"/>
      <c r="TZE149" s="453"/>
      <c r="TZF149" s="461"/>
      <c r="TZG149" s="461"/>
      <c r="TZH149" s="461"/>
      <c r="TZI149" s="609"/>
      <c r="TZJ149" s="607"/>
      <c r="TZK149" s="607"/>
      <c r="TZL149" s="607"/>
      <c r="TZM149" s="463"/>
      <c r="TZN149" s="454"/>
      <c r="TZO149" s="607"/>
      <c r="TZP149" s="607"/>
      <c r="TZQ149" s="607"/>
      <c r="TZR149" s="607"/>
      <c r="TZS149" s="607"/>
      <c r="TZT149" s="453"/>
      <c r="TZU149" s="289"/>
      <c r="TZV149" s="453"/>
      <c r="TZW149" s="453"/>
      <c r="TZX149" s="453"/>
      <c r="TZY149" s="453"/>
      <c r="TZZ149" s="453"/>
      <c r="UAA149" s="461"/>
      <c r="UAB149" s="461"/>
      <c r="UAC149" s="461"/>
      <c r="UAD149" s="609"/>
      <c r="UAE149" s="607"/>
      <c r="UAF149" s="607"/>
      <c r="UAG149" s="607"/>
      <c r="UAH149" s="463"/>
      <c r="UAI149" s="454"/>
      <c r="UAJ149" s="607"/>
      <c r="UAK149" s="607"/>
      <c r="UAL149" s="607"/>
      <c r="UAM149" s="607"/>
      <c r="UAN149" s="607"/>
      <c r="UAO149" s="453"/>
      <c r="UAP149" s="289"/>
      <c r="UAQ149" s="453"/>
      <c r="UAR149" s="453"/>
      <c r="UAS149" s="453"/>
      <c r="UAT149" s="453"/>
      <c r="UAU149" s="453"/>
      <c r="UAV149" s="461"/>
      <c r="UAW149" s="461"/>
      <c r="UAX149" s="461"/>
      <c r="UAY149" s="609"/>
      <c r="UAZ149" s="607"/>
      <c r="UBA149" s="607"/>
      <c r="UBB149" s="607"/>
      <c r="UBC149" s="463"/>
      <c r="UBD149" s="454"/>
      <c r="UBE149" s="607"/>
      <c r="UBF149" s="607"/>
      <c r="UBG149" s="607"/>
      <c r="UBH149" s="607"/>
      <c r="UBI149" s="607"/>
      <c r="UBJ149" s="453"/>
      <c r="UBK149" s="289"/>
      <c r="UBL149" s="453"/>
      <c r="UBM149" s="453"/>
      <c r="UBN149" s="453"/>
      <c r="UBO149" s="453"/>
      <c r="UBP149" s="453"/>
      <c r="UBQ149" s="461"/>
      <c r="UBR149" s="461"/>
      <c r="UBS149" s="461"/>
      <c r="UBT149" s="609"/>
      <c r="UBU149" s="607"/>
      <c r="UBV149" s="607"/>
      <c r="UBW149" s="607"/>
      <c r="UBX149" s="463"/>
      <c r="UBY149" s="454"/>
      <c r="UBZ149" s="607"/>
      <c r="UCA149" s="607"/>
      <c r="UCB149" s="607"/>
      <c r="UCC149" s="607"/>
      <c r="UCD149" s="607"/>
      <c r="UCE149" s="453"/>
      <c r="UCF149" s="289"/>
      <c r="UCG149" s="453"/>
      <c r="UCH149" s="453"/>
      <c r="UCI149" s="453"/>
      <c r="UCJ149" s="453"/>
      <c r="UCK149" s="453"/>
      <c r="UCL149" s="461"/>
      <c r="UCM149" s="461"/>
      <c r="UCN149" s="461"/>
      <c r="UCO149" s="609"/>
      <c r="UCP149" s="607"/>
      <c r="UCQ149" s="607"/>
      <c r="UCR149" s="607"/>
      <c r="UCS149" s="463"/>
      <c r="UCT149" s="454"/>
      <c r="UCU149" s="607"/>
      <c r="UCV149" s="607"/>
      <c r="UCW149" s="607"/>
      <c r="UCX149" s="607"/>
      <c r="UCY149" s="607"/>
      <c r="UCZ149" s="453"/>
      <c r="UDA149" s="289"/>
      <c r="UDB149" s="453"/>
      <c r="UDC149" s="453"/>
      <c r="UDD149" s="453"/>
      <c r="UDE149" s="453"/>
      <c r="UDF149" s="453"/>
      <c r="UDG149" s="461"/>
      <c r="UDH149" s="461"/>
      <c r="UDI149" s="461"/>
      <c r="UDJ149" s="609"/>
      <c r="UDK149" s="607"/>
      <c r="UDL149" s="607"/>
      <c r="UDM149" s="607"/>
      <c r="UDN149" s="463"/>
      <c r="UDO149" s="454"/>
      <c r="UDP149" s="607"/>
      <c r="UDQ149" s="607"/>
      <c r="UDR149" s="607"/>
      <c r="UDS149" s="607"/>
      <c r="UDT149" s="607"/>
      <c r="UDU149" s="453"/>
      <c r="UDV149" s="289"/>
      <c r="UDW149" s="453"/>
      <c r="UDX149" s="453"/>
      <c r="UDY149" s="453"/>
      <c r="UDZ149" s="453"/>
      <c r="UEA149" s="453"/>
      <c r="UEB149" s="461"/>
      <c r="UEC149" s="461"/>
      <c r="UED149" s="461"/>
      <c r="UEE149" s="609"/>
      <c r="UEF149" s="607"/>
      <c r="UEG149" s="607"/>
      <c r="UEH149" s="607"/>
      <c r="UEI149" s="463"/>
      <c r="UEJ149" s="454"/>
      <c r="UEK149" s="607"/>
      <c r="UEL149" s="607"/>
      <c r="UEM149" s="607"/>
      <c r="UEN149" s="607"/>
      <c r="UEO149" s="607"/>
      <c r="UEP149" s="453"/>
      <c r="UEQ149" s="289"/>
      <c r="UER149" s="453"/>
      <c r="UES149" s="453"/>
      <c r="UET149" s="453"/>
      <c r="UEU149" s="453"/>
      <c r="UEV149" s="453"/>
      <c r="UEW149" s="461"/>
      <c r="UEX149" s="461"/>
      <c r="UEY149" s="461"/>
      <c r="UEZ149" s="609"/>
      <c r="UFA149" s="607"/>
      <c r="UFB149" s="607"/>
      <c r="UFC149" s="607"/>
      <c r="UFD149" s="463"/>
      <c r="UFE149" s="454"/>
      <c r="UFF149" s="607"/>
      <c r="UFG149" s="607"/>
      <c r="UFH149" s="607"/>
      <c r="UFI149" s="607"/>
      <c r="UFJ149" s="607"/>
      <c r="UFK149" s="453"/>
      <c r="UFL149" s="289"/>
      <c r="UFM149" s="453"/>
      <c r="UFN149" s="453"/>
      <c r="UFO149" s="453"/>
      <c r="UFP149" s="453"/>
      <c r="UFQ149" s="453"/>
      <c r="UFR149" s="461"/>
      <c r="UFS149" s="461"/>
      <c r="UFT149" s="461"/>
      <c r="UFU149" s="609"/>
      <c r="UFV149" s="607"/>
      <c r="UFW149" s="607"/>
      <c r="UFX149" s="607"/>
      <c r="UFY149" s="463"/>
      <c r="UFZ149" s="454"/>
      <c r="UGA149" s="607"/>
      <c r="UGB149" s="607"/>
      <c r="UGC149" s="607"/>
      <c r="UGD149" s="607"/>
      <c r="UGE149" s="607"/>
      <c r="UGF149" s="453"/>
      <c r="UGG149" s="289"/>
      <c r="UGH149" s="453"/>
      <c r="UGI149" s="453"/>
      <c r="UGJ149" s="453"/>
      <c r="UGK149" s="453"/>
      <c r="UGL149" s="453"/>
      <c r="UGM149" s="461"/>
      <c r="UGN149" s="461"/>
      <c r="UGO149" s="461"/>
      <c r="UGP149" s="609"/>
      <c r="UGQ149" s="607"/>
      <c r="UGR149" s="607"/>
      <c r="UGS149" s="607"/>
      <c r="UGT149" s="463"/>
      <c r="UGU149" s="454"/>
      <c r="UGV149" s="607"/>
      <c r="UGW149" s="607"/>
      <c r="UGX149" s="607"/>
      <c r="UGY149" s="607"/>
      <c r="UGZ149" s="607"/>
      <c r="UHA149" s="453"/>
      <c r="UHB149" s="289"/>
      <c r="UHC149" s="453"/>
      <c r="UHD149" s="453"/>
      <c r="UHE149" s="453"/>
      <c r="UHF149" s="453"/>
      <c r="UHG149" s="453"/>
      <c r="UHH149" s="461"/>
      <c r="UHI149" s="461"/>
      <c r="UHJ149" s="461"/>
      <c r="UHK149" s="609"/>
      <c r="UHL149" s="607"/>
      <c r="UHM149" s="607"/>
      <c r="UHN149" s="607"/>
      <c r="UHO149" s="463"/>
      <c r="UHP149" s="454"/>
      <c r="UHQ149" s="607"/>
      <c r="UHR149" s="607"/>
      <c r="UHS149" s="607"/>
      <c r="UHT149" s="607"/>
      <c r="UHU149" s="607"/>
      <c r="UHV149" s="453"/>
      <c r="UHW149" s="289"/>
      <c r="UHX149" s="453"/>
      <c r="UHY149" s="453"/>
      <c r="UHZ149" s="453"/>
      <c r="UIA149" s="453"/>
      <c r="UIB149" s="453"/>
      <c r="UIC149" s="461"/>
      <c r="UID149" s="461"/>
      <c r="UIE149" s="461"/>
      <c r="UIF149" s="609"/>
      <c r="UIG149" s="607"/>
      <c r="UIH149" s="607"/>
      <c r="UII149" s="607"/>
      <c r="UIJ149" s="463"/>
      <c r="UIK149" s="454"/>
      <c r="UIL149" s="607"/>
      <c r="UIM149" s="607"/>
      <c r="UIN149" s="607"/>
      <c r="UIO149" s="607"/>
      <c r="UIP149" s="607"/>
      <c r="UIQ149" s="453"/>
      <c r="UIR149" s="289"/>
      <c r="UIS149" s="453"/>
      <c r="UIT149" s="453"/>
      <c r="UIU149" s="453"/>
      <c r="UIV149" s="453"/>
      <c r="UIW149" s="453"/>
      <c r="UIX149" s="461"/>
      <c r="UIY149" s="461"/>
      <c r="UIZ149" s="461"/>
      <c r="UJA149" s="609"/>
      <c r="UJB149" s="607"/>
      <c r="UJC149" s="607"/>
      <c r="UJD149" s="607"/>
      <c r="UJE149" s="463"/>
      <c r="UJF149" s="454"/>
      <c r="UJG149" s="607"/>
      <c r="UJH149" s="607"/>
      <c r="UJI149" s="607"/>
      <c r="UJJ149" s="607"/>
      <c r="UJK149" s="607"/>
      <c r="UJL149" s="453"/>
      <c r="UJM149" s="289"/>
      <c r="UJN149" s="453"/>
      <c r="UJO149" s="453"/>
      <c r="UJP149" s="453"/>
      <c r="UJQ149" s="453"/>
      <c r="UJR149" s="453"/>
      <c r="UJS149" s="461"/>
      <c r="UJT149" s="461"/>
      <c r="UJU149" s="461"/>
      <c r="UJV149" s="609"/>
      <c r="UJW149" s="607"/>
      <c r="UJX149" s="607"/>
      <c r="UJY149" s="607"/>
      <c r="UJZ149" s="463"/>
      <c r="UKA149" s="454"/>
      <c r="UKB149" s="607"/>
      <c r="UKC149" s="607"/>
      <c r="UKD149" s="607"/>
      <c r="UKE149" s="607"/>
      <c r="UKF149" s="607"/>
      <c r="UKG149" s="453"/>
      <c r="UKH149" s="289"/>
      <c r="UKI149" s="453"/>
      <c r="UKJ149" s="453"/>
      <c r="UKK149" s="453"/>
      <c r="UKL149" s="453"/>
      <c r="UKM149" s="453"/>
      <c r="UKN149" s="461"/>
      <c r="UKO149" s="461"/>
      <c r="UKP149" s="461"/>
      <c r="UKQ149" s="609"/>
      <c r="UKR149" s="607"/>
      <c r="UKS149" s="607"/>
      <c r="UKT149" s="607"/>
      <c r="UKU149" s="463"/>
      <c r="UKV149" s="454"/>
      <c r="UKW149" s="607"/>
      <c r="UKX149" s="607"/>
      <c r="UKY149" s="607"/>
      <c r="UKZ149" s="607"/>
      <c r="ULA149" s="607"/>
      <c r="ULB149" s="453"/>
      <c r="ULC149" s="289"/>
      <c r="ULD149" s="453"/>
      <c r="ULE149" s="453"/>
      <c r="ULF149" s="453"/>
      <c r="ULG149" s="453"/>
      <c r="ULH149" s="453"/>
      <c r="ULI149" s="461"/>
      <c r="ULJ149" s="461"/>
      <c r="ULK149" s="461"/>
      <c r="ULL149" s="609"/>
      <c r="ULM149" s="607"/>
      <c r="ULN149" s="607"/>
      <c r="ULO149" s="607"/>
      <c r="ULP149" s="463"/>
      <c r="ULQ149" s="454"/>
      <c r="ULR149" s="607"/>
      <c r="ULS149" s="607"/>
      <c r="ULT149" s="607"/>
      <c r="ULU149" s="607"/>
      <c r="ULV149" s="607"/>
      <c r="ULW149" s="453"/>
      <c r="ULX149" s="289"/>
      <c r="ULY149" s="453"/>
      <c r="ULZ149" s="453"/>
      <c r="UMA149" s="453"/>
      <c r="UMB149" s="453"/>
      <c r="UMC149" s="453"/>
      <c r="UMD149" s="461"/>
      <c r="UME149" s="461"/>
      <c r="UMF149" s="461"/>
      <c r="UMG149" s="609"/>
      <c r="UMH149" s="607"/>
      <c r="UMI149" s="607"/>
      <c r="UMJ149" s="607"/>
      <c r="UMK149" s="463"/>
      <c r="UML149" s="454"/>
      <c r="UMM149" s="607"/>
      <c r="UMN149" s="607"/>
      <c r="UMO149" s="607"/>
      <c r="UMP149" s="607"/>
      <c r="UMQ149" s="607"/>
      <c r="UMR149" s="453"/>
      <c r="UMS149" s="289"/>
      <c r="UMT149" s="453"/>
      <c r="UMU149" s="453"/>
      <c r="UMV149" s="453"/>
      <c r="UMW149" s="453"/>
      <c r="UMX149" s="453"/>
      <c r="UMY149" s="461"/>
      <c r="UMZ149" s="461"/>
      <c r="UNA149" s="461"/>
      <c r="UNB149" s="609"/>
      <c r="UNC149" s="607"/>
      <c r="UND149" s="607"/>
      <c r="UNE149" s="607"/>
      <c r="UNF149" s="463"/>
      <c r="UNG149" s="454"/>
      <c r="UNH149" s="607"/>
      <c r="UNI149" s="607"/>
      <c r="UNJ149" s="607"/>
      <c r="UNK149" s="607"/>
      <c r="UNL149" s="607"/>
      <c r="UNM149" s="453"/>
      <c r="UNN149" s="289"/>
      <c r="UNO149" s="453"/>
      <c r="UNP149" s="453"/>
      <c r="UNQ149" s="453"/>
      <c r="UNR149" s="453"/>
      <c r="UNS149" s="453"/>
      <c r="UNT149" s="461"/>
      <c r="UNU149" s="461"/>
      <c r="UNV149" s="461"/>
      <c r="UNW149" s="609"/>
      <c r="UNX149" s="607"/>
      <c r="UNY149" s="607"/>
      <c r="UNZ149" s="607"/>
      <c r="UOA149" s="463"/>
      <c r="UOB149" s="454"/>
      <c r="UOC149" s="607"/>
      <c r="UOD149" s="607"/>
      <c r="UOE149" s="607"/>
      <c r="UOF149" s="607"/>
      <c r="UOG149" s="607"/>
      <c r="UOH149" s="453"/>
      <c r="UOI149" s="289"/>
      <c r="UOJ149" s="453"/>
      <c r="UOK149" s="453"/>
      <c r="UOL149" s="453"/>
      <c r="UOM149" s="453"/>
      <c r="UON149" s="453"/>
      <c r="UOO149" s="461"/>
      <c r="UOP149" s="461"/>
      <c r="UOQ149" s="461"/>
      <c r="UOR149" s="609"/>
      <c r="UOS149" s="607"/>
      <c r="UOT149" s="607"/>
      <c r="UOU149" s="607"/>
      <c r="UOV149" s="463"/>
      <c r="UOW149" s="454"/>
      <c r="UOX149" s="607"/>
      <c r="UOY149" s="607"/>
      <c r="UOZ149" s="607"/>
      <c r="UPA149" s="607"/>
      <c r="UPB149" s="607"/>
      <c r="UPC149" s="453"/>
      <c r="UPD149" s="289"/>
      <c r="UPE149" s="453"/>
      <c r="UPF149" s="453"/>
      <c r="UPG149" s="453"/>
      <c r="UPH149" s="453"/>
      <c r="UPI149" s="453"/>
      <c r="UPJ149" s="461"/>
      <c r="UPK149" s="461"/>
      <c r="UPL149" s="461"/>
      <c r="UPM149" s="609"/>
      <c r="UPN149" s="607"/>
      <c r="UPO149" s="607"/>
      <c r="UPP149" s="607"/>
      <c r="UPQ149" s="463"/>
      <c r="UPR149" s="454"/>
      <c r="UPS149" s="607"/>
      <c r="UPT149" s="607"/>
      <c r="UPU149" s="607"/>
      <c r="UPV149" s="607"/>
      <c r="UPW149" s="607"/>
      <c r="UPX149" s="453"/>
      <c r="UPY149" s="289"/>
      <c r="UPZ149" s="453"/>
      <c r="UQA149" s="453"/>
      <c r="UQB149" s="453"/>
      <c r="UQC149" s="453"/>
      <c r="UQD149" s="453"/>
      <c r="UQE149" s="461"/>
      <c r="UQF149" s="461"/>
      <c r="UQG149" s="461"/>
      <c r="UQH149" s="609"/>
      <c r="UQI149" s="607"/>
      <c r="UQJ149" s="607"/>
      <c r="UQK149" s="607"/>
      <c r="UQL149" s="463"/>
      <c r="UQM149" s="454"/>
      <c r="UQN149" s="607"/>
      <c r="UQO149" s="607"/>
      <c r="UQP149" s="607"/>
      <c r="UQQ149" s="607"/>
      <c r="UQR149" s="607"/>
      <c r="UQS149" s="453"/>
      <c r="UQT149" s="289"/>
      <c r="UQU149" s="453"/>
      <c r="UQV149" s="453"/>
      <c r="UQW149" s="453"/>
      <c r="UQX149" s="453"/>
      <c r="UQY149" s="453"/>
      <c r="UQZ149" s="461"/>
      <c r="URA149" s="461"/>
      <c r="URB149" s="461"/>
      <c r="URC149" s="609"/>
      <c r="URD149" s="607"/>
      <c r="URE149" s="607"/>
      <c r="URF149" s="607"/>
      <c r="URG149" s="463"/>
      <c r="URH149" s="454"/>
      <c r="URI149" s="607"/>
      <c r="URJ149" s="607"/>
      <c r="URK149" s="607"/>
      <c r="URL149" s="607"/>
      <c r="URM149" s="607"/>
      <c r="URN149" s="453"/>
      <c r="URO149" s="289"/>
      <c r="URP149" s="453"/>
      <c r="URQ149" s="453"/>
      <c r="URR149" s="453"/>
      <c r="URS149" s="453"/>
      <c r="URT149" s="453"/>
      <c r="URU149" s="461"/>
      <c r="URV149" s="461"/>
      <c r="URW149" s="461"/>
      <c r="URX149" s="609"/>
      <c r="URY149" s="607"/>
      <c r="URZ149" s="607"/>
      <c r="USA149" s="607"/>
      <c r="USB149" s="463"/>
      <c r="USC149" s="454"/>
      <c r="USD149" s="607"/>
      <c r="USE149" s="607"/>
      <c r="USF149" s="607"/>
      <c r="USG149" s="607"/>
      <c r="USH149" s="607"/>
      <c r="USI149" s="453"/>
      <c r="USJ149" s="289"/>
      <c r="USK149" s="453"/>
      <c r="USL149" s="453"/>
      <c r="USM149" s="453"/>
      <c r="USN149" s="453"/>
      <c r="USO149" s="453"/>
      <c r="USP149" s="461"/>
      <c r="USQ149" s="461"/>
      <c r="USR149" s="461"/>
      <c r="USS149" s="609"/>
      <c r="UST149" s="607"/>
      <c r="USU149" s="607"/>
      <c r="USV149" s="607"/>
      <c r="USW149" s="463"/>
      <c r="USX149" s="454"/>
      <c r="USY149" s="607"/>
      <c r="USZ149" s="607"/>
      <c r="UTA149" s="607"/>
      <c r="UTB149" s="607"/>
      <c r="UTC149" s="607"/>
      <c r="UTD149" s="453"/>
      <c r="UTE149" s="289"/>
      <c r="UTF149" s="453"/>
      <c r="UTG149" s="453"/>
      <c r="UTH149" s="453"/>
      <c r="UTI149" s="453"/>
      <c r="UTJ149" s="453"/>
      <c r="UTK149" s="461"/>
      <c r="UTL149" s="461"/>
      <c r="UTM149" s="461"/>
      <c r="UTN149" s="609"/>
      <c r="UTO149" s="607"/>
      <c r="UTP149" s="607"/>
      <c r="UTQ149" s="607"/>
      <c r="UTR149" s="463"/>
      <c r="UTS149" s="454"/>
      <c r="UTT149" s="607"/>
      <c r="UTU149" s="607"/>
      <c r="UTV149" s="607"/>
      <c r="UTW149" s="607"/>
      <c r="UTX149" s="607"/>
      <c r="UTY149" s="453"/>
      <c r="UTZ149" s="289"/>
      <c r="UUA149" s="453"/>
      <c r="UUB149" s="453"/>
      <c r="UUC149" s="453"/>
      <c r="UUD149" s="453"/>
      <c r="UUE149" s="453"/>
      <c r="UUF149" s="461"/>
      <c r="UUG149" s="461"/>
      <c r="UUH149" s="461"/>
      <c r="UUI149" s="609"/>
      <c r="UUJ149" s="607"/>
      <c r="UUK149" s="607"/>
      <c r="UUL149" s="607"/>
      <c r="UUM149" s="463"/>
      <c r="UUN149" s="454"/>
      <c r="UUO149" s="607"/>
      <c r="UUP149" s="607"/>
      <c r="UUQ149" s="607"/>
      <c r="UUR149" s="607"/>
      <c r="UUS149" s="607"/>
      <c r="UUT149" s="453"/>
      <c r="UUU149" s="289"/>
      <c r="UUV149" s="453"/>
      <c r="UUW149" s="453"/>
      <c r="UUX149" s="453"/>
      <c r="UUY149" s="453"/>
      <c r="UUZ149" s="453"/>
      <c r="UVA149" s="461"/>
      <c r="UVB149" s="461"/>
      <c r="UVC149" s="461"/>
      <c r="UVD149" s="609"/>
      <c r="UVE149" s="607"/>
      <c r="UVF149" s="607"/>
      <c r="UVG149" s="607"/>
      <c r="UVH149" s="463"/>
      <c r="UVI149" s="454"/>
      <c r="UVJ149" s="607"/>
      <c r="UVK149" s="607"/>
      <c r="UVL149" s="607"/>
      <c r="UVM149" s="607"/>
      <c r="UVN149" s="607"/>
      <c r="UVO149" s="453"/>
      <c r="UVP149" s="289"/>
      <c r="UVQ149" s="453"/>
      <c r="UVR149" s="453"/>
      <c r="UVS149" s="453"/>
      <c r="UVT149" s="453"/>
      <c r="UVU149" s="453"/>
      <c r="UVV149" s="461"/>
      <c r="UVW149" s="461"/>
      <c r="UVX149" s="461"/>
      <c r="UVY149" s="609"/>
      <c r="UVZ149" s="607"/>
      <c r="UWA149" s="607"/>
      <c r="UWB149" s="607"/>
      <c r="UWC149" s="463"/>
      <c r="UWD149" s="454"/>
      <c r="UWE149" s="607"/>
      <c r="UWF149" s="607"/>
      <c r="UWG149" s="607"/>
      <c r="UWH149" s="607"/>
      <c r="UWI149" s="607"/>
      <c r="UWJ149" s="453"/>
      <c r="UWK149" s="289"/>
      <c r="UWL149" s="453"/>
      <c r="UWM149" s="453"/>
      <c r="UWN149" s="453"/>
      <c r="UWO149" s="453"/>
      <c r="UWP149" s="453"/>
      <c r="UWQ149" s="461"/>
      <c r="UWR149" s="461"/>
      <c r="UWS149" s="461"/>
      <c r="UWT149" s="609"/>
      <c r="UWU149" s="607"/>
      <c r="UWV149" s="607"/>
      <c r="UWW149" s="607"/>
      <c r="UWX149" s="463"/>
      <c r="UWY149" s="454"/>
      <c r="UWZ149" s="607"/>
      <c r="UXA149" s="607"/>
      <c r="UXB149" s="607"/>
      <c r="UXC149" s="607"/>
      <c r="UXD149" s="607"/>
      <c r="UXE149" s="453"/>
      <c r="UXF149" s="289"/>
      <c r="UXG149" s="453"/>
      <c r="UXH149" s="453"/>
      <c r="UXI149" s="453"/>
      <c r="UXJ149" s="453"/>
      <c r="UXK149" s="453"/>
      <c r="UXL149" s="461"/>
      <c r="UXM149" s="461"/>
      <c r="UXN149" s="461"/>
      <c r="UXO149" s="609"/>
      <c r="UXP149" s="607"/>
      <c r="UXQ149" s="607"/>
      <c r="UXR149" s="607"/>
      <c r="UXS149" s="463"/>
      <c r="UXT149" s="454"/>
      <c r="UXU149" s="607"/>
      <c r="UXV149" s="607"/>
      <c r="UXW149" s="607"/>
      <c r="UXX149" s="607"/>
      <c r="UXY149" s="607"/>
      <c r="UXZ149" s="453"/>
      <c r="UYA149" s="289"/>
      <c r="UYB149" s="453"/>
      <c r="UYC149" s="453"/>
      <c r="UYD149" s="453"/>
      <c r="UYE149" s="453"/>
      <c r="UYF149" s="453"/>
      <c r="UYG149" s="461"/>
      <c r="UYH149" s="461"/>
      <c r="UYI149" s="461"/>
      <c r="UYJ149" s="609"/>
      <c r="UYK149" s="607"/>
      <c r="UYL149" s="607"/>
      <c r="UYM149" s="607"/>
      <c r="UYN149" s="463"/>
      <c r="UYO149" s="454"/>
      <c r="UYP149" s="607"/>
      <c r="UYQ149" s="607"/>
      <c r="UYR149" s="607"/>
      <c r="UYS149" s="607"/>
      <c r="UYT149" s="607"/>
      <c r="UYU149" s="453"/>
      <c r="UYV149" s="289"/>
      <c r="UYW149" s="453"/>
      <c r="UYX149" s="453"/>
      <c r="UYY149" s="453"/>
      <c r="UYZ149" s="453"/>
      <c r="UZA149" s="453"/>
      <c r="UZB149" s="461"/>
      <c r="UZC149" s="461"/>
      <c r="UZD149" s="461"/>
      <c r="UZE149" s="609"/>
      <c r="UZF149" s="607"/>
      <c r="UZG149" s="607"/>
      <c r="UZH149" s="607"/>
      <c r="UZI149" s="463"/>
      <c r="UZJ149" s="454"/>
      <c r="UZK149" s="607"/>
      <c r="UZL149" s="607"/>
      <c r="UZM149" s="607"/>
      <c r="UZN149" s="607"/>
      <c r="UZO149" s="607"/>
      <c r="UZP149" s="453"/>
      <c r="UZQ149" s="289"/>
      <c r="UZR149" s="453"/>
      <c r="UZS149" s="453"/>
      <c r="UZT149" s="453"/>
      <c r="UZU149" s="453"/>
      <c r="UZV149" s="453"/>
      <c r="UZW149" s="461"/>
      <c r="UZX149" s="461"/>
      <c r="UZY149" s="461"/>
      <c r="UZZ149" s="609"/>
      <c r="VAA149" s="607"/>
      <c r="VAB149" s="607"/>
      <c r="VAC149" s="607"/>
      <c r="VAD149" s="463"/>
      <c r="VAE149" s="454"/>
      <c r="VAF149" s="607"/>
      <c r="VAG149" s="607"/>
      <c r="VAH149" s="607"/>
      <c r="VAI149" s="607"/>
      <c r="VAJ149" s="607"/>
      <c r="VAK149" s="453"/>
      <c r="VAL149" s="289"/>
      <c r="VAM149" s="453"/>
      <c r="VAN149" s="453"/>
      <c r="VAO149" s="453"/>
      <c r="VAP149" s="453"/>
      <c r="VAQ149" s="453"/>
      <c r="VAR149" s="461"/>
      <c r="VAS149" s="461"/>
      <c r="VAT149" s="461"/>
      <c r="VAU149" s="609"/>
      <c r="VAV149" s="607"/>
      <c r="VAW149" s="607"/>
      <c r="VAX149" s="607"/>
      <c r="VAY149" s="463"/>
      <c r="VAZ149" s="454"/>
      <c r="VBA149" s="607"/>
      <c r="VBB149" s="607"/>
      <c r="VBC149" s="607"/>
      <c r="VBD149" s="607"/>
      <c r="VBE149" s="607"/>
      <c r="VBF149" s="453"/>
      <c r="VBG149" s="289"/>
      <c r="VBH149" s="453"/>
      <c r="VBI149" s="453"/>
      <c r="VBJ149" s="453"/>
      <c r="VBK149" s="453"/>
      <c r="VBL149" s="453"/>
      <c r="VBM149" s="461"/>
      <c r="VBN149" s="461"/>
      <c r="VBO149" s="461"/>
      <c r="VBP149" s="609"/>
      <c r="VBQ149" s="607"/>
      <c r="VBR149" s="607"/>
      <c r="VBS149" s="607"/>
      <c r="VBT149" s="463"/>
      <c r="VBU149" s="454"/>
      <c r="VBV149" s="607"/>
      <c r="VBW149" s="607"/>
      <c r="VBX149" s="607"/>
      <c r="VBY149" s="607"/>
      <c r="VBZ149" s="607"/>
      <c r="VCA149" s="453"/>
      <c r="VCB149" s="289"/>
      <c r="VCC149" s="453"/>
      <c r="VCD149" s="453"/>
      <c r="VCE149" s="453"/>
      <c r="VCF149" s="453"/>
      <c r="VCG149" s="453"/>
      <c r="VCH149" s="461"/>
      <c r="VCI149" s="461"/>
      <c r="VCJ149" s="461"/>
      <c r="VCK149" s="609"/>
      <c r="VCL149" s="607"/>
      <c r="VCM149" s="607"/>
      <c r="VCN149" s="607"/>
      <c r="VCO149" s="463"/>
      <c r="VCP149" s="454"/>
      <c r="VCQ149" s="607"/>
      <c r="VCR149" s="607"/>
      <c r="VCS149" s="607"/>
      <c r="VCT149" s="607"/>
      <c r="VCU149" s="607"/>
      <c r="VCV149" s="453"/>
      <c r="VCW149" s="289"/>
      <c r="VCX149" s="453"/>
      <c r="VCY149" s="453"/>
      <c r="VCZ149" s="453"/>
      <c r="VDA149" s="453"/>
      <c r="VDB149" s="453"/>
      <c r="VDC149" s="461"/>
      <c r="VDD149" s="461"/>
      <c r="VDE149" s="461"/>
      <c r="VDF149" s="609"/>
      <c r="VDG149" s="607"/>
      <c r="VDH149" s="607"/>
      <c r="VDI149" s="607"/>
      <c r="VDJ149" s="463"/>
      <c r="VDK149" s="454"/>
      <c r="VDL149" s="607"/>
      <c r="VDM149" s="607"/>
      <c r="VDN149" s="607"/>
      <c r="VDO149" s="607"/>
      <c r="VDP149" s="607"/>
      <c r="VDQ149" s="453"/>
      <c r="VDR149" s="289"/>
      <c r="VDS149" s="453"/>
      <c r="VDT149" s="453"/>
      <c r="VDU149" s="453"/>
      <c r="VDV149" s="453"/>
      <c r="VDW149" s="453"/>
      <c r="VDX149" s="461"/>
      <c r="VDY149" s="461"/>
      <c r="VDZ149" s="461"/>
      <c r="VEA149" s="609"/>
      <c r="VEB149" s="607"/>
      <c r="VEC149" s="607"/>
      <c r="VED149" s="607"/>
      <c r="VEE149" s="463"/>
      <c r="VEF149" s="454"/>
      <c r="VEG149" s="607"/>
      <c r="VEH149" s="607"/>
      <c r="VEI149" s="607"/>
      <c r="VEJ149" s="607"/>
      <c r="VEK149" s="607"/>
      <c r="VEL149" s="453"/>
      <c r="VEM149" s="289"/>
      <c r="VEN149" s="453"/>
      <c r="VEO149" s="453"/>
      <c r="VEP149" s="453"/>
      <c r="VEQ149" s="453"/>
      <c r="VER149" s="453"/>
      <c r="VES149" s="461"/>
      <c r="VET149" s="461"/>
      <c r="VEU149" s="461"/>
      <c r="VEV149" s="609"/>
      <c r="VEW149" s="607"/>
      <c r="VEX149" s="607"/>
      <c r="VEY149" s="607"/>
      <c r="VEZ149" s="463"/>
      <c r="VFA149" s="454"/>
      <c r="VFB149" s="607"/>
      <c r="VFC149" s="607"/>
      <c r="VFD149" s="607"/>
      <c r="VFE149" s="607"/>
      <c r="VFF149" s="607"/>
      <c r="VFG149" s="453"/>
      <c r="VFH149" s="289"/>
      <c r="VFI149" s="453"/>
      <c r="VFJ149" s="453"/>
      <c r="VFK149" s="453"/>
      <c r="VFL149" s="453"/>
      <c r="VFM149" s="453"/>
      <c r="VFN149" s="461"/>
      <c r="VFO149" s="461"/>
      <c r="VFP149" s="461"/>
      <c r="VFQ149" s="609"/>
      <c r="VFR149" s="607"/>
      <c r="VFS149" s="607"/>
      <c r="VFT149" s="607"/>
      <c r="VFU149" s="463"/>
      <c r="VFV149" s="454"/>
      <c r="VFW149" s="607"/>
      <c r="VFX149" s="607"/>
      <c r="VFY149" s="607"/>
      <c r="VFZ149" s="607"/>
      <c r="VGA149" s="607"/>
      <c r="VGB149" s="453"/>
      <c r="VGC149" s="289"/>
      <c r="VGD149" s="453"/>
      <c r="VGE149" s="453"/>
      <c r="VGF149" s="453"/>
      <c r="VGG149" s="453"/>
      <c r="VGH149" s="453"/>
      <c r="VGI149" s="461"/>
      <c r="VGJ149" s="461"/>
      <c r="VGK149" s="461"/>
      <c r="VGL149" s="609"/>
      <c r="VGM149" s="607"/>
      <c r="VGN149" s="607"/>
      <c r="VGO149" s="607"/>
      <c r="VGP149" s="463"/>
      <c r="VGQ149" s="454"/>
      <c r="VGR149" s="607"/>
      <c r="VGS149" s="607"/>
      <c r="VGT149" s="607"/>
      <c r="VGU149" s="607"/>
      <c r="VGV149" s="607"/>
      <c r="VGW149" s="453"/>
      <c r="VGX149" s="289"/>
      <c r="VGY149" s="453"/>
      <c r="VGZ149" s="453"/>
      <c r="VHA149" s="453"/>
      <c r="VHB149" s="453"/>
      <c r="VHC149" s="453"/>
      <c r="VHD149" s="461"/>
      <c r="VHE149" s="461"/>
      <c r="VHF149" s="461"/>
      <c r="VHG149" s="609"/>
      <c r="VHH149" s="607"/>
      <c r="VHI149" s="607"/>
      <c r="VHJ149" s="607"/>
      <c r="VHK149" s="463"/>
      <c r="VHL149" s="454"/>
      <c r="VHM149" s="607"/>
      <c r="VHN149" s="607"/>
      <c r="VHO149" s="607"/>
      <c r="VHP149" s="607"/>
      <c r="VHQ149" s="607"/>
      <c r="VHR149" s="453"/>
      <c r="VHS149" s="289"/>
      <c r="VHT149" s="453"/>
      <c r="VHU149" s="453"/>
      <c r="VHV149" s="453"/>
      <c r="VHW149" s="453"/>
      <c r="VHX149" s="453"/>
      <c r="VHY149" s="461"/>
      <c r="VHZ149" s="461"/>
      <c r="VIA149" s="461"/>
      <c r="VIB149" s="609"/>
      <c r="VIC149" s="607"/>
      <c r="VID149" s="607"/>
      <c r="VIE149" s="607"/>
      <c r="VIF149" s="463"/>
      <c r="VIG149" s="454"/>
      <c r="VIH149" s="607"/>
      <c r="VII149" s="607"/>
      <c r="VIJ149" s="607"/>
      <c r="VIK149" s="607"/>
      <c r="VIL149" s="607"/>
      <c r="VIM149" s="453"/>
      <c r="VIN149" s="289"/>
      <c r="VIO149" s="453"/>
      <c r="VIP149" s="453"/>
      <c r="VIQ149" s="453"/>
      <c r="VIR149" s="453"/>
      <c r="VIS149" s="453"/>
      <c r="VIT149" s="461"/>
      <c r="VIU149" s="461"/>
      <c r="VIV149" s="461"/>
      <c r="VIW149" s="609"/>
      <c r="VIX149" s="607"/>
      <c r="VIY149" s="607"/>
      <c r="VIZ149" s="607"/>
      <c r="VJA149" s="463"/>
      <c r="VJB149" s="454"/>
      <c r="VJC149" s="607"/>
      <c r="VJD149" s="607"/>
      <c r="VJE149" s="607"/>
      <c r="VJF149" s="607"/>
      <c r="VJG149" s="607"/>
      <c r="VJH149" s="453"/>
      <c r="VJI149" s="289"/>
      <c r="VJJ149" s="453"/>
      <c r="VJK149" s="453"/>
      <c r="VJL149" s="453"/>
      <c r="VJM149" s="453"/>
      <c r="VJN149" s="453"/>
      <c r="VJO149" s="461"/>
      <c r="VJP149" s="461"/>
      <c r="VJQ149" s="461"/>
      <c r="VJR149" s="609"/>
      <c r="VJS149" s="607"/>
      <c r="VJT149" s="607"/>
      <c r="VJU149" s="607"/>
      <c r="VJV149" s="463"/>
      <c r="VJW149" s="454"/>
      <c r="VJX149" s="607"/>
      <c r="VJY149" s="607"/>
      <c r="VJZ149" s="607"/>
      <c r="VKA149" s="607"/>
      <c r="VKB149" s="607"/>
      <c r="VKC149" s="453"/>
      <c r="VKD149" s="289"/>
      <c r="VKE149" s="453"/>
      <c r="VKF149" s="453"/>
      <c r="VKG149" s="453"/>
      <c r="VKH149" s="453"/>
      <c r="VKI149" s="453"/>
      <c r="VKJ149" s="461"/>
      <c r="VKK149" s="461"/>
      <c r="VKL149" s="461"/>
      <c r="VKM149" s="609"/>
      <c r="VKN149" s="607"/>
      <c r="VKO149" s="607"/>
      <c r="VKP149" s="607"/>
      <c r="VKQ149" s="463"/>
      <c r="VKR149" s="454"/>
      <c r="VKS149" s="607"/>
      <c r="VKT149" s="607"/>
      <c r="VKU149" s="607"/>
      <c r="VKV149" s="607"/>
      <c r="VKW149" s="607"/>
      <c r="VKX149" s="453"/>
      <c r="VKY149" s="289"/>
      <c r="VKZ149" s="453"/>
      <c r="VLA149" s="453"/>
      <c r="VLB149" s="453"/>
      <c r="VLC149" s="453"/>
      <c r="VLD149" s="453"/>
      <c r="VLE149" s="461"/>
      <c r="VLF149" s="461"/>
      <c r="VLG149" s="461"/>
      <c r="VLH149" s="609"/>
      <c r="VLI149" s="607"/>
      <c r="VLJ149" s="607"/>
      <c r="VLK149" s="607"/>
      <c r="VLL149" s="463"/>
      <c r="VLM149" s="454"/>
      <c r="VLN149" s="607"/>
      <c r="VLO149" s="607"/>
      <c r="VLP149" s="607"/>
      <c r="VLQ149" s="607"/>
      <c r="VLR149" s="607"/>
      <c r="VLS149" s="453"/>
      <c r="VLT149" s="289"/>
      <c r="VLU149" s="453"/>
      <c r="VLV149" s="453"/>
      <c r="VLW149" s="453"/>
      <c r="VLX149" s="453"/>
      <c r="VLY149" s="453"/>
      <c r="VLZ149" s="461"/>
      <c r="VMA149" s="461"/>
      <c r="VMB149" s="461"/>
      <c r="VMC149" s="609"/>
      <c r="VMD149" s="607"/>
      <c r="VME149" s="607"/>
      <c r="VMF149" s="607"/>
      <c r="VMG149" s="463"/>
      <c r="VMH149" s="454"/>
      <c r="VMI149" s="607"/>
      <c r="VMJ149" s="607"/>
      <c r="VMK149" s="607"/>
      <c r="VML149" s="607"/>
      <c r="VMM149" s="607"/>
      <c r="VMN149" s="453"/>
      <c r="VMO149" s="289"/>
      <c r="VMP149" s="453"/>
      <c r="VMQ149" s="453"/>
      <c r="VMR149" s="453"/>
      <c r="VMS149" s="453"/>
      <c r="VMT149" s="453"/>
      <c r="VMU149" s="461"/>
      <c r="VMV149" s="461"/>
      <c r="VMW149" s="461"/>
      <c r="VMX149" s="609"/>
      <c r="VMY149" s="607"/>
      <c r="VMZ149" s="607"/>
      <c r="VNA149" s="607"/>
      <c r="VNB149" s="463"/>
      <c r="VNC149" s="454"/>
      <c r="VND149" s="607"/>
      <c r="VNE149" s="607"/>
      <c r="VNF149" s="607"/>
      <c r="VNG149" s="607"/>
      <c r="VNH149" s="607"/>
      <c r="VNI149" s="453"/>
      <c r="VNJ149" s="289"/>
      <c r="VNK149" s="453"/>
      <c r="VNL149" s="453"/>
      <c r="VNM149" s="453"/>
      <c r="VNN149" s="453"/>
      <c r="VNO149" s="453"/>
      <c r="VNP149" s="461"/>
      <c r="VNQ149" s="461"/>
      <c r="VNR149" s="461"/>
      <c r="VNS149" s="609"/>
      <c r="VNT149" s="607"/>
      <c r="VNU149" s="607"/>
      <c r="VNV149" s="607"/>
      <c r="VNW149" s="463"/>
      <c r="VNX149" s="454"/>
      <c r="VNY149" s="607"/>
      <c r="VNZ149" s="607"/>
      <c r="VOA149" s="607"/>
      <c r="VOB149" s="607"/>
      <c r="VOC149" s="607"/>
      <c r="VOD149" s="453"/>
      <c r="VOE149" s="289"/>
      <c r="VOF149" s="453"/>
      <c r="VOG149" s="453"/>
      <c r="VOH149" s="453"/>
      <c r="VOI149" s="453"/>
      <c r="VOJ149" s="453"/>
      <c r="VOK149" s="461"/>
      <c r="VOL149" s="461"/>
      <c r="VOM149" s="461"/>
      <c r="VON149" s="609"/>
      <c r="VOO149" s="607"/>
      <c r="VOP149" s="607"/>
      <c r="VOQ149" s="607"/>
      <c r="VOR149" s="463"/>
      <c r="VOS149" s="454"/>
      <c r="VOT149" s="607"/>
      <c r="VOU149" s="607"/>
      <c r="VOV149" s="607"/>
      <c r="VOW149" s="607"/>
      <c r="VOX149" s="607"/>
      <c r="VOY149" s="453"/>
      <c r="VOZ149" s="289"/>
      <c r="VPA149" s="453"/>
      <c r="VPB149" s="453"/>
      <c r="VPC149" s="453"/>
      <c r="VPD149" s="453"/>
      <c r="VPE149" s="453"/>
      <c r="VPF149" s="461"/>
      <c r="VPG149" s="461"/>
      <c r="VPH149" s="461"/>
      <c r="VPI149" s="609"/>
      <c r="VPJ149" s="607"/>
      <c r="VPK149" s="607"/>
      <c r="VPL149" s="607"/>
      <c r="VPM149" s="463"/>
      <c r="VPN149" s="454"/>
      <c r="VPO149" s="607"/>
      <c r="VPP149" s="607"/>
      <c r="VPQ149" s="607"/>
      <c r="VPR149" s="607"/>
      <c r="VPS149" s="607"/>
      <c r="VPT149" s="453"/>
      <c r="VPU149" s="289"/>
      <c r="VPV149" s="453"/>
      <c r="VPW149" s="453"/>
      <c r="VPX149" s="453"/>
      <c r="VPY149" s="453"/>
      <c r="VPZ149" s="453"/>
      <c r="VQA149" s="461"/>
      <c r="VQB149" s="461"/>
      <c r="VQC149" s="461"/>
      <c r="VQD149" s="609"/>
      <c r="VQE149" s="607"/>
      <c r="VQF149" s="607"/>
      <c r="VQG149" s="607"/>
      <c r="VQH149" s="463"/>
      <c r="VQI149" s="454"/>
      <c r="VQJ149" s="607"/>
      <c r="VQK149" s="607"/>
      <c r="VQL149" s="607"/>
      <c r="VQM149" s="607"/>
      <c r="VQN149" s="607"/>
      <c r="VQO149" s="453"/>
      <c r="VQP149" s="289"/>
      <c r="VQQ149" s="453"/>
      <c r="VQR149" s="453"/>
      <c r="VQS149" s="453"/>
      <c r="VQT149" s="453"/>
      <c r="VQU149" s="453"/>
      <c r="VQV149" s="461"/>
      <c r="VQW149" s="461"/>
      <c r="VQX149" s="461"/>
      <c r="VQY149" s="609"/>
      <c r="VQZ149" s="607"/>
      <c r="VRA149" s="607"/>
      <c r="VRB149" s="607"/>
      <c r="VRC149" s="463"/>
      <c r="VRD149" s="454"/>
      <c r="VRE149" s="607"/>
      <c r="VRF149" s="607"/>
      <c r="VRG149" s="607"/>
      <c r="VRH149" s="607"/>
      <c r="VRI149" s="607"/>
      <c r="VRJ149" s="453"/>
      <c r="VRK149" s="289"/>
      <c r="VRL149" s="453"/>
      <c r="VRM149" s="453"/>
      <c r="VRN149" s="453"/>
      <c r="VRO149" s="453"/>
      <c r="VRP149" s="453"/>
      <c r="VRQ149" s="461"/>
      <c r="VRR149" s="461"/>
      <c r="VRS149" s="461"/>
      <c r="VRT149" s="609"/>
      <c r="VRU149" s="607"/>
      <c r="VRV149" s="607"/>
      <c r="VRW149" s="607"/>
      <c r="VRX149" s="463"/>
      <c r="VRY149" s="454"/>
      <c r="VRZ149" s="607"/>
      <c r="VSA149" s="607"/>
      <c r="VSB149" s="607"/>
      <c r="VSC149" s="607"/>
      <c r="VSD149" s="607"/>
      <c r="VSE149" s="453"/>
      <c r="VSF149" s="289"/>
      <c r="VSG149" s="453"/>
      <c r="VSH149" s="453"/>
      <c r="VSI149" s="453"/>
      <c r="VSJ149" s="453"/>
      <c r="VSK149" s="453"/>
      <c r="VSL149" s="461"/>
      <c r="VSM149" s="461"/>
      <c r="VSN149" s="461"/>
      <c r="VSO149" s="609"/>
      <c r="VSP149" s="607"/>
      <c r="VSQ149" s="607"/>
      <c r="VSR149" s="607"/>
      <c r="VSS149" s="463"/>
      <c r="VST149" s="454"/>
      <c r="VSU149" s="607"/>
      <c r="VSV149" s="607"/>
      <c r="VSW149" s="607"/>
      <c r="VSX149" s="607"/>
      <c r="VSY149" s="607"/>
      <c r="VSZ149" s="453"/>
      <c r="VTA149" s="289"/>
      <c r="VTB149" s="453"/>
      <c r="VTC149" s="453"/>
      <c r="VTD149" s="453"/>
      <c r="VTE149" s="453"/>
      <c r="VTF149" s="453"/>
      <c r="VTG149" s="461"/>
      <c r="VTH149" s="461"/>
      <c r="VTI149" s="461"/>
      <c r="VTJ149" s="609"/>
      <c r="VTK149" s="607"/>
      <c r="VTL149" s="607"/>
      <c r="VTM149" s="607"/>
      <c r="VTN149" s="463"/>
      <c r="VTO149" s="454"/>
      <c r="VTP149" s="607"/>
      <c r="VTQ149" s="607"/>
      <c r="VTR149" s="607"/>
      <c r="VTS149" s="607"/>
      <c r="VTT149" s="607"/>
      <c r="VTU149" s="453"/>
      <c r="VTV149" s="289"/>
      <c r="VTW149" s="453"/>
      <c r="VTX149" s="453"/>
      <c r="VTY149" s="453"/>
      <c r="VTZ149" s="453"/>
      <c r="VUA149" s="453"/>
      <c r="VUB149" s="461"/>
      <c r="VUC149" s="461"/>
      <c r="VUD149" s="461"/>
      <c r="VUE149" s="609"/>
      <c r="VUF149" s="607"/>
      <c r="VUG149" s="607"/>
      <c r="VUH149" s="607"/>
      <c r="VUI149" s="463"/>
      <c r="VUJ149" s="454"/>
      <c r="VUK149" s="607"/>
      <c r="VUL149" s="607"/>
      <c r="VUM149" s="607"/>
      <c r="VUN149" s="607"/>
      <c r="VUO149" s="607"/>
      <c r="VUP149" s="453"/>
      <c r="VUQ149" s="289"/>
      <c r="VUR149" s="453"/>
      <c r="VUS149" s="453"/>
      <c r="VUT149" s="453"/>
      <c r="VUU149" s="453"/>
      <c r="VUV149" s="453"/>
      <c r="VUW149" s="461"/>
      <c r="VUX149" s="461"/>
      <c r="VUY149" s="461"/>
      <c r="VUZ149" s="609"/>
      <c r="VVA149" s="607"/>
      <c r="VVB149" s="607"/>
      <c r="VVC149" s="607"/>
      <c r="VVD149" s="463"/>
      <c r="VVE149" s="454"/>
      <c r="VVF149" s="607"/>
      <c r="VVG149" s="607"/>
      <c r="VVH149" s="607"/>
      <c r="VVI149" s="607"/>
      <c r="VVJ149" s="607"/>
      <c r="VVK149" s="453"/>
      <c r="VVL149" s="289"/>
      <c r="VVM149" s="453"/>
      <c r="VVN149" s="453"/>
      <c r="VVO149" s="453"/>
      <c r="VVP149" s="453"/>
      <c r="VVQ149" s="453"/>
      <c r="VVR149" s="461"/>
      <c r="VVS149" s="461"/>
      <c r="VVT149" s="461"/>
      <c r="VVU149" s="609"/>
      <c r="VVV149" s="607"/>
      <c r="VVW149" s="607"/>
      <c r="VVX149" s="607"/>
      <c r="VVY149" s="463"/>
      <c r="VVZ149" s="454"/>
      <c r="VWA149" s="607"/>
      <c r="VWB149" s="607"/>
      <c r="VWC149" s="607"/>
      <c r="VWD149" s="607"/>
      <c r="VWE149" s="607"/>
      <c r="VWF149" s="453"/>
      <c r="VWG149" s="289"/>
      <c r="VWH149" s="453"/>
      <c r="VWI149" s="453"/>
      <c r="VWJ149" s="453"/>
      <c r="VWK149" s="453"/>
      <c r="VWL149" s="453"/>
      <c r="VWM149" s="461"/>
      <c r="VWN149" s="461"/>
      <c r="VWO149" s="461"/>
      <c r="VWP149" s="609"/>
      <c r="VWQ149" s="607"/>
      <c r="VWR149" s="607"/>
      <c r="VWS149" s="607"/>
      <c r="VWT149" s="463"/>
      <c r="VWU149" s="454"/>
      <c r="VWV149" s="607"/>
      <c r="VWW149" s="607"/>
      <c r="VWX149" s="607"/>
      <c r="VWY149" s="607"/>
      <c r="VWZ149" s="607"/>
      <c r="VXA149" s="453"/>
      <c r="VXB149" s="289"/>
      <c r="VXC149" s="453"/>
      <c r="VXD149" s="453"/>
      <c r="VXE149" s="453"/>
      <c r="VXF149" s="453"/>
      <c r="VXG149" s="453"/>
      <c r="VXH149" s="461"/>
      <c r="VXI149" s="461"/>
      <c r="VXJ149" s="461"/>
      <c r="VXK149" s="609"/>
      <c r="VXL149" s="607"/>
      <c r="VXM149" s="607"/>
      <c r="VXN149" s="607"/>
      <c r="VXO149" s="463"/>
      <c r="VXP149" s="454"/>
      <c r="VXQ149" s="607"/>
      <c r="VXR149" s="607"/>
      <c r="VXS149" s="607"/>
      <c r="VXT149" s="607"/>
      <c r="VXU149" s="607"/>
      <c r="VXV149" s="453"/>
      <c r="VXW149" s="289"/>
      <c r="VXX149" s="453"/>
      <c r="VXY149" s="453"/>
      <c r="VXZ149" s="453"/>
      <c r="VYA149" s="453"/>
      <c r="VYB149" s="453"/>
      <c r="VYC149" s="461"/>
      <c r="VYD149" s="461"/>
      <c r="VYE149" s="461"/>
      <c r="VYF149" s="609"/>
      <c r="VYG149" s="607"/>
      <c r="VYH149" s="607"/>
      <c r="VYI149" s="607"/>
      <c r="VYJ149" s="463"/>
      <c r="VYK149" s="454"/>
      <c r="VYL149" s="607"/>
      <c r="VYM149" s="607"/>
      <c r="VYN149" s="607"/>
      <c r="VYO149" s="607"/>
      <c r="VYP149" s="607"/>
      <c r="VYQ149" s="453"/>
      <c r="VYR149" s="289"/>
      <c r="VYS149" s="453"/>
      <c r="VYT149" s="453"/>
      <c r="VYU149" s="453"/>
      <c r="VYV149" s="453"/>
      <c r="VYW149" s="453"/>
      <c r="VYX149" s="461"/>
      <c r="VYY149" s="461"/>
      <c r="VYZ149" s="461"/>
      <c r="VZA149" s="609"/>
      <c r="VZB149" s="607"/>
      <c r="VZC149" s="607"/>
      <c r="VZD149" s="607"/>
      <c r="VZE149" s="463"/>
      <c r="VZF149" s="454"/>
      <c r="VZG149" s="607"/>
      <c r="VZH149" s="607"/>
      <c r="VZI149" s="607"/>
      <c r="VZJ149" s="607"/>
      <c r="VZK149" s="607"/>
      <c r="VZL149" s="453"/>
      <c r="VZM149" s="289"/>
      <c r="VZN149" s="453"/>
      <c r="VZO149" s="453"/>
      <c r="VZP149" s="453"/>
      <c r="VZQ149" s="453"/>
      <c r="VZR149" s="453"/>
      <c r="VZS149" s="461"/>
      <c r="VZT149" s="461"/>
      <c r="VZU149" s="461"/>
      <c r="VZV149" s="609"/>
      <c r="VZW149" s="607"/>
      <c r="VZX149" s="607"/>
      <c r="VZY149" s="607"/>
      <c r="VZZ149" s="463"/>
      <c r="WAA149" s="454"/>
      <c r="WAB149" s="607"/>
      <c r="WAC149" s="607"/>
      <c r="WAD149" s="607"/>
      <c r="WAE149" s="607"/>
      <c r="WAF149" s="607"/>
      <c r="WAG149" s="453"/>
      <c r="WAH149" s="289"/>
      <c r="WAI149" s="453"/>
      <c r="WAJ149" s="453"/>
      <c r="WAK149" s="453"/>
      <c r="WAL149" s="453"/>
      <c r="WAM149" s="453"/>
      <c r="WAN149" s="461"/>
      <c r="WAO149" s="461"/>
      <c r="WAP149" s="461"/>
      <c r="WAQ149" s="609"/>
      <c r="WAR149" s="607"/>
      <c r="WAS149" s="607"/>
      <c r="WAT149" s="607"/>
      <c r="WAU149" s="463"/>
      <c r="WAV149" s="454"/>
      <c r="WAW149" s="607"/>
      <c r="WAX149" s="607"/>
      <c r="WAY149" s="607"/>
      <c r="WAZ149" s="607"/>
      <c r="WBA149" s="607"/>
      <c r="WBB149" s="453"/>
      <c r="WBC149" s="289"/>
      <c r="WBD149" s="453"/>
      <c r="WBE149" s="453"/>
      <c r="WBF149" s="453"/>
      <c r="WBG149" s="453"/>
      <c r="WBH149" s="453"/>
      <c r="WBI149" s="461"/>
      <c r="WBJ149" s="461"/>
      <c r="WBK149" s="461"/>
      <c r="WBL149" s="609"/>
      <c r="WBM149" s="607"/>
      <c r="WBN149" s="607"/>
      <c r="WBO149" s="607"/>
      <c r="WBP149" s="463"/>
      <c r="WBQ149" s="454"/>
      <c r="WBR149" s="607"/>
      <c r="WBS149" s="607"/>
      <c r="WBT149" s="607"/>
      <c r="WBU149" s="607"/>
      <c r="WBV149" s="607"/>
      <c r="WBW149" s="453"/>
      <c r="WBX149" s="289"/>
      <c r="WBY149" s="453"/>
      <c r="WBZ149" s="453"/>
      <c r="WCA149" s="453"/>
      <c r="WCB149" s="453"/>
      <c r="WCC149" s="453"/>
      <c r="WCD149" s="461"/>
      <c r="WCE149" s="461"/>
      <c r="WCF149" s="461"/>
      <c r="WCG149" s="609"/>
      <c r="WCH149" s="607"/>
      <c r="WCI149" s="607"/>
      <c r="WCJ149" s="607"/>
      <c r="WCK149" s="463"/>
      <c r="WCL149" s="454"/>
      <c r="WCM149" s="607"/>
      <c r="WCN149" s="607"/>
      <c r="WCO149" s="607"/>
      <c r="WCP149" s="607"/>
      <c r="WCQ149" s="607"/>
      <c r="WCR149" s="453"/>
      <c r="WCS149" s="289"/>
      <c r="WCT149" s="453"/>
      <c r="WCU149" s="453"/>
      <c r="WCV149" s="453"/>
      <c r="WCW149" s="453"/>
      <c r="WCX149" s="453"/>
      <c r="WCY149" s="461"/>
      <c r="WCZ149" s="461"/>
      <c r="WDA149" s="461"/>
      <c r="WDB149" s="609"/>
      <c r="WDC149" s="607"/>
      <c r="WDD149" s="607"/>
      <c r="WDE149" s="607"/>
      <c r="WDF149" s="463"/>
      <c r="WDG149" s="454"/>
      <c r="WDH149" s="607"/>
      <c r="WDI149" s="607"/>
      <c r="WDJ149" s="607"/>
      <c r="WDK149" s="607"/>
      <c r="WDL149" s="607"/>
      <c r="WDM149" s="453"/>
      <c r="WDN149" s="289"/>
      <c r="WDO149" s="453"/>
      <c r="WDP149" s="453"/>
      <c r="WDQ149" s="453"/>
      <c r="WDR149" s="453"/>
      <c r="WDS149" s="453"/>
      <c r="WDT149" s="461"/>
      <c r="WDU149" s="461"/>
      <c r="WDV149" s="461"/>
      <c r="WDW149" s="609"/>
      <c r="WDX149" s="607"/>
      <c r="WDY149" s="607"/>
      <c r="WDZ149" s="607"/>
      <c r="WEA149" s="463"/>
      <c r="WEB149" s="454"/>
      <c r="WEC149" s="607"/>
      <c r="WED149" s="607"/>
      <c r="WEE149" s="607"/>
      <c r="WEF149" s="607"/>
      <c r="WEG149" s="607"/>
      <c r="WEH149" s="453"/>
      <c r="WEI149" s="289"/>
      <c r="WEJ149" s="453"/>
      <c r="WEK149" s="453"/>
      <c r="WEL149" s="453"/>
      <c r="WEM149" s="453"/>
      <c r="WEN149" s="453"/>
      <c r="WEO149" s="461"/>
      <c r="WEP149" s="461"/>
      <c r="WEQ149" s="461"/>
      <c r="WER149" s="609"/>
      <c r="WES149" s="607"/>
      <c r="WET149" s="607"/>
      <c r="WEU149" s="607"/>
      <c r="WEV149" s="463"/>
      <c r="WEW149" s="454"/>
      <c r="WEX149" s="607"/>
      <c r="WEY149" s="607"/>
      <c r="WEZ149" s="607"/>
      <c r="WFA149" s="607"/>
      <c r="WFB149" s="607"/>
      <c r="WFC149" s="453"/>
      <c r="WFD149" s="289"/>
      <c r="WFE149" s="453"/>
      <c r="WFF149" s="453"/>
      <c r="WFG149" s="453"/>
      <c r="WFH149" s="453"/>
      <c r="WFI149" s="453"/>
      <c r="WFJ149" s="461"/>
      <c r="WFK149" s="461"/>
      <c r="WFL149" s="461"/>
      <c r="WFM149" s="609"/>
      <c r="WFN149" s="607"/>
      <c r="WFO149" s="607"/>
      <c r="WFP149" s="607"/>
      <c r="WFQ149" s="463"/>
      <c r="WFR149" s="454"/>
      <c r="WFS149" s="607"/>
      <c r="WFT149" s="607"/>
      <c r="WFU149" s="607"/>
      <c r="WFV149" s="607"/>
      <c r="WFW149" s="607"/>
      <c r="WFX149" s="453"/>
      <c r="WFY149" s="289"/>
      <c r="WFZ149" s="453"/>
      <c r="WGA149" s="453"/>
      <c r="WGB149" s="453"/>
      <c r="WGC149" s="453"/>
      <c r="WGD149" s="453"/>
      <c r="WGE149" s="461"/>
      <c r="WGF149" s="461"/>
      <c r="WGG149" s="461"/>
      <c r="WGH149" s="609"/>
      <c r="WGI149" s="607"/>
      <c r="WGJ149" s="607"/>
      <c r="WGK149" s="607"/>
      <c r="WGL149" s="463"/>
      <c r="WGM149" s="454"/>
      <c r="WGN149" s="607"/>
      <c r="WGO149" s="607"/>
      <c r="WGP149" s="607"/>
      <c r="WGQ149" s="607"/>
      <c r="WGR149" s="607"/>
      <c r="WGS149" s="453"/>
      <c r="WGT149" s="289"/>
      <c r="WGU149" s="453"/>
      <c r="WGV149" s="453"/>
      <c r="WGW149" s="453"/>
      <c r="WGX149" s="453"/>
      <c r="WGY149" s="453"/>
      <c r="WGZ149" s="461"/>
      <c r="WHA149" s="461"/>
      <c r="WHB149" s="461"/>
      <c r="WHC149" s="609"/>
      <c r="WHD149" s="607"/>
      <c r="WHE149" s="607"/>
      <c r="WHF149" s="607"/>
      <c r="WHG149" s="463"/>
      <c r="WHH149" s="454"/>
      <c r="WHI149" s="607"/>
      <c r="WHJ149" s="607"/>
      <c r="WHK149" s="607"/>
      <c r="WHL149" s="607"/>
      <c r="WHM149" s="607"/>
      <c r="WHN149" s="453"/>
      <c r="WHO149" s="289"/>
      <c r="WHP149" s="453"/>
      <c r="WHQ149" s="453"/>
      <c r="WHR149" s="453"/>
      <c r="WHS149" s="453"/>
      <c r="WHT149" s="453"/>
      <c r="WHU149" s="461"/>
      <c r="WHV149" s="461"/>
      <c r="WHW149" s="461"/>
      <c r="WHX149" s="609"/>
      <c r="WHY149" s="607"/>
      <c r="WHZ149" s="607"/>
      <c r="WIA149" s="607"/>
      <c r="WIB149" s="463"/>
      <c r="WIC149" s="454"/>
      <c r="WID149" s="607"/>
      <c r="WIE149" s="607"/>
      <c r="WIF149" s="607"/>
      <c r="WIG149" s="607"/>
      <c r="WIH149" s="607"/>
      <c r="WII149" s="453"/>
      <c r="WIJ149" s="289"/>
      <c r="WIK149" s="453"/>
      <c r="WIL149" s="453"/>
      <c r="WIM149" s="453"/>
      <c r="WIN149" s="453"/>
      <c r="WIO149" s="453"/>
      <c r="WIP149" s="461"/>
      <c r="WIQ149" s="461"/>
      <c r="WIR149" s="461"/>
      <c r="WIS149" s="609"/>
      <c r="WIT149" s="607"/>
      <c r="WIU149" s="607"/>
      <c r="WIV149" s="607"/>
      <c r="WIW149" s="463"/>
      <c r="WIX149" s="454"/>
      <c r="WIY149" s="607"/>
      <c r="WIZ149" s="607"/>
      <c r="WJA149" s="607"/>
      <c r="WJB149" s="607"/>
      <c r="WJC149" s="607"/>
      <c r="WJD149" s="453"/>
      <c r="WJE149" s="289"/>
      <c r="WJF149" s="453"/>
      <c r="WJG149" s="453"/>
      <c r="WJH149" s="453"/>
      <c r="WJI149" s="453"/>
      <c r="WJJ149" s="453"/>
      <c r="WJK149" s="461"/>
      <c r="WJL149" s="461"/>
      <c r="WJM149" s="461"/>
      <c r="WJN149" s="609"/>
      <c r="WJO149" s="607"/>
      <c r="WJP149" s="607"/>
      <c r="WJQ149" s="607"/>
      <c r="WJR149" s="463"/>
      <c r="WJS149" s="454"/>
      <c r="WJT149" s="607"/>
      <c r="WJU149" s="607"/>
      <c r="WJV149" s="607"/>
      <c r="WJW149" s="607"/>
      <c r="WJX149" s="607"/>
      <c r="WJY149" s="453"/>
      <c r="WJZ149" s="289"/>
      <c r="WKA149" s="453"/>
      <c r="WKB149" s="453"/>
      <c r="WKC149" s="453"/>
      <c r="WKD149" s="453"/>
      <c r="WKE149" s="453"/>
      <c r="WKF149" s="461"/>
      <c r="WKG149" s="461"/>
      <c r="WKH149" s="461"/>
      <c r="WKI149" s="609"/>
      <c r="WKJ149" s="607"/>
      <c r="WKK149" s="607"/>
      <c r="WKL149" s="607"/>
      <c r="WKM149" s="463"/>
      <c r="WKN149" s="454"/>
      <c r="WKO149" s="607"/>
      <c r="WKP149" s="607"/>
      <c r="WKQ149" s="607"/>
      <c r="WKR149" s="607"/>
      <c r="WKS149" s="607"/>
      <c r="WKT149" s="453"/>
      <c r="WKU149" s="289"/>
      <c r="WKV149" s="453"/>
      <c r="WKW149" s="453"/>
      <c r="WKX149" s="453"/>
      <c r="WKY149" s="453"/>
      <c r="WKZ149" s="453"/>
      <c r="WLA149" s="461"/>
      <c r="WLB149" s="461"/>
      <c r="WLC149" s="461"/>
      <c r="WLD149" s="609"/>
      <c r="WLE149" s="607"/>
      <c r="WLF149" s="607"/>
      <c r="WLG149" s="607"/>
      <c r="WLH149" s="463"/>
      <c r="WLI149" s="454"/>
      <c r="WLJ149" s="607"/>
      <c r="WLK149" s="607"/>
      <c r="WLL149" s="607"/>
      <c r="WLM149" s="607"/>
      <c r="WLN149" s="607"/>
      <c r="WLO149" s="453"/>
      <c r="WLP149" s="289"/>
      <c r="WLQ149" s="453"/>
      <c r="WLR149" s="453"/>
      <c r="WLS149" s="453"/>
      <c r="WLT149" s="453"/>
      <c r="WLU149" s="453"/>
      <c r="WLV149" s="461"/>
      <c r="WLW149" s="461"/>
      <c r="WLX149" s="461"/>
      <c r="WLY149" s="609"/>
      <c r="WLZ149" s="607"/>
      <c r="WMA149" s="607"/>
      <c r="WMB149" s="607"/>
      <c r="WMC149" s="463"/>
      <c r="WMD149" s="454"/>
      <c r="WME149" s="607"/>
      <c r="WMF149" s="607"/>
      <c r="WMG149" s="607"/>
      <c r="WMH149" s="607"/>
      <c r="WMI149" s="607"/>
      <c r="WMJ149" s="453"/>
      <c r="WMK149" s="289"/>
      <c r="WML149" s="453"/>
      <c r="WMM149" s="453"/>
      <c r="WMN149" s="453"/>
      <c r="WMO149" s="453"/>
      <c r="WMP149" s="453"/>
      <c r="WMQ149" s="461"/>
      <c r="WMR149" s="461"/>
      <c r="WMS149" s="461"/>
      <c r="WMT149" s="609"/>
      <c r="WMU149" s="607"/>
      <c r="WMV149" s="607"/>
      <c r="WMW149" s="607"/>
      <c r="WMX149" s="463"/>
      <c r="WMY149" s="454"/>
      <c r="WMZ149" s="607"/>
      <c r="WNA149" s="607"/>
      <c r="WNB149" s="607"/>
      <c r="WNC149" s="607"/>
      <c r="WND149" s="607"/>
      <c r="WNE149" s="453"/>
      <c r="WNF149" s="289"/>
      <c r="WNG149" s="453"/>
      <c r="WNH149" s="453"/>
      <c r="WNI149" s="453"/>
      <c r="WNJ149" s="453"/>
      <c r="WNK149" s="453"/>
      <c r="WNL149" s="461"/>
      <c r="WNM149" s="461"/>
      <c r="WNN149" s="461"/>
      <c r="WNO149" s="609"/>
      <c r="WNP149" s="607"/>
      <c r="WNQ149" s="607"/>
      <c r="WNR149" s="607"/>
      <c r="WNS149" s="463"/>
      <c r="WNT149" s="454"/>
      <c r="WNU149" s="607"/>
      <c r="WNV149" s="607"/>
      <c r="WNW149" s="607"/>
      <c r="WNX149" s="607"/>
      <c r="WNY149" s="607"/>
      <c r="WNZ149" s="453"/>
      <c r="WOA149" s="289"/>
      <c r="WOB149" s="453"/>
      <c r="WOC149" s="453"/>
      <c r="WOD149" s="453"/>
      <c r="WOE149" s="453"/>
      <c r="WOF149" s="453"/>
      <c r="WOG149" s="461"/>
      <c r="WOH149" s="461"/>
      <c r="WOI149" s="461"/>
      <c r="WOJ149" s="609"/>
      <c r="WOK149" s="607"/>
      <c r="WOL149" s="607"/>
      <c r="WOM149" s="607"/>
      <c r="WON149" s="463"/>
      <c r="WOO149" s="454"/>
      <c r="WOP149" s="607"/>
      <c r="WOQ149" s="607"/>
      <c r="WOR149" s="607"/>
      <c r="WOS149" s="607"/>
      <c r="WOT149" s="607"/>
      <c r="WOU149" s="453"/>
      <c r="WOV149" s="289"/>
      <c r="WOW149" s="453"/>
      <c r="WOX149" s="453"/>
      <c r="WOY149" s="453"/>
      <c r="WOZ149" s="453"/>
      <c r="WPA149" s="453"/>
      <c r="WPB149" s="461"/>
      <c r="WPC149" s="461"/>
      <c r="WPD149" s="461"/>
      <c r="WPE149" s="609"/>
      <c r="WPF149" s="607"/>
      <c r="WPG149" s="607"/>
      <c r="WPH149" s="607"/>
      <c r="WPI149" s="463"/>
      <c r="WPJ149" s="454"/>
      <c r="WPK149" s="607"/>
      <c r="WPL149" s="607"/>
      <c r="WPM149" s="607"/>
      <c r="WPN149" s="607"/>
      <c r="WPO149" s="607"/>
      <c r="WPP149" s="453"/>
      <c r="WPQ149" s="289"/>
      <c r="WPR149" s="453"/>
      <c r="WPS149" s="453"/>
      <c r="WPT149" s="453"/>
      <c r="WPU149" s="453"/>
      <c r="WPV149" s="453"/>
      <c r="WPW149" s="461"/>
      <c r="WPX149" s="461"/>
      <c r="WPY149" s="461"/>
      <c r="WPZ149" s="609"/>
      <c r="WQA149" s="607"/>
      <c r="WQB149" s="607"/>
      <c r="WQC149" s="607"/>
      <c r="WQD149" s="463"/>
      <c r="WQE149" s="454"/>
      <c r="WQF149" s="607"/>
      <c r="WQG149" s="607"/>
      <c r="WQH149" s="607"/>
      <c r="WQI149" s="607"/>
      <c r="WQJ149" s="607"/>
      <c r="WQK149" s="453"/>
      <c r="WQL149" s="289"/>
      <c r="WQM149" s="453"/>
      <c r="WQN149" s="453"/>
      <c r="WQO149" s="453"/>
      <c r="WQP149" s="453"/>
      <c r="WQQ149" s="453"/>
      <c r="WQR149" s="461"/>
      <c r="WQS149" s="461"/>
      <c r="WQT149" s="461"/>
      <c r="WQU149" s="609"/>
      <c r="WQV149" s="607"/>
      <c r="WQW149" s="607"/>
      <c r="WQX149" s="607"/>
      <c r="WQY149" s="463"/>
      <c r="WQZ149" s="454"/>
      <c r="WRA149" s="607"/>
      <c r="WRB149" s="607"/>
      <c r="WRC149" s="607"/>
      <c r="WRD149" s="607"/>
      <c r="WRE149" s="607"/>
      <c r="WRF149" s="453"/>
      <c r="WRG149" s="289"/>
      <c r="WRH149" s="453"/>
      <c r="WRI149" s="453"/>
      <c r="WRJ149" s="453"/>
      <c r="WRK149" s="453"/>
      <c r="WRL149" s="453"/>
      <c r="WRM149" s="461"/>
      <c r="WRN149" s="461"/>
      <c r="WRO149" s="461"/>
      <c r="WRP149" s="609"/>
      <c r="WRQ149" s="607"/>
      <c r="WRR149" s="607"/>
      <c r="WRS149" s="607"/>
      <c r="WRT149" s="463"/>
      <c r="WRU149" s="454"/>
      <c r="WRV149" s="607"/>
      <c r="WRW149" s="607"/>
      <c r="WRX149" s="607"/>
      <c r="WRY149" s="607"/>
      <c r="WRZ149" s="607"/>
      <c r="WSA149" s="453"/>
      <c r="WSB149" s="289"/>
      <c r="WSC149" s="453"/>
      <c r="WSD149" s="453"/>
      <c r="WSE149" s="453"/>
      <c r="WSF149" s="453"/>
      <c r="WSG149" s="453"/>
      <c r="WSH149" s="461"/>
      <c r="WSI149" s="461"/>
      <c r="WSJ149" s="461"/>
      <c r="WSK149" s="609"/>
      <c r="WSL149" s="607"/>
      <c r="WSM149" s="607"/>
      <c r="WSN149" s="607"/>
      <c r="WSO149" s="463"/>
      <c r="WSP149" s="454"/>
      <c r="WSQ149" s="607"/>
      <c r="WSR149" s="607"/>
      <c r="WSS149" s="607"/>
      <c r="WST149" s="607"/>
      <c r="WSU149" s="607"/>
      <c r="WSV149" s="453"/>
      <c r="WSW149" s="289"/>
      <c r="WSX149" s="453"/>
      <c r="WSY149" s="453"/>
      <c r="WSZ149" s="453"/>
      <c r="WTA149" s="453"/>
      <c r="WTB149" s="453"/>
      <c r="WTC149" s="461"/>
      <c r="WTD149" s="461"/>
      <c r="WTE149" s="461"/>
      <c r="WTF149" s="609"/>
      <c r="WTG149" s="607"/>
      <c r="WTH149" s="607"/>
      <c r="WTI149" s="607"/>
      <c r="WTJ149" s="463"/>
      <c r="WTK149" s="454"/>
      <c r="WTL149" s="607"/>
      <c r="WTM149" s="607"/>
      <c r="WTN149" s="607"/>
      <c r="WTO149" s="607"/>
      <c r="WTP149" s="607"/>
      <c r="WTQ149" s="453"/>
      <c r="WTR149" s="289"/>
      <c r="WTS149" s="453"/>
      <c r="WTT149" s="453"/>
      <c r="WTU149" s="453"/>
      <c r="WTV149" s="453"/>
      <c r="WTW149" s="453"/>
      <c r="WTX149" s="461"/>
      <c r="WTY149" s="461"/>
      <c r="WTZ149" s="461"/>
      <c r="WUA149" s="609"/>
      <c r="WUB149" s="607"/>
      <c r="WUC149" s="607"/>
      <c r="WUD149" s="607"/>
      <c r="WUE149" s="463"/>
      <c r="WUF149" s="454"/>
      <c r="WUG149" s="607"/>
      <c r="WUH149" s="607"/>
      <c r="WUI149" s="607"/>
      <c r="WUJ149" s="607"/>
      <c r="WUK149" s="607"/>
      <c r="WUL149" s="453"/>
      <c r="WUM149" s="289"/>
      <c r="WUN149" s="453"/>
      <c r="WUO149" s="453"/>
      <c r="WUP149" s="453"/>
      <c r="WUQ149" s="453"/>
      <c r="WUR149" s="453"/>
      <c r="WUS149" s="461"/>
      <c r="WUT149" s="461"/>
      <c r="WUU149" s="461"/>
      <c r="WUV149" s="609"/>
      <c r="WUW149" s="607"/>
      <c r="WUX149" s="607"/>
      <c r="WUY149" s="607"/>
      <c r="WUZ149" s="463"/>
      <c r="WVA149" s="454"/>
      <c r="WVB149" s="607"/>
      <c r="WVC149" s="607"/>
      <c r="WVD149" s="607"/>
      <c r="WVE149" s="607"/>
      <c r="WVF149" s="607"/>
      <c r="WVG149" s="453"/>
      <c r="WVH149" s="289"/>
      <c r="WVI149" s="453"/>
      <c r="WVJ149" s="453"/>
      <c r="WVK149" s="453"/>
      <c r="WVL149" s="453"/>
      <c r="WVM149" s="453"/>
      <c r="WVN149" s="461"/>
      <c r="WVO149" s="461"/>
      <c r="WVP149" s="461"/>
      <c r="WVQ149" s="609"/>
      <c r="WVR149" s="607"/>
      <c r="WVS149" s="607"/>
      <c r="WVT149" s="607"/>
      <c r="WVU149" s="463"/>
      <c r="WVV149" s="454"/>
      <c r="WVW149" s="607"/>
      <c r="WVX149" s="607"/>
      <c r="WVY149" s="607"/>
      <c r="WVZ149" s="607"/>
      <c r="WWA149" s="607"/>
      <c r="WWB149" s="453"/>
      <c r="WWC149" s="289"/>
      <c r="WWD149" s="453"/>
      <c r="WWE149" s="453"/>
      <c r="WWF149" s="453"/>
      <c r="WWG149" s="453"/>
      <c r="WWH149" s="453"/>
      <c r="WWI149" s="461"/>
      <c r="WWJ149" s="461"/>
      <c r="WWK149" s="461"/>
      <c r="WWL149" s="609"/>
      <c r="WWM149" s="607"/>
      <c r="WWN149" s="607"/>
      <c r="WWO149" s="607"/>
      <c r="WWP149" s="463"/>
      <c r="WWQ149" s="454"/>
      <c r="WWR149" s="607"/>
      <c r="WWS149" s="607"/>
      <c r="WWT149" s="607"/>
      <c r="WWU149" s="607"/>
      <c r="WWV149" s="607"/>
      <c r="WWW149" s="453"/>
      <c r="WWX149" s="289"/>
      <c r="WWY149" s="453"/>
      <c r="WWZ149" s="453"/>
      <c r="WXA149" s="453"/>
      <c r="WXB149" s="453"/>
      <c r="WXC149" s="453"/>
      <c r="WXD149" s="461"/>
      <c r="WXE149" s="461"/>
      <c r="WXF149" s="461"/>
      <c r="WXG149" s="609"/>
      <c r="WXH149" s="607"/>
      <c r="WXI149" s="607"/>
      <c r="WXJ149" s="607"/>
      <c r="WXK149" s="463"/>
      <c r="WXL149" s="454"/>
      <c r="WXM149" s="607"/>
      <c r="WXN149" s="607"/>
      <c r="WXO149" s="607"/>
      <c r="WXP149" s="607"/>
      <c r="WXQ149" s="607"/>
      <c r="WXR149" s="453"/>
      <c r="WXS149" s="289"/>
      <c r="WXT149" s="453"/>
      <c r="WXU149" s="453"/>
      <c r="WXV149" s="453"/>
      <c r="WXW149" s="453"/>
      <c r="WXX149" s="453"/>
      <c r="WXY149" s="461"/>
      <c r="WXZ149" s="461"/>
      <c r="WYA149" s="461"/>
      <c r="WYB149" s="609"/>
      <c r="WYC149" s="607"/>
      <c r="WYD149" s="607"/>
      <c r="WYE149" s="607"/>
      <c r="WYF149" s="463"/>
      <c r="WYG149" s="454"/>
      <c r="WYH149" s="607"/>
      <c r="WYI149" s="607"/>
      <c r="WYJ149" s="607"/>
      <c r="WYK149" s="607"/>
      <c r="WYL149" s="607"/>
      <c r="WYM149" s="453"/>
      <c r="WYN149" s="289"/>
      <c r="WYO149" s="453"/>
      <c r="WYP149" s="453"/>
      <c r="WYQ149" s="453"/>
      <c r="WYR149" s="453"/>
      <c r="WYS149" s="453"/>
      <c r="WYT149" s="461"/>
      <c r="WYU149" s="461"/>
      <c r="WYV149" s="461"/>
      <c r="WYW149" s="609"/>
      <c r="WYX149" s="607"/>
      <c r="WYY149" s="607"/>
      <c r="WYZ149" s="607"/>
      <c r="WZA149" s="463"/>
      <c r="WZB149" s="454"/>
      <c r="WZC149" s="607"/>
      <c r="WZD149" s="607"/>
      <c r="WZE149" s="607"/>
      <c r="WZF149" s="607"/>
      <c r="WZG149" s="607"/>
      <c r="WZH149" s="453"/>
      <c r="WZI149" s="289"/>
      <c r="WZJ149" s="453"/>
      <c r="WZK149" s="453"/>
      <c r="WZL149" s="453"/>
      <c r="WZM149" s="453"/>
      <c r="WZN149" s="453"/>
      <c r="WZO149" s="461"/>
      <c r="WZP149" s="461"/>
      <c r="WZQ149" s="461"/>
      <c r="WZR149" s="609"/>
      <c r="WZS149" s="607"/>
      <c r="WZT149" s="607"/>
      <c r="WZU149" s="607"/>
      <c r="WZV149" s="463"/>
      <c r="WZW149" s="454"/>
      <c r="WZX149" s="607"/>
      <c r="WZY149" s="607"/>
      <c r="WZZ149" s="607"/>
      <c r="XAA149" s="607"/>
      <c r="XAB149" s="607"/>
      <c r="XAC149" s="453"/>
      <c r="XAD149" s="289"/>
      <c r="XAE149" s="453"/>
      <c r="XAF149" s="453"/>
      <c r="XAG149" s="453"/>
      <c r="XAH149" s="453"/>
      <c r="XAI149" s="453"/>
      <c r="XAJ149" s="461"/>
      <c r="XAK149" s="461"/>
      <c r="XAL149" s="461"/>
      <c r="XAM149" s="609"/>
      <c r="XAN149" s="607"/>
      <c r="XAO149" s="607"/>
      <c r="XAP149" s="607"/>
      <c r="XAQ149" s="463"/>
      <c r="XAR149" s="454"/>
      <c r="XAS149" s="607"/>
      <c r="XAT149" s="607"/>
      <c r="XAU149" s="607"/>
      <c r="XAV149" s="607"/>
      <c r="XAW149" s="607"/>
      <c r="XAX149" s="453"/>
      <c r="XAY149" s="289"/>
      <c r="XAZ149" s="453"/>
      <c r="XBA149" s="453"/>
      <c r="XBB149" s="453"/>
      <c r="XBC149" s="453"/>
      <c r="XBD149" s="453"/>
      <c r="XBE149" s="461"/>
      <c r="XBF149" s="461"/>
      <c r="XBG149" s="461"/>
      <c r="XBH149" s="609"/>
      <c r="XBI149" s="607"/>
      <c r="XBJ149" s="607"/>
      <c r="XBK149" s="607"/>
      <c r="XBL149" s="463"/>
      <c r="XBM149" s="454"/>
      <c r="XBN149" s="607"/>
      <c r="XBO149" s="607"/>
      <c r="XBP149" s="607"/>
      <c r="XBQ149" s="607"/>
      <c r="XBR149" s="607"/>
      <c r="XBS149" s="453"/>
      <c r="XBT149" s="289"/>
      <c r="XBU149" s="453"/>
      <c r="XBV149" s="453"/>
      <c r="XBW149" s="453"/>
      <c r="XBX149" s="453"/>
      <c r="XBY149" s="453"/>
      <c r="XBZ149" s="461"/>
      <c r="XCA149" s="461"/>
      <c r="XCB149" s="461"/>
      <c r="XCC149" s="609"/>
      <c r="XCD149" s="607"/>
      <c r="XCE149" s="607"/>
      <c r="XCF149" s="607"/>
      <c r="XCG149" s="463"/>
      <c r="XCH149" s="454"/>
      <c r="XCI149" s="607"/>
      <c r="XCJ149" s="607"/>
      <c r="XCK149" s="607"/>
      <c r="XCL149" s="607"/>
      <c r="XCM149" s="607"/>
      <c r="XCN149" s="453"/>
      <c r="XCO149" s="289"/>
      <c r="XCP149" s="453"/>
      <c r="XCQ149" s="453"/>
      <c r="XCR149" s="453"/>
      <c r="XCS149" s="453"/>
      <c r="XCT149" s="453"/>
      <c r="XCU149" s="461"/>
      <c r="XCV149" s="461"/>
      <c r="XCW149" s="461"/>
      <c r="XCX149" s="609"/>
      <c r="XCY149" s="607"/>
      <c r="XCZ149" s="607"/>
      <c r="XDA149" s="607"/>
      <c r="XDB149" s="463"/>
      <c r="XDC149" s="454"/>
      <c r="XDD149" s="607"/>
      <c r="XDE149" s="607"/>
      <c r="XDF149" s="607"/>
      <c r="XDG149" s="607"/>
      <c r="XDH149" s="607"/>
      <c r="XDI149" s="453"/>
      <c r="XDJ149" s="289"/>
      <c r="XDK149" s="453"/>
      <c r="XDL149" s="453"/>
      <c r="XDM149" s="453"/>
      <c r="XDN149" s="453"/>
      <c r="XDO149" s="453"/>
      <c r="XDP149" s="461"/>
      <c r="XDQ149" s="461"/>
      <c r="XDR149" s="461"/>
      <c r="XDS149" s="609"/>
      <c r="XDT149" s="607"/>
      <c r="XDU149" s="607"/>
      <c r="XDV149" s="607"/>
      <c r="XDW149" s="463"/>
      <c r="XDX149" s="454"/>
      <c r="XDY149" s="607"/>
      <c r="XDZ149" s="607"/>
      <c r="XEA149" s="607"/>
      <c r="XEB149" s="607"/>
      <c r="XEC149" s="607"/>
      <c r="XED149" s="453"/>
      <c r="XEE149" s="289"/>
      <c r="XEF149" s="453"/>
      <c r="XEG149" s="453"/>
      <c r="XEH149" s="453"/>
      <c r="XEI149" s="453"/>
      <c r="XEJ149" s="453"/>
      <c r="XEK149" s="461"/>
      <c r="XEL149" s="461"/>
      <c r="XEM149" s="461"/>
      <c r="XEN149" s="609"/>
      <c r="XEO149" s="607"/>
      <c r="XEP149" s="607"/>
      <c r="XEQ149" s="607"/>
      <c r="XER149" s="463"/>
      <c r="XES149" s="454"/>
      <c r="XET149" s="607"/>
      <c r="XEU149" s="607"/>
      <c r="XEV149" s="607"/>
      <c r="XEW149" s="607"/>
      <c r="XEX149" s="607"/>
      <c r="XEY149" s="453"/>
      <c r="XEZ149" s="289"/>
      <c r="XFA149" s="453"/>
      <c r="XFB149" s="453"/>
      <c r="XFC149" s="453"/>
      <c r="XFD149" s="453"/>
    </row>
    <row r="150" spans="1:16384">
      <c r="I150" s="459"/>
      <c r="O150" s="639"/>
      <c r="P150" s="639"/>
    </row>
    <row r="151" spans="1:16384">
      <c r="I151" s="459"/>
      <c r="O151" s="639"/>
      <c r="P151" s="639"/>
    </row>
    <row r="152" spans="1:16384">
      <c r="I152" s="459"/>
      <c r="O152" s="639"/>
      <c r="P152" s="639"/>
    </row>
    <row r="153" spans="1:16384">
      <c r="F153" s="639" t="s">
        <v>1291</v>
      </c>
      <c r="G153" s="639">
        <f>+G77+G85+G144+G138+G129</f>
        <v>495043871403</v>
      </c>
      <c r="I153" s="459"/>
      <c r="O153" s="639"/>
      <c r="P153" s="639"/>
    </row>
    <row r="154" spans="1:16384">
      <c r="I154" s="624">
        <v>40535</v>
      </c>
      <c r="J154" s="607">
        <v>31526</v>
      </c>
      <c r="K154" s="607">
        <f>+L154/J154</f>
        <v>-241524.78202118885</v>
      </c>
      <c r="L154" s="607">
        <v>-7614310278</v>
      </c>
      <c r="O154" s="639"/>
      <c r="P154" s="639"/>
    </row>
    <row r="155" spans="1:16384">
      <c r="F155" s="573" t="s">
        <v>1292</v>
      </c>
      <c r="G155" s="573" t="e">
        <f>+G153+CRC조합!G211+VC조합!J308+VC해산!H70+VC해산!H151+VC해산!H379</f>
        <v>#REF!</v>
      </c>
      <c r="I155" s="619">
        <v>41492</v>
      </c>
      <c r="J155" s="607">
        <v>15763</v>
      </c>
      <c r="K155" s="607">
        <f>+L155/J155</f>
        <v>341876</v>
      </c>
      <c r="L155" s="607">
        <v>5388991388</v>
      </c>
      <c r="O155" s="639"/>
      <c r="P155" s="639"/>
    </row>
    <row r="156" spans="1:16384">
      <c r="I156" s="740">
        <v>41943</v>
      </c>
      <c r="J156" s="637">
        <v>15763</v>
      </c>
      <c r="K156" s="637">
        <v>2307500</v>
      </c>
      <c r="L156" s="637">
        <f>+J156*K156</f>
        <v>36373122500</v>
      </c>
      <c r="M156" s="482">
        <f>+XIRR(L154:L156,I154:I156)</f>
        <v>0.59364289641380308</v>
      </c>
      <c r="O156" s="639"/>
      <c r="P156" s="639"/>
    </row>
    <row r="157" spans="1:16384">
      <c r="I157" s="459"/>
      <c r="O157" s="639"/>
      <c r="P157" s="639"/>
    </row>
    <row r="158" spans="1:16384">
      <c r="I158" s="459"/>
      <c r="O158" s="639"/>
      <c r="P158" s="639"/>
    </row>
    <row r="159" spans="1:16384">
      <c r="I159" s="459"/>
      <c r="O159" s="639"/>
      <c r="P159" s="639"/>
    </row>
    <row r="160" spans="1:16384">
      <c r="I160" s="459"/>
      <c r="O160" s="639"/>
      <c r="P160" s="639"/>
    </row>
    <row r="161" spans="3:23">
      <c r="I161" s="459"/>
      <c r="O161" s="639"/>
      <c r="P161" s="639"/>
    </row>
    <row r="162" spans="3:23">
      <c r="I162" s="459"/>
      <c r="O162" s="639"/>
      <c r="P162" s="639"/>
    </row>
    <row r="163" spans="3:23">
      <c r="I163" s="459"/>
      <c r="O163" s="639"/>
      <c r="P163" s="639"/>
    </row>
    <row r="164" spans="3:23">
      <c r="C164" s="453" t="s">
        <v>1281</v>
      </c>
      <c r="D164" s="640">
        <v>40175</v>
      </c>
      <c r="E164" s="607">
        <v>400000</v>
      </c>
      <c r="F164" s="607">
        <f>+G164/E164</f>
        <v>-100000</v>
      </c>
      <c r="G164" s="607">
        <v>-40000000000</v>
      </c>
      <c r="I164" s="459"/>
      <c r="O164" s="639"/>
      <c r="P164" s="639"/>
      <c r="U164" s="293" t="s">
        <v>795</v>
      </c>
      <c r="V164" s="461" t="s">
        <v>307</v>
      </c>
      <c r="W164" s="461" t="s">
        <v>1256</v>
      </c>
    </row>
    <row r="165" spans="3:23">
      <c r="D165" s="454">
        <v>40270</v>
      </c>
      <c r="E165" s="607"/>
      <c r="F165" s="607"/>
      <c r="G165" s="607">
        <v>726994464</v>
      </c>
    </row>
    <row r="166" spans="3:23">
      <c r="D166" s="454">
        <v>40905</v>
      </c>
      <c r="E166" s="607"/>
      <c r="F166" s="607"/>
      <c r="G166" s="607">
        <v>71398222757</v>
      </c>
      <c r="H166" s="356">
        <f>+XIRR(G164:G166,D164:D166)</f>
        <v>0.34740042090415957</v>
      </c>
      <c r="I166" s="459"/>
    </row>
    <row r="167" spans="3:23">
      <c r="I167" s="459">
        <v>3000000000</v>
      </c>
      <c r="L167" s="639">
        <v>421493852</v>
      </c>
    </row>
    <row r="168" spans="3:23">
      <c r="I168" s="459">
        <v>1500000000</v>
      </c>
      <c r="J168" s="639">
        <f>+I168/1073</f>
        <v>1397949.6738117428</v>
      </c>
      <c r="K168" s="639">
        <f>1500*90%</f>
        <v>1350</v>
      </c>
      <c r="L168" s="639">
        <f>+J168*K170</f>
        <v>387232059.64585274</v>
      </c>
    </row>
    <row r="169" spans="3:23">
      <c r="I169" s="459"/>
      <c r="K169" s="639">
        <v>1073</v>
      </c>
    </row>
    <row r="170" spans="3:23">
      <c r="C170" s="453" t="s">
        <v>808</v>
      </c>
      <c r="D170" s="640">
        <v>40535</v>
      </c>
      <c r="E170" s="607"/>
      <c r="F170" s="607"/>
      <c r="G170" s="607">
        <f>-3956879887-2637919925</f>
        <v>-6594799812</v>
      </c>
      <c r="I170" s="459"/>
      <c r="K170" s="639">
        <f>+K168-K169</f>
        <v>277</v>
      </c>
      <c r="U170" s="293" t="s">
        <v>307</v>
      </c>
      <c r="V170" s="461" t="s">
        <v>1278</v>
      </c>
      <c r="W170" s="461" t="s">
        <v>1278</v>
      </c>
    </row>
    <row r="171" spans="3:23">
      <c r="C171" s="453"/>
      <c r="D171" s="454">
        <v>41264</v>
      </c>
      <c r="E171" s="607"/>
      <c r="F171" s="607"/>
      <c r="G171" s="607">
        <v>8401801581</v>
      </c>
      <c r="H171" s="483">
        <f>+XIRR(G170:G171,D170:D171)</f>
        <v>0.12890536189079285</v>
      </c>
      <c r="I171" s="459"/>
      <c r="U171" s="293"/>
      <c r="V171" s="461"/>
      <c r="W171" s="461"/>
    </row>
    <row r="172" spans="3:23">
      <c r="C172" s="453" t="s">
        <v>808</v>
      </c>
      <c r="D172" s="640">
        <v>40535</v>
      </c>
      <c r="E172" s="607"/>
      <c r="F172" s="607"/>
      <c r="G172" s="607">
        <v>-6562053638</v>
      </c>
      <c r="I172" s="459">
        <v>500000000</v>
      </c>
      <c r="L172" s="639">
        <f>+I172*30%</f>
        <v>150000000</v>
      </c>
      <c r="U172" s="293" t="s">
        <v>307</v>
      </c>
      <c r="V172" s="461" t="s">
        <v>1278</v>
      </c>
      <c r="W172" s="461" t="s">
        <v>1278</v>
      </c>
    </row>
    <row r="173" spans="3:23">
      <c r="C173" s="453"/>
      <c r="D173" s="454">
        <v>41264</v>
      </c>
      <c r="E173" s="607"/>
      <c r="F173" s="607"/>
      <c r="G173" s="607">
        <v>8354950542</v>
      </c>
      <c r="H173" s="483">
        <f>+XIRR(G172:G173,D172:D173)</f>
        <v>0.12855830788612363</v>
      </c>
      <c r="I173" s="459"/>
      <c r="U173" s="293"/>
      <c r="V173" s="461"/>
      <c r="W173" s="461"/>
    </row>
    <row r="174" spans="3:23">
      <c r="C174" s="453" t="s">
        <v>1289</v>
      </c>
      <c r="D174" s="640">
        <v>40535</v>
      </c>
      <c r="E174" s="607">
        <v>31526</v>
      </c>
      <c r="F174" s="607">
        <f>+G174/E174</f>
        <v>-681752.6106388378</v>
      </c>
      <c r="G174" s="607">
        <v>-21492932803</v>
      </c>
      <c r="I174" s="459"/>
      <c r="L174" s="639">
        <f>+L167+L168+L172</f>
        <v>958725911.6458528</v>
      </c>
      <c r="U174" s="293" t="s">
        <v>307</v>
      </c>
      <c r="V174" s="461" t="s">
        <v>1278</v>
      </c>
      <c r="W174" s="461" t="s">
        <v>1278</v>
      </c>
    </row>
    <row r="175" spans="3:23">
      <c r="D175" s="454">
        <v>40903</v>
      </c>
      <c r="E175" s="607">
        <v>31526</v>
      </c>
      <c r="F175" s="607">
        <v>758104</v>
      </c>
      <c r="G175" s="607">
        <v>23884885750</v>
      </c>
      <c r="H175" s="483">
        <f>+XIRR(G174:G175,D174:D175)</f>
        <v>0.11033465266227721</v>
      </c>
      <c r="I175" s="459"/>
    </row>
    <row r="176" spans="3:23">
      <c r="I176" s="704">
        <v>40466</v>
      </c>
      <c r="L176" s="639">
        <v>-3500000000</v>
      </c>
      <c r="M176" s="482">
        <f>+L174/L176</f>
        <v>-0.27392168904167224</v>
      </c>
    </row>
    <row r="177" spans="3:23">
      <c r="I177" s="704">
        <v>41029</v>
      </c>
      <c r="L177" s="639">
        <f>+I167+L167</f>
        <v>3421493852</v>
      </c>
    </row>
    <row r="178" spans="3:23">
      <c r="I178" s="704">
        <v>41455</v>
      </c>
      <c r="L178" s="639">
        <f>+I172+L172+L168</f>
        <v>1037232059.6458528</v>
      </c>
    </row>
    <row r="179" spans="3:23">
      <c r="L179" s="665">
        <f>+XIRR(L176:L178,I176:I178)</f>
        <v>0.14413047432899481</v>
      </c>
    </row>
    <row r="180" spans="3:23">
      <c r="C180" s="609" t="s">
        <v>517</v>
      </c>
      <c r="D180" s="640">
        <v>40002</v>
      </c>
      <c r="E180" s="641">
        <v>63053</v>
      </c>
      <c r="F180" s="641">
        <v>396493</v>
      </c>
      <c r="G180" s="641">
        <v>-25000073129</v>
      </c>
    </row>
    <row r="181" spans="3:23">
      <c r="D181" s="640">
        <v>40535</v>
      </c>
      <c r="E181" s="641">
        <v>63053</v>
      </c>
      <c r="F181" s="641">
        <f>+G181/E181</f>
        <v>461631.37489096477</v>
      </c>
      <c r="G181" s="641">
        <v>29107243081</v>
      </c>
      <c r="H181" s="356">
        <f>+XIRR(G180:G181,D180:D181)</f>
        <v>0.10978268980979919</v>
      </c>
    </row>
    <row r="182" spans="3:23">
      <c r="C182" s="656" t="s">
        <v>651</v>
      </c>
      <c r="D182" s="369">
        <v>40301</v>
      </c>
      <c r="E182" s="372">
        <v>43333</v>
      </c>
      <c r="F182" s="372">
        <v>15000</v>
      </c>
      <c r="G182" s="372">
        <v>-649995000</v>
      </c>
      <c r="U182" s="294" t="s">
        <v>307</v>
      </c>
      <c r="V182" s="501" t="s">
        <v>1278</v>
      </c>
      <c r="W182" s="501" t="s">
        <v>1278</v>
      </c>
    </row>
    <row r="183" spans="3:23">
      <c r="C183" s="654" t="s">
        <v>651</v>
      </c>
      <c r="D183" s="370">
        <v>40308</v>
      </c>
      <c r="E183" s="376">
        <v>63000</v>
      </c>
      <c r="F183" s="376">
        <v>15000</v>
      </c>
      <c r="G183" s="376">
        <v>-945000000</v>
      </c>
      <c r="U183" s="296"/>
      <c r="V183" s="499"/>
      <c r="W183" s="499"/>
    </row>
    <row r="184" spans="3:23">
      <c r="C184" s="654" t="s">
        <v>651</v>
      </c>
      <c r="D184" s="370">
        <v>40310</v>
      </c>
      <c r="E184" s="376">
        <v>85000</v>
      </c>
      <c r="F184" s="376">
        <v>15000</v>
      </c>
      <c r="G184" s="376">
        <v>-1275000000</v>
      </c>
      <c r="U184" s="296"/>
      <c r="V184" s="499"/>
      <c r="W184" s="499"/>
    </row>
    <row r="185" spans="3:23">
      <c r="C185" s="654" t="s">
        <v>651</v>
      </c>
      <c r="D185" s="370">
        <v>40323</v>
      </c>
      <c r="E185" s="376">
        <v>30000</v>
      </c>
      <c r="F185" s="376">
        <v>15000</v>
      </c>
      <c r="G185" s="376">
        <v>-450000000</v>
      </c>
      <c r="U185" s="296"/>
      <c r="V185" s="499"/>
      <c r="W185" s="499"/>
    </row>
    <row r="186" spans="3:23">
      <c r="C186" s="654" t="s">
        <v>651</v>
      </c>
      <c r="D186" s="370">
        <v>40326</v>
      </c>
      <c r="E186" s="376">
        <v>85000</v>
      </c>
      <c r="F186" s="376">
        <v>15000</v>
      </c>
      <c r="G186" s="376">
        <v>-1275000000</v>
      </c>
      <c r="U186" s="296"/>
      <c r="V186" s="499"/>
      <c r="W186" s="499"/>
    </row>
    <row r="187" spans="3:23">
      <c r="C187" s="654" t="s">
        <v>651</v>
      </c>
      <c r="D187" s="370">
        <v>40330</v>
      </c>
      <c r="E187" s="376">
        <v>72500</v>
      </c>
      <c r="F187" s="376">
        <v>15000</v>
      </c>
      <c r="G187" s="376">
        <v>-1087500000</v>
      </c>
      <c r="U187" s="296"/>
      <c r="V187" s="499"/>
      <c r="W187" s="499"/>
    </row>
    <row r="188" spans="3:23">
      <c r="C188" s="654" t="s">
        <v>651</v>
      </c>
      <c r="D188" s="370">
        <v>40337</v>
      </c>
      <c r="E188" s="376">
        <v>85000</v>
      </c>
      <c r="F188" s="376">
        <v>15000</v>
      </c>
      <c r="G188" s="376">
        <v>-1275000000</v>
      </c>
      <c r="U188" s="296"/>
      <c r="V188" s="499"/>
      <c r="W188" s="499"/>
    </row>
    <row r="189" spans="3:23">
      <c r="C189" s="654" t="s">
        <v>651</v>
      </c>
      <c r="D189" s="370">
        <v>40340</v>
      </c>
      <c r="E189" s="376">
        <v>85000</v>
      </c>
      <c r="F189" s="376">
        <v>15000</v>
      </c>
      <c r="G189" s="376">
        <v>-1275000000</v>
      </c>
      <c r="U189" s="296"/>
      <c r="V189" s="499"/>
      <c r="W189" s="499"/>
    </row>
    <row r="190" spans="3:23">
      <c r="C190" s="654" t="s">
        <v>651</v>
      </c>
      <c r="D190" s="370">
        <v>40344</v>
      </c>
      <c r="E190" s="376">
        <v>85000</v>
      </c>
      <c r="F190" s="376">
        <v>15000</v>
      </c>
      <c r="G190" s="376">
        <v>-1275000000</v>
      </c>
      <c r="U190" s="296"/>
      <c r="V190" s="499"/>
      <c r="W190" s="499"/>
    </row>
    <row r="191" spans="3:23">
      <c r="C191" s="654" t="s">
        <v>651</v>
      </c>
      <c r="D191" s="370">
        <v>40347</v>
      </c>
      <c r="E191" s="376">
        <v>85000</v>
      </c>
      <c r="F191" s="376">
        <v>15000</v>
      </c>
      <c r="G191" s="376">
        <v>-1275000000</v>
      </c>
      <c r="U191" s="296"/>
      <c r="V191" s="499"/>
      <c r="W191" s="499"/>
    </row>
    <row r="192" spans="3:23">
      <c r="C192" s="654" t="s">
        <v>651</v>
      </c>
      <c r="D192" s="370">
        <v>40352</v>
      </c>
      <c r="E192" s="376">
        <v>85000</v>
      </c>
      <c r="F192" s="376">
        <v>15000</v>
      </c>
      <c r="G192" s="376">
        <v>-1275000000</v>
      </c>
      <c r="U192" s="296"/>
      <c r="V192" s="499"/>
      <c r="W192" s="499"/>
    </row>
    <row r="193" spans="3:23">
      <c r="C193" s="654" t="s">
        <v>651</v>
      </c>
      <c r="D193" s="370">
        <v>40434</v>
      </c>
      <c r="E193" s="376">
        <v>29500</v>
      </c>
      <c r="F193" s="376">
        <v>15000</v>
      </c>
      <c r="G193" s="376">
        <v>-442500000</v>
      </c>
      <c r="U193" s="296"/>
      <c r="V193" s="499"/>
      <c r="W193" s="499"/>
    </row>
    <row r="194" spans="3:23">
      <c r="D194" s="352">
        <v>40305</v>
      </c>
      <c r="E194" s="373">
        <v>43333</v>
      </c>
      <c r="F194" s="374">
        <f>+G194/E194</f>
        <v>21743.393026100202</v>
      </c>
      <c r="G194" s="375">
        <v>942206450</v>
      </c>
    </row>
    <row r="195" spans="3:23">
      <c r="D195" s="353">
        <v>40310</v>
      </c>
      <c r="E195" s="377">
        <v>63000</v>
      </c>
      <c r="F195" s="378">
        <f t="shared" ref="F195:F215" si="14">+G195/E195</f>
        <v>22370.305555555555</v>
      </c>
      <c r="G195" s="379">
        <v>1409329250</v>
      </c>
    </row>
    <row r="196" spans="3:23">
      <c r="D196" s="353">
        <v>40323</v>
      </c>
      <c r="E196" s="377">
        <v>29535</v>
      </c>
      <c r="F196" s="378">
        <f t="shared" si="14"/>
        <v>22148.759099373623</v>
      </c>
      <c r="G196" s="379">
        <v>654163600</v>
      </c>
    </row>
    <row r="197" spans="3:23">
      <c r="D197" s="353">
        <v>40325</v>
      </c>
      <c r="E197" s="377">
        <v>21218</v>
      </c>
      <c r="F197" s="378">
        <f t="shared" si="14"/>
        <v>20082.514845885569</v>
      </c>
      <c r="G197" s="379">
        <v>426110800</v>
      </c>
    </row>
    <row r="198" spans="3:23">
      <c r="D198" s="353">
        <v>40326</v>
      </c>
      <c r="E198" s="377">
        <v>54247</v>
      </c>
      <c r="F198" s="378">
        <f t="shared" si="14"/>
        <v>19559.248437701623</v>
      </c>
      <c r="G198" s="379">
        <v>1061030550</v>
      </c>
    </row>
    <row r="199" spans="3:23">
      <c r="D199" s="353">
        <v>40329</v>
      </c>
      <c r="E199" s="377">
        <v>10000</v>
      </c>
      <c r="F199" s="378">
        <f t="shared" si="14"/>
        <v>19562.5</v>
      </c>
      <c r="G199" s="379">
        <v>195625000</v>
      </c>
    </row>
    <row r="200" spans="3:23">
      <c r="D200" s="353">
        <v>40330</v>
      </c>
      <c r="E200" s="377">
        <v>43697</v>
      </c>
      <c r="F200" s="378">
        <f t="shared" si="14"/>
        <v>21094.097992997231</v>
      </c>
      <c r="G200" s="379">
        <v>921748800</v>
      </c>
    </row>
    <row r="201" spans="3:23">
      <c r="D201" s="353">
        <v>40332</v>
      </c>
      <c r="E201" s="377">
        <v>27990</v>
      </c>
      <c r="F201" s="378">
        <f t="shared" si="14"/>
        <v>21218.363701321901</v>
      </c>
      <c r="G201" s="379">
        <v>593902000</v>
      </c>
    </row>
    <row r="202" spans="3:23">
      <c r="D202" s="353">
        <v>40336</v>
      </c>
      <c r="E202" s="377">
        <v>5351</v>
      </c>
      <c r="F202" s="378">
        <f t="shared" si="14"/>
        <v>21002.336011960382</v>
      </c>
      <c r="G202" s="379">
        <v>112383500</v>
      </c>
    </row>
    <row r="203" spans="3:23">
      <c r="D203" s="353">
        <v>40337</v>
      </c>
      <c r="E203" s="377">
        <v>55594</v>
      </c>
      <c r="F203" s="378">
        <f t="shared" si="14"/>
        <v>20308.201424614166</v>
      </c>
      <c r="G203" s="379">
        <v>1129014150</v>
      </c>
    </row>
    <row r="204" spans="3:23">
      <c r="D204" s="353">
        <v>40338</v>
      </c>
      <c r="E204" s="377">
        <v>24868</v>
      </c>
      <c r="F204" s="378">
        <f t="shared" si="14"/>
        <v>19459.087984558468</v>
      </c>
      <c r="G204" s="379">
        <v>483908600</v>
      </c>
    </row>
    <row r="205" spans="3:23">
      <c r="D205" s="353">
        <v>40340</v>
      </c>
      <c r="E205" s="377">
        <v>45396</v>
      </c>
      <c r="F205" s="378">
        <f t="shared" si="14"/>
        <v>20115.40664375716</v>
      </c>
      <c r="G205" s="379">
        <v>913159000</v>
      </c>
    </row>
    <row r="206" spans="3:23">
      <c r="D206" s="353">
        <v>40343</v>
      </c>
      <c r="E206" s="377">
        <v>39604</v>
      </c>
      <c r="F206" s="378">
        <f t="shared" si="14"/>
        <v>20392.172507827494</v>
      </c>
      <c r="G206" s="379">
        <v>807611600</v>
      </c>
    </row>
    <row r="207" spans="3:23">
      <c r="D207" s="353">
        <v>40345</v>
      </c>
      <c r="E207" s="377">
        <v>85000</v>
      </c>
      <c r="F207" s="378">
        <f t="shared" si="14"/>
        <v>21044.082941176472</v>
      </c>
      <c r="G207" s="379">
        <v>1788747050</v>
      </c>
    </row>
    <row r="208" spans="3:23">
      <c r="D208" s="353">
        <v>40346</v>
      </c>
      <c r="E208" s="377">
        <v>42718</v>
      </c>
      <c r="F208" s="378">
        <f t="shared" si="14"/>
        <v>21098.829533217846</v>
      </c>
      <c r="G208" s="379">
        <v>901299800</v>
      </c>
    </row>
    <row r="209" spans="3:23">
      <c r="D209" s="353">
        <v>40347</v>
      </c>
      <c r="E209" s="377">
        <v>42282</v>
      </c>
      <c r="F209" s="378">
        <f t="shared" si="14"/>
        <v>21124.121375526229</v>
      </c>
      <c r="G209" s="379">
        <v>893170100</v>
      </c>
    </row>
    <row r="210" spans="3:23">
      <c r="D210" s="353">
        <v>40352</v>
      </c>
      <c r="E210" s="377">
        <v>85000</v>
      </c>
      <c r="F210" s="378">
        <f t="shared" si="14"/>
        <v>21687.117647058825</v>
      </c>
      <c r="G210" s="379">
        <v>1843405000</v>
      </c>
    </row>
    <row r="211" spans="3:23">
      <c r="D211" s="353">
        <v>40429</v>
      </c>
      <c r="E211" s="377">
        <v>21387</v>
      </c>
      <c r="F211" s="378">
        <f t="shared" si="14"/>
        <v>21950</v>
      </c>
      <c r="G211" s="379">
        <v>469444650</v>
      </c>
    </row>
    <row r="212" spans="3:23">
      <c r="D212" s="353">
        <v>40435</v>
      </c>
      <c r="E212" s="377">
        <v>18613</v>
      </c>
      <c r="F212" s="378">
        <f t="shared" si="14"/>
        <v>21376.862945253317</v>
      </c>
      <c r="G212" s="379">
        <v>397887550</v>
      </c>
    </row>
    <row r="213" spans="3:23">
      <c r="D213" s="353">
        <v>40436</v>
      </c>
      <c r="E213" s="377">
        <v>20000</v>
      </c>
      <c r="F213" s="378">
        <f t="shared" si="14"/>
        <v>21085</v>
      </c>
      <c r="G213" s="379">
        <v>421700000</v>
      </c>
    </row>
    <row r="214" spans="3:23">
      <c r="D214" s="353">
        <v>40437</v>
      </c>
      <c r="E214" s="377">
        <v>30000</v>
      </c>
      <c r="F214" s="378">
        <f t="shared" si="14"/>
        <v>21205</v>
      </c>
      <c r="G214" s="379">
        <v>636150000</v>
      </c>
    </row>
    <row r="215" spans="3:23">
      <c r="D215" s="354">
        <v>40438</v>
      </c>
      <c r="E215" s="380">
        <v>24500</v>
      </c>
      <c r="F215" s="381">
        <f t="shared" si="14"/>
        <v>21171.428571428572</v>
      </c>
      <c r="G215" s="382">
        <v>518700000</v>
      </c>
      <c r="H215" s="535">
        <f>+XIRR(G182:G215,D182:D215)</f>
        <v>516865219.19999993</v>
      </c>
    </row>
    <row r="216" spans="3:23">
      <c r="G216" s="482">
        <f>+XIRR(G180:G215,D180:D215)</f>
        <v>0.24976039528846741</v>
      </c>
    </row>
    <row r="219" spans="3:23">
      <c r="C219" s="456" t="s">
        <v>1285</v>
      </c>
      <c r="D219" s="642">
        <v>40466</v>
      </c>
      <c r="E219" s="634"/>
      <c r="F219" s="634"/>
      <c r="G219" s="634">
        <v>-3000000000</v>
      </c>
      <c r="U219" s="294" t="s">
        <v>19</v>
      </c>
      <c r="V219" s="501" t="s">
        <v>1358</v>
      </c>
      <c r="W219" s="501" t="s">
        <v>794</v>
      </c>
    </row>
    <row r="220" spans="3:23">
      <c r="D220" s="536">
        <v>40557</v>
      </c>
      <c r="E220" s="634"/>
      <c r="F220" s="610"/>
      <c r="G220" s="610">
        <v>22684932</v>
      </c>
    </row>
    <row r="221" spans="3:23">
      <c r="D221" s="620">
        <v>40647</v>
      </c>
      <c r="E221" s="635"/>
      <c r="F221" s="635"/>
      <c r="G221" s="635">
        <v>22191781</v>
      </c>
    </row>
    <row r="222" spans="3:23">
      <c r="D222" s="537">
        <v>40738</v>
      </c>
      <c r="E222" s="452"/>
      <c r="F222" s="452"/>
      <c r="G222" s="452">
        <v>22438356</v>
      </c>
    </row>
    <row r="223" spans="3:23">
      <c r="D223" s="537">
        <v>40828</v>
      </c>
      <c r="E223" s="452"/>
      <c r="F223" s="452"/>
      <c r="G223" s="452">
        <v>165000000</v>
      </c>
    </row>
    <row r="224" spans="3:23">
      <c r="D224" s="620">
        <v>40830</v>
      </c>
      <c r="E224" s="635"/>
      <c r="F224" s="635"/>
      <c r="G224" s="635">
        <v>22684932</v>
      </c>
    </row>
    <row r="225" spans="3:23">
      <c r="D225" s="620">
        <v>40924</v>
      </c>
      <c r="E225" s="635"/>
      <c r="F225" s="635"/>
      <c r="G225" s="635">
        <v>22622951</v>
      </c>
    </row>
    <row r="226" spans="3:23">
      <c r="D226" s="620">
        <v>41015</v>
      </c>
      <c r="E226" s="635"/>
      <c r="F226" s="635"/>
      <c r="G226" s="635">
        <v>22377049</v>
      </c>
    </row>
    <row r="227" spans="3:23">
      <c r="D227" s="667">
        <v>41029</v>
      </c>
      <c r="E227" s="636"/>
      <c r="F227" s="636"/>
      <c r="G227" s="636">
        <v>3121493851</v>
      </c>
      <c r="H227" s="483">
        <f>+XIRR(G219:G227,D219:D227)</f>
        <v>9.2377534508705145E-2</v>
      </c>
    </row>
    <row r="229" spans="3:23">
      <c r="C229" s="453" t="s">
        <v>1366</v>
      </c>
      <c r="D229" s="461" t="s">
        <v>1384</v>
      </c>
      <c r="E229" s="640">
        <v>40535</v>
      </c>
      <c r="F229" s="607">
        <v>31526</v>
      </c>
      <c r="G229" s="607">
        <f>+H229/F229</f>
        <v>-681752.6106388378</v>
      </c>
      <c r="H229" s="607">
        <v>-21492932803</v>
      </c>
      <c r="U229" s="453" t="s">
        <v>1390</v>
      </c>
      <c r="V229" s="293" t="s">
        <v>1377</v>
      </c>
      <c r="W229" s="461" t="s">
        <v>1384</v>
      </c>
    </row>
    <row r="230" spans="3:23">
      <c r="E230" s="619">
        <v>40903</v>
      </c>
      <c r="F230" s="607">
        <v>31526</v>
      </c>
      <c r="G230" s="607">
        <v>758104</v>
      </c>
      <c r="H230" s="607">
        <v>23884885750</v>
      </c>
      <c r="I230" s="483">
        <f>+XIRR(H229:H230,E229:E230)</f>
        <v>0.11033465266227721</v>
      </c>
    </row>
    <row r="233" spans="3:23">
      <c r="C233" s="395">
        <v>40175</v>
      </c>
      <c r="D233" s="607">
        <v>400000</v>
      </c>
      <c r="E233" s="607">
        <f>+F233/D233</f>
        <v>-100000</v>
      </c>
      <c r="F233" s="607">
        <v>-40000000000</v>
      </c>
      <c r="G233" s="463" t="s">
        <v>1279</v>
      </c>
    </row>
    <row r="234" spans="3:23">
      <c r="C234" s="619">
        <v>40270</v>
      </c>
      <c r="D234" s="607"/>
      <c r="E234" s="607"/>
      <c r="F234" s="607">
        <v>726994464</v>
      </c>
    </row>
    <row r="235" spans="3:23">
      <c r="C235" s="619">
        <v>40905</v>
      </c>
      <c r="D235" s="607"/>
      <c r="E235" s="607"/>
      <c r="F235" s="607">
        <v>71398222757</v>
      </c>
      <c r="G235" s="356">
        <f>+XIRR(F233:F235,C233:C235)</f>
        <v>0.34740042090415957</v>
      </c>
    </row>
    <row r="240" spans="3:23">
      <c r="C240" s="453" t="s">
        <v>1387</v>
      </c>
      <c r="D240" s="640">
        <v>40535</v>
      </c>
      <c r="E240" s="607">
        <v>31526</v>
      </c>
      <c r="F240" s="607">
        <f>+G240/E240</f>
        <v>-241524.78202118885</v>
      </c>
      <c r="G240" s="607">
        <v>-7614310278</v>
      </c>
    </row>
    <row r="241" spans="3:8">
      <c r="D241" s="619">
        <v>41492</v>
      </c>
      <c r="E241" s="607">
        <v>15763</v>
      </c>
      <c r="F241" s="607">
        <f>+G241/E241</f>
        <v>341876</v>
      </c>
      <c r="G241" s="607">
        <v>5388991388</v>
      </c>
    </row>
    <row r="242" spans="3:8">
      <c r="D242" s="681">
        <v>41943</v>
      </c>
      <c r="E242" s="639">
        <v>15763</v>
      </c>
      <c r="F242" s="639">
        <v>2307500</v>
      </c>
      <c r="G242" s="639">
        <f>+E242*F242</f>
        <v>36373122500</v>
      </c>
      <c r="H242" s="483">
        <f>+XIRR(G240:G242,D240:D242)</f>
        <v>0.59364289641380308</v>
      </c>
    </row>
    <row r="243" spans="3:8">
      <c r="G243" s="639">
        <f>SUM(G240:G242)</f>
        <v>34147803610</v>
      </c>
      <c r="H243" s="483">
        <f>+G243/G240</f>
        <v>-4.4846876950448324</v>
      </c>
    </row>
    <row r="247" spans="3:8">
      <c r="C247" s="656" t="s">
        <v>1367</v>
      </c>
      <c r="D247" s="642">
        <v>40541</v>
      </c>
      <c r="G247" s="610">
        <v>-2181583377</v>
      </c>
    </row>
    <row r="248" spans="3:8">
      <c r="C248" s="491" t="s">
        <v>1479</v>
      </c>
      <c r="D248" s="660">
        <v>40541</v>
      </c>
      <c r="G248" s="669">
        <v>-2529926800</v>
      </c>
    </row>
    <row r="249" spans="3:8">
      <c r="C249" s="655" t="s">
        <v>1367</v>
      </c>
      <c r="D249" s="651">
        <v>40546</v>
      </c>
      <c r="G249" s="614">
        <v>-281102978</v>
      </c>
    </row>
    <row r="250" spans="3:8">
      <c r="C250" s="664" t="s">
        <v>1367</v>
      </c>
      <c r="D250" s="668">
        <v>40592</v>
      </c>
      <c r="G250" s="648">
        <v>-1591554251</v>
      </c>
    </row>
    <row r="251" spans="3:8">
      <c r="D251" s="630">
        <v>41578</v>
      </c>
      <c r="E251" s="657"/>
      <c r="F251" s="648"/>
      <c r="G251" s="648">
        <v>8224785532</v>
      </c>
    </row>
    <row r="252" spans="3:8">
      <c r="D252" s="727">
        <v>41026</v>
      </c>
      <c r="E252" s="648"/>
      <c r="F252" s="648"/>
      <c r="G252" s="648">
        <v>15915542</v>
      </c>
    </row>
    <row r="253" spans="3:8">
      <c r="D253" s="630">
        <v>41390</v>
      </c>
      <c r="E253" s="657"/>
      <c r="F253" s="657"/>
      <c r="G253" s="657">
        <v>15915542</v>
      </c>
    </row>
    <row r="254" spans="3:8">
      <c r="D254" s="730">
        <v>41578</v>
      </c>
      <c r="E254" s="647"/>
      <c r="F254" s="669"/>
      <c r="G254" s="669">
        <v>587102490</v>
      </c>
    </row>
    <row r="255" spans="3:8">
      <c r="D255" s="623"/>
      <c r="E255" s="614"/>
      <c r="F255" s="644"/>
      <c r="G255" s="644">
        <v>3775294507</v>
      </c>
    </row>
    <row r="258" spans="3:7">
      <c r="C258" s="456" t="s">
        <v>1285</v>
      </c>
      <c r="D258" s="642">
        <v>40466</v>
      </c>
      <c r="E258" s="634">
        <v>232774</v>
      </c>
      <c r="F258" s="634">
        <v>-2148</v>
      </c>
      <c r="G258" s="634">
        <f>+E258*F258</f>
        <v>-499998552</v>
      </c>
    </row>
    <row r="259" spans="3:7">
      <c r="D259" s="536">
        <v>40645</v>
      </c>
      <c r="E259" s="634">
        <v>0</v>
      </c>
      <c r="F259" s="634"/>
      <c r="G259" s="634">
        <v>6983220</v>
      </c>
    </row>
    <row r="260" spans="3:7">
      <c r="D260" s="620">
        <v>41005</v>
      </c>
      <c r="E260" s="635">
        <v>0</v>
      </c>
      <c r="F260" s="635"/>
      <c r="G260" s="635">
        <v>8659020</v>
      </c>
    </row>
    <row r="261" spans="3:7">
      <c r="D261" s="620">
        <v>41339</v>
      </c>
      <c r="E261" s="635">
        <v>605</v>
      </c>
      <c r="F261" s="635">
        <f t="shared" ref="F261:F267" si="15">+G261/E261</f>
        <v>1439.3090909090909</v>
      </c>
      <c r="G261" s="635">
        <v>870782</v>
      </c>
    </row>
    <row r="262" spans="3:7">
      <c r="D262" s="620">
        <v>41365</v>
      </c>
      <c r="E262" s="635">
        <v>4000</v>
      </c>
      <c r="F262" s="635">
        <f t="shared" si="15"/>
        <v>1419.924</v>
      </c>
      <c r="G262" s="635">
        <v>5679696</v>
      </c>
    </row>
    <row r="263" spans="3:7">
      <c r="D263" s="620">
        <v>41366</v>
      </c>
      <c r="E263" s="635">
        <v>15300</v>
      </c>
      <c r="F263" s="635">
        <f t="shared" si="15"/>
        <v>1471.3215686274509</v>
      </c>
      <c r="G263" s="635">
        <v>22511220</v>
      </c>
    </row>
    <row r="264" spans="3:7">
      <c r="D264" s="620">
        <v>41367</v>
      </c>
      <c r="E264" s="635">
        <v>36100</v>
      </c>
      <c r="F264" s="635">
        <f t="shared" si="15"/>
        <v>1515.9588088642658</v>
      </c>
      <c r="G264" s="635">
        <v>54726113</v>
      </c>
    </row>
    <row r="265" spans="3:7">
      <c r="D265" s="620">
        <v>41368</v>
      </c>
      <c r="E265" s="635">
        <v>44642</v>
      </c>
      <c r="F265" s="635">
        <f t="shared" si="15"/>
        <v>1543.3164060749966</v>
      </c>
      <c r="G265" s="635">
        <v>68896731</v>
      </c>
    </row>
    <row r="266" spans="3:7">
      <c r="D266" s="620">
        <v>41369</v>
      </c>
      <c r="E266" s="635">
        <v>4700</v>
      </c>
      <c r="F266" s="635">
        <f t="shared" si="15"/>
        <v>1551.5810638297871</v>
      </c>
      <c r="G266" s="635">
        <v>7292431</v>
      </c>
    </row>
    <row r="267" spans="3:7">
      <c r="D267" s="620">
        <v>41372</v>
      </c>
      <c r="E267" s="635">
        <v>3239</v>
      </c>
      <c r="F267" s="635">
        <f t="shared" si="15"/>
        <v>1497.088298857672</v>
      </c>
      <c r="G267" s="635">
        <v>4849069</v>
      </c>
    </row>
    <row r="268" spans="3:7">
      <c r="D268" s="620">
        <v>41372</v>
      </c>
      <c r="E268" s="635">
        <v>0</v>
      </c>
      <c r="F268" s="635"/>
      <c r="G268" s="635">
        <v>6494265</v>
      </c>
    </row>
    <row r="269" spans="3:7">
      <c r="D269" s="620">
        <v>41374</v>
      </c>
      <c r="E269" s="635">
        <v>10603</v>
      </c>
      <c r="F269" s="635">
        <f t="shared" ref="F269:F281" si="16">+G269/E269</f>
        <v>1446.7260209374706</v>
      </c>
      <c r="G269" s="635">
        <v>15339636</v>
      </c>
    </row>
    <row r="270" spans="3:7">
      <c r="D270" s="620">
        <v>41380</v>
      </c>
      <c r="E270" s="635">
        <v>700</v>
      </c>
      <c r="F270" s="635">
        <f t="shared" si="16"/>
        <v>1507.4185714285713</v>
      </c>
      <c r="G270" s="635">
        <v>1055193</v>
      </c>
    </row>
    <row r="271" spans="3:7">
      <c r="D271" s="620">
        <v>41409</v>
      </c>
      <c r="E271" s="635">
        <v>17590</v>
      </c>
      <c r="F271" s="635">
        <f t="shared" si="16"/>
        <v>1522.8672541216599</v>
      </c>
      <c r="G271" s="635">
        <v>26787235</v>
      </c>
    </row>
    <row r="272" spans="3:7">
      <c r="D272" s="620">
        <v>41414</v>
      </c>
      <c r="E272" s="635">
        <v>3</v>
      </c>
      <c r="F272" s="635">
        <f t="shared" si="16"/>
        <v>1510.6666666666667</v>
      </c>
      <c r="G272" s="635">
        <v>4532</v>
      </c>
    </row>
    <row r="273" spans="4:8">
      <c r="D273" s="620">
        <v>41425</v>
      </c>
      <c r="E273" s="635">
        <v>10211</v>
      </c>
      <c r="F273" s="635">
        <f t="shared" si="16"/>
        <v>1524.0842228968759</v>
      </c>
      <c r="G273" s="635">
        <v>15562424</v>
      </c>
    </row>
    <row r="274" spans="4:8">
      <c r="D274" s="620">
        <v>41428</v>
      </c>
      <c r="E274" s="635">
        <v>85996</v>
      </c>
      <c r="F274" s="635">
        <f t="shared" si="16"/>
        <v>1553.6655890971674</v>
      </c>
      <c r="G274" s="635">
        <v>133609026</v>
      </c>
    </row>
    <row r="275" spans="4:8">
      <c r="D275" s="620">
        <v>41473</v>
      </c>
      <c r="E275" s="635">
        <v>1000</v>
      </c>
      <c r="F275" s="635">
        <f t="shared" si="16"/>
        <v>1302.799</v>
      </c>
      <c r="G275" s="635">
        <v>1302799</v>
      </c>
    </row>
    <row r="276" spans="4:8">
      <c r="D276" s="620">
        <v>41477</v>
      </c>
      <c r="E276" s="635">
        <v>1000</v>
      </c>
      <c r="F276" s="635">
        <f t="shared" si="16"/>
        <v>1320.396</v>
      </c>
      <c r="G276" s="635">
        <v>1320396</v>
      </c>
    </row>
    <row r="277" spans="4:8">
      <c r="D277" s="620">
        <v>41478</v>
      </c>
      <c r="E277" s="635">
        <v>4200</v>
      </c>
      <c r="F277" s="635">
        <f t="shared" si="16"/>
        <v>1313.8254761904761</v>
      </c>
      <c r="G277" s="635">
        <v>5518067</v>
      </c>
    </row>
    <row r="278" spans="4:8">
      <c r="D278" s="620">
        <v>41480</v>
      </c>
      <c r="E278" s="635">
        <v>500</v>
      </c>
      <c r="F278" s="635">
        <f t="shared" si="16"/>
        <v>1310.2760000000001</v>
      </c>
      <c r="G278" s="635">
        <v>655138</v>
      </c>
    </row>
    <row r="279" spans="4:8">
      <c r="D279" s="620">
        <v>41500</v>
      </c>
      <c r="E279" s="635">
        <v>5991</v>
      </c>
      <c r="F279" s="635">
        <f t="shared" si="16"/>
        <v>1251.7304289767985</v>
      </c>
      <c r="G279" s="635">
        <v>7499117</v>
      </c>
    </row>
    <row r="280" spans="4:8">
      <c r="D280" s="620">
        <v>41502</v>
      </c>
      <c r="E280" s="635">
        <v>11</v>
      </c>
      <c r="F280" s="635">
        <f t="shared" si="16"/>
        <v>1276.2727272727273</v>
      </c>
      <c r="G280" s="635">
        <v>14039</v>
      </c>
    </row>
    <row r="281" spans="4:8">
      <c r="D281" s="620">
        <v>41506</v>
      </c>
      <c r="E281" s="635">
        <v>2076</v>
      </c>
      <c r="F281" s="635">
        <f t="shared" si="16"/>
        <v>1296.4542389210019</v>
      </c>
      <c r="G281" s="635">
        <v>2691439</v>
      </c>
    </row>
    <row r="282" spans="4:8">
      <c r="D282" s="728">
        <v>41549</v>
      </c>
      <c r="E282" s="650">
        <v>106444</v>
      </c>
      <c r="F282" s="657">
        <f>+G282/E282</f>
        <v>1398.038893690579</v>
      </c>
      <c r="G282" s="729">
        <v>148812852</v>
      </c>
    </row>
    <row r="283" spans="4:8">
      <c r="D283" s="690">
        <v>41551</v>
      </c>
      <c r="E283" s="744">
        <v>5500</v>
      </c>
      <c r="F283" s="648">
        <v>1378</v>
      </c>
      <c r="G283" s="691">
        <v>7552777</v>
      </c>
    </row>
    <row r="284" spans="4:8">
      <c r="D284" s="690">
        <v>41554</v>
      </c>
      <c r="E284" s="744">
        <v>48544</v>
      </c>
      <c r="F284" s="648">
        <v>1410</v>
      </c>
      <c r="G284" s="691">
        <v>68202261</v>
      </c>
    </row>
    <row r="285" spans="4:8">
      <c r="D285" s="731">
        <v>41555</v>
      </c>
      <c r="E285" s="613">
        <v>23996</v>
      </c>
      <c r="F285" s="614">
        <v>1451</v>
      </c>
      <c r="G285" s="732">
        <v>34697705</v>
      </c>
      <c r="H285" s="483">
        <f>+XIRR(G258:G285,D258:D285)</f>
        <v>0.10763055682182313</v>
      </c>
    </row>
  </sheetData>
  <autoFilter ref="A3:T106"/>
  <mergeCells count="2">
    <mergeCell ref="F70:F71"/>
    <mergeCell ref="E70:E71"/>
  </mergeCells>
  <phoneticPr fontId="2" type="noConversion"/>
  <pageMargins left="0.11811023622047245" right="0.19685039370078741" top="0.51181102362204722" bottom="0.27559055118110237" header="0.31496062992125984" footer="0.31496062992125984"/>
  <pageSetup paperSize="9" scale="5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"/>
  <sheetViews>
    <sheetView view="pageBreakPreview" topLeftCell="A10" zoomScaleNormal="85" zoomScaleSheetLayoutView="100" workbookViewId="0">
      <selection activeCell="G24" sqref="G24"/>
    </sheetView>
  </sheetViews>
  <sheetFormatPr defaultRowHeight="13.5"/>
  <cols>
    <col min="1" max="1" width="23.875" style="3" customWidth="1"/>
    <col min="2" max="2" width="18.375" style="4" customWidth="1"/>
    <col min="3" max="3" width="9" style="3" customWidth="1"/>
    <col min="4" max="4" width="11.375" style="6" customWidth="1"/>
    <col min="5" max="5" width="11.25" style="3" customWidth="1"/>
    <col min="6" max="6" width="16.625" style="260" bestFit="1" customWidth="1"/>
    <col min="7" max="10" width="16.25" style="260" customWidth="1"/>
    <col min="11" max="11" width="10.25" style="169" customWidth="1"/>
    <col min="12" max="12" width="12" style="3" customWidth="1"/>
    <col min="13" max="16384" width="9" style="4"/>
  </cols>
  <sheetData>
    <row r="1" spans="1:12">
      <c r="A1" s="3" t="s">
        <v>681</v>
      </c>
      <c r="B1" s="2"/>
      <c r="D1" s="1"/>
    </row>
    <row r="3" spans="1:12">
      <c r="A3" s="258" t="s">
        <v>418</v>
      </c>
      <c r="B3" s="258" t="s">
        <v>683</v>
      </c>
      <c r="C3" s="258" t="s">
        <v>425</v>
      </c>
      <c r="D3" s="42" t="s">
        <v>421</v>
      </c>
      <c r="E3" s="258" t="s">
        <v>426</v>
      </c>
      <c r="F3" s="106" t="s">
        <v>281</v>
      </c>
      <c r="G3" s="106" t="s">
        <v>504</v>
      </c>
      <c r="H3" s="106" t="s">
        <v>754</v>
      </c>
      <c r="I3" s="106" t="s">
        <v>755</v>
      </c>
      <c r="J3" s="106" t="s">
        <v>646</v>
      </c>
      <c r="K3" s="171" t="s">
        <v>684</v>
      </c>
      <c r="L3" s="258" t="s">
        <v>685</v>
      </c>
    </row>
    <row r="4" spans="1:12">
      <c r="A4" s="925" t="s">
        <v>686</v>
      </c>
      <c r="B4" s="15" t="s">
        <v>1</v>
      </c>
      <c r="C4" s="258" t="s">
        <v>57</v>
      </c>
      <c r="D4" s="16">
        <v>36644</v>
      </c>
      <c r="E4" s="16">
        <v>36769</v>
      </c>
      <c r="F4" s="117">
        <v>1920000000</v>
      </c>
      <c r="G4" s="117">
        <v>1998920000</v>
      </c>
      <c r="H4" s="117">
        <f>+F4</f>
        <v>1920000000</v>
      </c>
      <c r="I4" s="117"/>
      <c r="J4" s="117"/>
      <c r="K4" s="232">
        <f>+G4/F4</f>
        <v>1.0411041666666667</v>
      </c>
      <c r="L4" s="258" t="s">
        <v>303</v>
      </c>
    </row>
    <row r="5" spans="1:12">
      <c r="A5" s="926"/>
      <c r="B5" s="15" t="s">
        <v>687</v>
      </c>
      <c r="C5" s="258" t="s">
        <v>57</v>
      </c>
      <c r="D5" s="16">
        <v>36643</v>
      </c>
      <c r="E5" s="16">
        <v>36882</v>
      </c>
      <c r="F5" s="117">
        <v>9000000000</v>
      </c>
      <c r="G5" s="117">
        <v>9000000000</v>
      </c>
      <c r="H5" s="117"/>
      <c r="I5" s="117"/>
      <c r="J5" s="117"/>
      <c r="K5" s="232">
        <f>+G5/F5</f>
        <v>1</v>
      </c>
      <c r="L5" s="258" t="s">
        <v>303</v>
      </c>
    </row>
    <row r="6" spans="1:12">
      <c r="A6" s="926"/>
      <c r="B6" s="15" t="s">
        <v>688</v>
      </c>
      <c r="C6" s="258" t="s">
        <v>57</v>
      </c>
      <c r="D6" s="16">
        <v>36796</v>
      </c>
      <c r="E6" s="16">
        <v>37071</v>
      </c>
      <c r="F6" s="117">
        <v>499994000</v>
      </c>
      <c r="G6" s="117">
        <v>499994000</v>
      </c>
      <c r="H6" s="117"/>
      <c r="I6" s="117"/>
      <c r="J6" s="117"/>
      <c r="K6" s="232">
        <f>+G6/F6</f>
        <v>1</v>
      </c>
      <c r="L6" s="258" t="s">
        <v>303</v>
      </c>
    </row>
    <row r="7" spans="1:12">
      <c r="A7" s="927"/>
      <c r="B7" s="15" t="s">
        <v>11</v>
      </c>
      <c r="C7" s="258" t="s">
        <v>57</v>
      </c>
      <c r="D7" s="16">
        <v>36809</v>
      </c>
      <c r="E7" s="16">
        <v>37071</v>
      </c>
      <c r="F7" s="117">
        <v>100000000</v>
      </c>
      <c r="G7" s="117">
        <v>100000000</v>
      </c>
      <c r="H7" s="117"/>
      <c r="I7" s="117"/>
      <c r="J7" s="117"/>
      <c r="K7" s="232">
        <f>+G7/F7</f>
        <v>1</v>
      </c>
      <c r="L7" s="258" t="s">
        <v>303</v>
      </c>
    </row>
    <row r="8" spans="1:12">
      <c r="A8" s="923" t="s">
        <v>689</v>
      </c>
      <c r="B8" s="923"/>
      <c r="C8" s="923"/>
      <c r="D8" s="923"/>
      <c r="E8" s="924"/>
      <c r="F8" s="117">
        <f>SUM(F4:F7)</f>
        <v>11519994000</v>
      </c>
      <c r="G8" s="117">
        <f>SUM(G4:G7)</f>
        <v>11598914000</v>
      </c>
      <c r="H8" s="117"/>
      <c r="I8" s="117"/>
      <c r="J8" s="117"/>
      <c r="K8" s="232"/>
      <c r="L8" s="258"/>
    </row>
    <row r="9" spans="1:12" s="26" customFormat="1">
      <c r="A9" s="925" t="s">
        <v>690</v>
      </c>
      <c r="B9" s="15" t="s">
        <v>691</v>
      </c>
      <c r="C9" s="258" t="s">
        <v>57</v>
      </c>
      <c r="D9" s="16">
        <v>36890</v>
      </c>
      <c r="E9" s="16">
        <v>37344</v>
      </c>
      <c r="F9" s="15">
        <v>2293200000</v>
      </c>
      <c r="G9" s="15">
        <v>2360926300</v>
      </c>
      <c r="H9" s="15"/>
      <c r="I9" s="15"/>
      <c r="J9" s="15"/>
      <c r="K9" s="232">
        <f>+G9/F9</f>
        <v>1.0295335339263911</v>
      </c>
      <c r="L9" s="258" t="s">
        <v>303</v>
      </c>
    </row>
    <row r="10" spans="1:12" s="26" customFormat="1">
      <c r="A10" s="927"/>
      <c r="B10" s="15" t="s">
        <v>692</v>
      </c>
      <c r="C10" s="258" t="s">
        <v>57</v>
      </c>
      <c r="D10" s="16">
        <v>36890</v>
      </c>
      <c r="E10" s="16">
        <v>37330</v>
      </c>
      <c r="F10" s="15">
        <v>882000000</v>
      </c>
      <c r="G10" s="15">
        <v>2074157770</v>
      </c>
      <c r="H10" s="15"/>
      <c r="I10" s="15"/>
      <c r="J10" s="15"/>
      <c r="K10" s="232">
        <f>+G10/F10</f>
        <v>2.3516528004535147</v>
      </c>
      <c r="L10" s="258" t="s">
        <v>303</v>
      </c>
    </row>
    <row r="11" spans="1:12" s="26" customFormat="1">
      <c r="A11" s="923" t="s">
        <v>689</v>
      </c>
      <c r="B11" s="923"/>
      <c r="C11" s="923"/>
      <c r="D11" s="923"/>
      <c r="E11" s="924"/>
      <c r="F11" s="15">
        <f>SUM(F9:F10)</f>
        <v>3175200000</v>
      </c>
      <c r="G11" s="15">
        <f>SUM(G9:G10)</f>
        <v>4435084070</v>
      </c>
      <c r="H11" s="15"/>
      <c r="I11" s="15"/>
      <c r="J11" s="15"/>
      <c r="K11" s="232"/>
      <c r="L11" s="258"/>
    </row>
    <row r="12" spans="1:12">
      <c r="A12" s="925" t="s">
        <v>693</v>
      </c>
      <c r="B12" s="15" t="s">
        <v>44</v>
      </c>
      <c r="C12" s="258" t="s">
        <v>57</v>
      </c>
      <c r="D12" s="16">
        <v>36578</v>
      </c>
      <c r="E12" s="16">
        <v>38198</v>
      </c>
      <c r="F12" s="117">
        <v>550000000</v>
      </c>
      <c r="G12" s="117">
        <v>77078868</v>
      </c>
      <c r="H12" s="117"/>
      <c r="I12" s="117"/>
      <c r="J12" s="117"/>
      <c r="K12" s="232">
        <f t="shared" ref="K12:K19" si="0">+G12/F12</f>
        <v>0.14014339636363637</v>
      </c>
      <c r="L12" s="258" t="s">
        <v>303</v>
      </c>
    </row>
    <row r="13" spans="1:12" s="26" customFormat="1">
      <c r="A13" s="926"/>
      <c r="B13" s="15" t="s">
        <v>48</v>
      </c>
      <c r="C13" s="258" t="s">
        <v>57</v>
      </c>
      <c r="D13" s="16">
        <v>36605</v>
      </c>
      <c r="E13" s="16"/>
      <c r="F13" s="15">
        <v>2150000000</v>
      </c>
      <c r="G13" s="15">
        <v>0</v>
      </c>
      <c r="H13" s="15"/>
      <c r="I13" s="15"/>
      <c r="J13" s="15"/>
      <c r="K13" s="232">
        <f t="shared" si="0"/>
        <v>0</v>
      </c>
      <c r="L13" s="258" t="s">
        <v>335</v>
      </c>
    </row>
    <row r="14" spans="1:12">
      <c r="A14" s="926"/>
      <c r="B14" s="15" t="s">
        <v>49</v>
      </c>
      <c r="C14" s="258" t="s">
        <v>57</v>
      </c>
      <c r="D14" s="16">
        <v>36602</v>
      </c>
      <c r="E14" s="16">
        <v>37986</v>
      </c>
      <c r="F14" s="117">
        <v>200000000</v>
      </c>
      <c r="G14" s="117">
        <v>0</v>
      </c>
      <c r="H14" s="117"/>
      <c r="I14" s="117"/>
      <c r="J14" s="117"/>
      <c r="K14" s="232">
        <f t="shared" si="0"/>
        <v>0</v>
      </c>
      <c r="L14" s="258" t="s">
        <v>335</v>
      </c>
    </row>
    <row r="15" spans="1:12">
      <c r="A15" s="926"/>
      <c r="B15" s="15" t="s">
        <v>51</v>
      </c>
      <c r="C15" s="258" t="s">
        <v>57</v>
      </c>
      <c r="D15" s="16">
        <v>36675</v>
      </c>
      <c r="E15" s="16">
        <v>36763</v>
      </c>
      <c r="F15" s="117">
        <v>100000000</v>
      </c>
      <c r="G15" s="117">
        <v>104830000</v>
      </c>
      <c r="H15" s="117"/>
      <c r="I15" s="117"/>
      <c r="J15" s="117"/>
      <c r="K15" s="232">
        <f t="shared" si="0"/>
        <v>1.0483</v>
      </c>
      <c r="L15" s="258" t="s">
        <v>303</v>
      </c>
    </row>
    <row r="16" spans="1:12">
      <c r="A16" s="926"/>
      <c r="B16" s="15" t="s">
        <v>694</v>
      </c>
      <c r="C16" s="258" t="s">
        <v>57</v>
      </c>
      <c r="D16" s="16">
        <v>36607</v>
      </c>
      <c r="E16" s="16">
        <v>37337</v>
      </c>
      <c r="F16" s="117">
        <v>300000000</v>
      </c>
      <c r="G16" s="117">
        <v>330750000</v>
      </c>
      <c r="H16" s="117"/>
      <c r="I16" s="117"/>
      <c r="J16" s="117"/>
      <c r="K16" s="232">
        <f t="shared" si="0"/>
        <v>1.1025</v>
      </c>
      <c r="L16" s="258" t="s">
        <v>303</v>
      </c>
    </row>
    <row r="17" spans="1:15">
      <c r="A17" s="926"/>
      <c r="B17" s="15" t="s">
        <v>695</v>
      </c>
      <c r="C17" s="258" t="s">
        <v>57</v>
      </c>
      <c r="D17" s="16">
        <v>37935</v>
      </c>
      <c r="E17" s="16">
        <v>37973</v>
      </c>
      <c r="F17" s="117">
        <v>18600</v>
      </c>
      <c r="G17" s="117">
        <v>18405</v>
      </c>
      <c r="H17" s="117"/>
      <c r="I17" s="117"/>
      <c r="J17" s="117"/>
      <c r="K17" s="232">
        <f t="shared" si="0"/>
        <v>0.98951612903225805</v>
      </c>
      <c r="L17" s="258" t="s">
        <v>303</v>
      </c>
    </row>
    <row r="18" spans="1:15">
      <c r="A18" s="926"/>
      <c r="B18" s="15" t="s">
        <v>174</v>
      </c>
      <c r="C18" s="258" t="s">
        <v>57</v>
      </c>
      <c r="D18" s="16">
        <v>37935</v>
      </c>
      <c r="E18" s="16">
        <v>37973</v>
      </c>
      <c r="F18" s="117">
        <v>72800</v>
      </c>
      <c r="G18" s="117">
        <v>127400</v>
      </c>
      <c r="H18" s="117"/>
      <c r="I18" s="117"/>
      <c r="J18" s="117"/>
      <c r="K18" s="232">
        <f t="shared" si="0"/>
        <v>1.75</v>
      </c>
      <c r="L18" s="258" t="s">
        <v>303</v>
      </c>
    </row>
    <row r="19" spans="1:15" s="26" customFormat="1">
      <c r="A19" s="927"/>
      <c r="B19" s="15" t="s">
        <v>175</v>
      </c>
      <c r="C19" s="258" t="s">
        <v>57</v>
      </c>
      <c r="D19" s="16">
        <v>37928</v>
      </c>
      <c r="E19" s="16">
        <v>38198</v>
      </c>
      <c r="F19" s="15">
        <v>392000</v>
      </c>
      <c r="G19" s="15">
        <v>128240</v>
      </c>
      <c r="H19" s="15"/>
      <c r="I19" s="15"/>
      <c r="J19" s="15"/>
      <c r="K19" s="232">
        <f t="shared" si="0"/>
        <v>0.32714285714285712</v>
      </c>
      <c r="L19" s="258" t="s">
        <v>303</v>
      </c>
    </row>
    <row r="20" spans="1:15" s="26" customFormat="1">
      <c r="A20" s="923" t="s">
        <v>689</v>
      </c>
      <c r="B20" s="923"/>
      <c r="C20" s="923"/>
      <c r="D20" s="923"/>
      <c r="E20" s="924"/>
      <c r="F20" s="15">
        <f>SUM(F12:F19)</f>
        <v>3300483400</v>
      </c>
      <c r="G20" s="15">
        <f>SUM(G12:G19)</f>
        <v>512932913</v>
      </c>
      <c r="H20" s="15"/>
      <c r="I20" s="15"/>
      <c r="J20" s="15"/>
      <c r="K20" s="232"/>
      <c r="L20" s="258"/>
    </row>
    <row r="21" spans="1:15">
      <c r="A21" s="928" t="s">
        <v>696</v>
      </c>
      <c r="B21" s="233" t="s">
        <v>58</v>
      </c>
      <c r="C21" s="258" t="s">
        <v>57</v>
      </c>
      <c r="D21" s="234">
        <v>36523</v>
      </c>
      <c r="E21" s="16">
        <v>36587</v>
      </c>
      <c r="F21" s="117">
        <v>1900000000</v>
      </c>
      <c r="G21" s="117">
        <v>1855000000</v>
      </c>
      <c r="H21" s="117"/>
      <c r="I21" s="117"/>
      <c r="J21" s="117"/>
      <c r="K21" s="232">
        <f t="shared" ref="K21:K29" si="1">+G21/F21</f>
        <v>0.97631578947368425</v>
      </c>
      <c r="L21" s="258" t="s">
        <v>303</v>
      </c>
    </row>
    <row r="22" spans="1:15">
      <c r="A22" s="929"/>
      <c r="B22" s="15" t="s">
        <v>697</v>
      </c>
      <c r="C22" s="258" t="s">
        <v>57</v>
      </c>
      <c r="D22" s="42">
        <v>36530</v>
      </c>
      <c r="E22" s="16">
        <v>37621</v>
      </c>
      <c r="F22" s="117">
        <v>110000000</v>
      </c>
      <c r="G22" s="117">
        <v>0</v>
      </c>
      <c r="H22" s="117"/>
      <c r="I22" s="117"/>
      <c r="J22" s="117"/>
      <c r="K22" s="232">
        <f t="shared" si="1"/>
        <v>0</v>
      </c>
      <c r="L22" s="258" t="s">
        <v>335</v>
      </c>
    </row>
    <row r="23" spans="1:15">
      <c r="A23" s="929"/>
      <c r="B23" s="15" t="s">
        <v>63</v>
      </c>
      <c r="C23" s="258" t="s">
        <v>57</v>
      </c>
      <c r="D23" s="42">
        <v>36538</v>
      </c>
      <c r="E23" s="16">
        <v>36748</v>
      </c>
      <c r="F23" s="117">
        <v>250000000</v>
      </c>
      <c r="G23" s="117">
        <v>275000000</v>
      </c>
      <c r="H23" s="117"/>
      <c r="I23" s="117"/>
      <c r="J23" s="117"/>
      <c r="K23" s="232">
        <f t="shared" si="1"/>
        <v>1.1000000000000001</v>
      </c>
      <c r="L23" s="258" t="s">
        <v>303</v>
      </c>
    </row>
    <row r="24" spans="1:15">
      <c r="A24" s="929"/>
      <c r="B24" s="15" t="s">
        <v>698</v>
      </c>
      <c r="C24" s="258" t="s">
        <v>57</v>
      </c>
      <c r="D24" s="42">
        <v>36552</v>
      </c>
      <c r="E24" s="16">
        <v>38717</v>
      </c>
      <c r="F24" s="117">
        <v>532000000</v>
      </c>
      <c r="G24" s="15">
        <v>9975100</v>
      </c>
      <c r="H24" s="15"/>
      <c r="I24" s="15"/>
      <c r="J24" s="15"/>
      <c r="K24" s="232">
        <f t="shared" si="1"/>
        <v>1.8750187969924812E-2</v>
      </c>
      <c r="L24" s="258" t="s">
        <v>303</v>
      </c>
    </row>
    <row r="25" spans="1:15">
      <c r="A25" s="929"/>
      <c r="B25" s="15" t="s">
        <v>68</v>
      </c>
      <c r="C25" s="258" t="s">
        <v>57</v>
      </c>
      <c r="D25" s="42">
        <v>36570</v>
      </c>
      <c r="E25" s="16">
        <v>37329</v>
      </c>
      <c r="F25" s="117">
        <v>200000000</v>
      </c>
      <c r="G25" s="117">
        <v>357500000</v>
      </c>
      <c r="H25" s="117"/>
      <c r="I25" s="117"/>
      <c r="J25" s="117"/>
      <c r="K25" s="232">
        <f t="shared" si="1"/>
        <v>1.7875000000000001</v>
      </c>
      <c r="L25" s="258" t="s">
        <v>303</v>
      </c>
    </row>
    <row r="26" spans="1:15">
      <c r="A26" s="929"/>
      <c r="B26" s="15" t="s">
        <v>49</v>
      </c>
      <c r="C26" s="258" t="s">
        <v>57</v>
      </c>
      <c r="D26" s="42">
        <v>36592</v>
      </c>
      <c r="E26" s="16">
        <v>37621</v>
      </c>
      <c r="F26" s="117">
        <v>300000000</v>
      </c>
      <c r="G26" s="117">
        <v>0</v>
      </c>
      <c r="H26" s="117"/>
      <c r="I26" s="117"/>
      <c r="J26" s="117"/>
      <c r="K26" s="232">
        <f t="shared" si="1"/>
        <v>0</v>
      </c>
      <c r="L26" s="258" t="s">
        <v>335</v>
      </c>
    </row>
    <row r="27" spans="1:15" s="26" customFormat="1">
      <c r="A27" s="929"/>
      <c r="B27" s="15" t="s">
        <v>699</v>
      </c>
      <c r="C27" s="258" t="s">
        <v>57</v>
      </c>
      <c r="D27" s="42">
        <v>36622</v>
      </c>
      <c r="E27" s="16">
        <v>37621</v>
      </c>
      <c r="F27" s="15">
        <v>500100000</v>
      </c>
      <c r="G27" s="15">
        <v>0</v>
      </c>
      <c r="H27" s="15"/>
      <c r="I27" s="15"/>
      <c r="J27" s="15"/>
      <c r="K27" s="232">
        <f t="shared" si="1"/>
        <v>0</v>
      </c>
      <c r="L27" s="258" t="s">
        <v>335</v>
      </c>
      <c r="M27" s="4"/>
      <c r="N27" s="4"/>
      <c r="O27" s="4"/>
    </row>
    <row r="28" spans="1:15" s="26" customFormat="1">
      <c r="A28" s="929"/>
      <c r="B28" s="15" t="s">
        <v>700</v>
      </c>
      <c r="C28" s="258" t="s">
        <v>57</v>
      </c>
      <c r="D28" s="42">
        <v>36633</v>
      </c>
      <c r="E28" s="16">
        <v>37621</v>
      </c>
      <c r="F28" s="15">
        <v>1000000000</v>
      </c>
      <c r="G28" s="15">
        <v>0</v>
      </c>
      <c r="H28" s="15"/>
      <c r="I28" s="15"/>
      <c r="J28" s="15"/>
      <c r="K28" s="232">
        <f t="shared" si="1"/>
        <v>0</v>
      </c>
      <c r="L28" s="258" t="s">
        <v>335</v>
      </c>
      <c r="M28" s="4"/>
      <c r="N28" s="4"/>
      <c r="O28" s="4"/>
    </row>
    <row r="29" spans="1:15" s="26" customFormat="1">
      <c r="A29" s="930"/>
      <c r="B29" s="15" t="s">
        <v>72</v>
      </c>
      <c r="C29" s="258" t="s">
        <v>57</v>
      </c>
      <c r="D29" s="42">
        <v>36853</v>
      </c>
      <c r="E29" s="16">
        <v>37621</v>
      </c>
      <c r="F29" s="15">
        <v>450000000</v>
      </c>
      <c r="G29" s="15">
        <v>0</v>
      </c>
      <c r="H29" s="15"/>
      <c r="I29" s="15"/>
      <c r="J29" s="15"/>
      <c r="K29" s="232">
        <f t="shared" si="1"/>
        <v>0</v>
      </c>
      <c r="L29" s="258" t="s">
        <v>335</v>
      </c>
      <c r="M29" s="4"/>
      <c r="N29" s="4"/>
      <c r="O29" s="4"/>
    </row>
    <row r="30" spans="1:15" s="26" customFormat="1">
      <c r="A30" s="923" t="s">
        <v>689</v>
      </c>
      <c r="B30" s="923"/>
      <c r="C30" s="923"/>
      <c r="D30" s="923"/>
      <c r="E30" s="924"/>
      <c r="F30" s="15">
        <f>SUM(F21:F29)</f>
        <v>5242100000</v>
      </c>
      <c r="G30" s="15">
        <f>SUM(G21:G29)</f>
        <v>2497475100</v>
      </c>
      <c r="H30" s="15"/>
      <c r="I30" s="15"/>
      <c r="J30" s="15"/>
      <c r="K30" s="232"/>
      <c r="L30" s="258"/>
      <c r="M30" s="4"/>
      <c r="N30" s="4"/>
      <c r="O30" s="4"/>
    </row>
    <row r="31" spans="1:15" s="26" customFormat="1">
      <c r="A31" s="928" t="s">
        <v>701</v>
      </c>
      <c r="B31" s="15" t="s">
        <v>698</v>
      </c>
      <c r="C31" s="258" t="s">
        <v>57</v>
      </c>
      <c r="D31" s="42">
        <v>36552</v>
      </c>
      <c r="E31" s="16">
        <v>38405</v>
      </c>
      <c r="F31" s="15">
        <v>1600000000</v>
      </c>
      <c r="G31" s="15">
        <v>30000000</v>
      </c>
      <c r="H31" s="15"/>
      <c r="I31" s="15"/>
      <c r="J31" s="15"/>
      <c r="K31" s="232">
        <f t="shared" ref="K31:K44" si="2">+G31/F31</f>
        <v>1.8749999999999999E-2</v>
      </c>
      <c r="L31" s="258" t="s">
        <v>303</v>
      </c>
    </row>
    <row r="32" spans="1:15" s="26" customFormat="1">
      <c r="A32" s="929"/>
      <c r="B32" s="15" t="s">
        <v>68</v>
      </c>
      <c r="C32" s="258" t="s">
        <v>57</v>
      </c>
      <c r="D32" s="42">
        <v>36570</v>
      </c>
      <c r="E32" s="16">
        <v>38490</v>
      </c>
      <c r="F32" s="15">
        <v>600000000</v>
      </c>
      <c r="G32" s="15">
        <v>288000000</v>
      </c>
      <c r="H32" s="15"/>
      <c r="I32" s="15"/>
      <c r="J32" s="15"/>
      <c r="K32" s="232">
        <f t="shared" si="2"/>
        <v>0.48</v>
      </c>
      <c r="L32" s="258" t="s">
        <v>303</v>
      </c>
    </row>
    <row r="33" spans="1:15" s="26" customFormat="1">
      <c r="A33" s="929"/>
      <c r="B33" s="15" t="s">
        <v>58</v>
      </c>
      <c r="C33" s="258" t="s">
        <v>57</v>
      </c>
      <c r="D33" s="42">
        <v>36573</v>
      </c>
      <c r="E33" s="16">
        <v>36585</v>
      </c>
      <c r="F33" s="15">
        <v>1000300000</v>
      </c>
      <c r="G33" s="15">
        <v>1028880000</v>
      </c>
      <c r="H33" s="15"/>
      <c r="I33" s="15"/>
      <c r="J33" s="15"/>
      <c r="K33" s="232">
        <f t="shared" si="2"/>
        <v>1.0285714285714285</v>
      </c>
      <c r="L33" s="258" t="s">
        <v>303</v>
      </c>
    </row>
    <row r="34" spans="1:15" s="26" customFormat="1">
      <c r="A34" s="929"/>
      <c r="B34" s="15" t="s">
        <v>74</v>
      </c>
      <c r="C34" s="258" t="s">
        <v>57</v>
      </c>
      <c r="D34" s="42">
        <v>36599</v>
      </c>
      <c r="E34" s="16">
        <v>37197</v>
      </c>
      <c r="F34" s="15">
        <v>325000000</v>
      </c>
      <c r="G34" s="15">
        <v>930020000</v>
      </c>
      <c r="H34" s="15"/>
      <c r="I34" s="15"/>
      <c r="J34" s="15"/>
      <c r="K34" s="232">
        <f t="shared" si="2"/>
        <v>2.8616000000000001</v>
      </c>
      <c r="L34" s="258" t="s">
        <v>303</v>
      </c>
      <c r="M34" s="4"/>
      <c r="N34" s="4"/>
      <c r="O34" s="4"/>
    </row>
    <row r="35" spans="1:15" s="26" customFormat="1">
      <c r="A35" s="929"/>
      <c r="B35" s="15" t="s">
        <v>702</v>
      </c>
      <c r="C35" s="258" t="s">
        <v>57</v>
      </c>
      <c r="D35" s="42">
        <v>36622</v>
      </c>
      <c r="E35" s="16">
        <v>38586</v>
      </c>
      <c r="F35" s="15">
        <v>703500000</v>
      </c>
      <c r="G35" s="15">
        <v>150000000</v>
      </c>
      <c r="H35" s="15"/>
      <c r="I35" s="15"/>
      <c r="J35" s="15"/>
      <c r="K35" s="232">
        <f t="shared" si="2"/>
        <v>0.21321961620469082</v>
      </c>
      <c r="L35" s="258" t="s">
        <v>303</v>
      </c>
    </row>
    <row r="36" spans="1:15" s="26" customFormat="1">
      <c r="A36" s="929"/>
      <c r="B36" s="15" t="s">
        <v>703</v>
      </c>
      <c r="C36" s="258" t="s">
        <v>57</v>
      </c>
      <c r="D36" s="42">
        <v>36635</v>
      </c>
      <c r="E36" s="16">
        <v>38733</v>
      </c>
      <c r="F36" s="15">
        <v>325000000</v>
      </c>
      <c r="G36" s="15">
        <v>1000</v>
      </c>
      <c r="H36" s="15"/>
      <c r="I36" s="15"/>
      <c r="J36" s="15"/>
      <c r="K36" s="232">
        <f t="shared" si="2"/>
        <v>3.076923076923077E-6</v>
      </c>
      <c r="L36" s="258" t="s">
        <v>303</v>
      </c>
      <c r="M36" s="4"/>
      <c r="N36" s="4"/>
      <c r="O36" s="4"/>
    </row>
    <row r="37" spans="1:15" s="26" customFormat="1">
      <c r="A37" s="929"/>
      <c r="B37" s="15" t="s">
        <v>704</v>
      </c>
      <c r="C37" s="258" t="s">
        <v>57</v>
      </c>
      <c r="D37" s="42">
        <v>36654</v>
      </c>
      <c r="E37" s="16">
        <v>38733</v>
      </c>
      <c r="F37" s="15">
        <v>499995000</v>
      </c>
      <c r="G37" s="15">
        <v>1000</v>
      </c>
      <c r="H37" s="15"/>
      <c r="I37" s="15"/>
      <c r="J37" s="15"/>
      <c r="K37" s="232">
        <f t="shared" si="2"/>
        <v>2.0000200002000019E-6</v>
      </c>
      <c r="L37" s="258" t="s">
        <v>303</v>
      </c>
    </row>
    <row r="38" spans="1:15" s="26" customFormat="1">
      <c r="A38" s="929"/>
      <c r="B38" s="15" t="s">
        <v>80</v>
      </c>
      <c r="C38" s="258" t="s">
        <v>57</v>
      </c>
      <c r="D38" s="42">
        <v>36656</v>
      </c>
      <c r="E38" s="16">
        <v>38352</v>
      </c>
      <c r="F38" s="15">
        <v>497000000</v>
      </c>
      <c r="G38" s="15">
        <v>664173495</v>
      </c>
      <c r="H38" s="15"/>
      <c r="I38" s="15"/>
      <c r="J38" s="15"/>
      <c r="K38" s="232">
        <f t="shared" si="2"/>
        <v>1.3363651810865191</v>
      </c>
      <c r="L38" s="258" t="s">
        <v>303</v>
      </c>
    </row>
    <row r="39" spans="1:15">
      <c r="A39" s="929"/>
      <c r="B39" s="15" t="s">
        <v>694</v>
      </c>
      <c r="C39" s="258" t="s">
        <v>82</v>
      </c>
      <c r="D39" s="42">
        <v>36607</v>
      </c>
      <c r="E39" s="16">
        <v>37337</v>
      </c>
      <c r="F39" s="117">
        <v>1000000000</v>
      </c>
      <c r="G39" s="117">
        <v>1102500000</v>
      </c>
      <c r="H39" s="117"/>
      <c r="I39" s="117"/>
      <c r="J39" s="117"/>
      <c r="K39" s="232">
        <f t="shared" si="2"/>
        <v>1.1025</v>
      </c>
      <c r="L39" s="258" t="s">
        <v>303</v>
      </c>
    </row>
    <row r="40" spans="1:15">
      <c r="A40" s="929"/>
      <c r="B40" s="15" t="s">
        <v>84</v>
      </c>
      <c r="C40" s="258" t="s">
        <v>225</v>
      </c>
      <c r="D40" s="42">
        <v>37741</v>
      </c>
      <c r="E40" s="16">
        <v>38230</v>
      </c>
      <c r="F40" s="117">
        <v>725660000</v>
      </c>
      <c r="G40" s="117">
        <v>767045816</v>
      </c>
      <c r="H40" s="117"/>
      <c r="I40" s="117"/>
      <c r="J40" s="117"/>
      <c r="K40" s="232">
        <f t="shared" si="2"/>
        <v>1.0570319653832374</v>
      </c>
      <c r="L40" s="258" t="s">
        <v>303</v>
      </c>
      <c r="M40" s="26"/>
      <c r="N40" s="26"/>
      <c r="O40" s="26"/>
    </row>
    <row r="41" spans="1:15" s="26" customFormat="1">
      <c r="A41" s="929"/>
      <c r="B41" s="15" t="s">
        <v>234</v>
      </c>
      <c r="C41" s="258" t="s">
        <v>57</v>
      </c>
      <c r="D41" s="42">
        <v>37343</v>
      </c>
      <c r="E41" s="16">
        <v>38538</v>
      </c>
      <c r="F41" s="15">
        <v>299997000</v>
      </c>
      <c r="G41" s="15">
        <v>261664608</v>
      </c>
      <c r="H41" s="15"/>
      <c r="I41" s="15"/>
      <c r="J41" s="15"/>
      <c r="K41" s="232">
        <f t="shared" si="2"/>
        <v>0.87222408224082237</v>
      </c>
      <c r="L41" s="258" t="s">
        <v>303</v>
      </c>
    </row>
    <row r="42" spans="1:15" s="26" customFormat="1">
      <c r="A42" s="929"/>
      <c r="B42" s="15" t="s">
        <v>695</v>
      </c>
      <c r="C42" s="258" t="s">
        <v>57</v>
      </c>
      <c r="D42" s="42">
        <v>37935</v>
      </c>
      <c r="E42" s="16">
        <v>37973</v>
      </c>
      <c r="F42" s="15">
        <v>18600</v>
      </c>
      <c r="G42" s="15">
        <v>18420</v>
      </c>
      <c r="H42" s="15"/>
      <c r="I42" s="15"/>
      <c r="J42" s="15"/>
      <c r="K42" s="232">
        <f t="shared" si="2"/>
        <v>0.99032258064516132</v>
      </c>
      <c r="L42" s="258" t="s">
        <v>303</v>
      </c>
      <c r="M42" s="4"/>
      <c r="N42" s="4"/>
      <c r="O42" s="4"/>
    </row>
    <row r="43" spans="1:15" s="26" customFormat="1">
      <c r="A43" s="929"/>
      <c r="B43" s="15" t="s">
        <v>174</v>
      </c>
      <c r="C43" s="258" t="s">
        <v>57</v>
      </c>
      <c r="D43" s="42">
        <v>37935</v>
      </c>
      <c r="E43" s="16">
        <v>37973</v>
      </c>
      <c r="F43" s="15">
        <v>72800</v>
      </c>
      <c r="G43" s="15">
        <v>127400</v>
      </c>
      <c r="H43" s="15"/>
      <c r="I43" s="15"/>
      <c r="J43" s="15"/>
      <c r="K43" s="232">
        <f t="shared" si="2"/>
        <v>1.75</v>
      </c>
      <c r="L43" s="258" t="s">
        <v>303</v>
      </c>
      <c r="M43" s="4"/>
      <c r="N43" s="4"/>
      <c r="O43" s="4"/>
    </row>
    <row r="44" spans="1:15">
      <c r="A44" s="930"/>
      <c r="B44" s="15" t="s">
        <v>175</v>
      </c>
      <c r="C44" s="258" t="s">
        <v>57</v>
      </c>
      <c r="D44" s="42">
        <v>37928</v>
      </c>
      <c r="E44" s="16">
        <v>38351</v>
      </c>
      <c r="F44" s="117">
        <v>266000</v>
      </c>
      <c r="G44" s="117">
        <v>66230</v>
      </c>
      <c r="H44" s="117"/>
      <c r="I44" s="117"/>
      <c r="J44" s="117"/>
      <c r="K44" s="232">
        <f t="shared" si="2"/>
        <v>0.24898496240601503</v>
      </c>
      <c r="L44" s="258" t="s">
        <v>303</v>
      </c>
      <c r="M44" s="26"/>
      <c r="N44" s="26"/>
      <c r="O44" s="26"/>
    </row>
    <row r="45" spans="1:15">
      <c r="A45" s="923" t="s">
        <v>689</v>
      </c>
      <c r="B45" s="923"/>
      <c r="C45" s="923"/>
      <c r="D45" s="923"/>
      <c r="E45" s="924"/>
      <c r="F45" s="117">
        <f>SUM(F31:F44)</f>
        <v>7576809400</v>
      </c>
      <c r="G45" s="117">
        <f>SUM(G31:G44)</f>
        <v>5222497969</v>
      </c>
      <c r="H45" s="117"/>
      <c r="I45" s="117"/>
      <c r="J45" s="117"/>
      <c r="K45" s="232"/>
      <c r="L45" s="258"/>
      <c r="M45" s="26"/>
      <c r="N45" s="26"/>
      <c r="O45" s="26"/>
    </row>
    <row r="46" spans="1:15" s="26" customFormat="1">
      <c r="A46" s="928" t="s">
        <v>705</v>
      </c>
      <c r="B46" s="15" t="s">
        <v>89</v>
      </c>
      <c r="C46" s="258" t="s">
        <v>57</v>
      </c>
      <c r="D46" s="42">
        <v>36823</v>
      </c>
      <c r="E46" s="16">
        <v>38352</v>
      </c>
      <c r="F46" s="15">
        <v>934200000</v>
      </c>
      <c r="G46" s="15">
        <v>0</v>
      </c>
      <c r="H46" s="15"/>
      <c r="I46" s="15"/>
      <c r="J46" s="15"/>
      <c r="K46" s="232">
        <f t="shared" ref="K46:K103" si="3">+G46/F46</f>
        <v>0</v>
      </c>
      <c r="L46" s="258" t="s">
        <v>335</v>
      </c>
      <c r="M46" s="4"/>
      <c r="N46" s="4"/>
      <c r="O46" s="4"/>
    </row>
    <row r="47" spans="1:15" s="26" customFormat="1">
      <c r="A47" s="929"/>
      <c r="B47" s="15" t="s">
        <v>91</v>
      </c>
      <c r="C47" s="258" t="s">
        <v>57</v>
      </c>
      <c r="D47" s="42">
        <v>36600</v>
      </c>
      <c r="E47" s="16">
        <v>37965</v>
      </c>
      <c r="F47" s="15">
        <v>214150000</v>
      </c>
      <c r="G47" s="15">
        <v>124518300</v>
      </c>
      <c r="H47" s="15"/>
      <c r="I47" s="15"/>
      <c r="J47" s="15"/>
      <c r="K47" s="232">
        <f t="shared" si="3"/>
        <v>0.58145365398085458</v>
      </c>
      <c r="L47" s="258" t="s">
        <v>303</v>
      </c>
    </row>
    <row r="48" spans="1:15" s="26" customFormat="1">
      <c r="A48" s="929"/>
      <c r="B48" s="15" t="s">
        <v>92</v>
      </c>
      <c r="C48" s="258" t="s">
        <v>57</v>
      </c>
      <c r="D48" s="42">
        <v>36823</v>
      </c>
      <c r="E48" s="16">
        <v>37715</v>
      </c>
      <c r="F48" s="15">
        <v>300000000</v>
      </c>
      <c r="G48" s="15">
        <v>142000000</v>
      </c>
      <c r="H48" s="15"/>
      <c r="I48" s="15"/>
      <c r="J48" s="15"/>
      <c r="K48" s="232">
        <f t="shared" si="3"/>
        <v>0.47333333333333333</v>
      </c>
      <c r="L48" s="258" t="s">
        <v>303</v>
      </c>
    </row>
    <row r="49" spans="1:15" s="26" customFormat="1">
      <c r="A49" s="929"/>
      <c r="B49" s="15" t="s">
        <v>93</v>
      </c>
      <c r="C49" s="258" t="s">
        <v>57</v>
      </c>
      <c r="D49" s="42">
        <v>36823</v>
      </c>
      <c r="E49" s="16">
        <v>37013</v>
      </c>
      <c r="F49" s="15">
        <v>270000000</v>
      </c>
      <c r="G49" s="15">
        <v>270000000</v>
      </c>
      <c r="H49" s="15"/>
      <c r="I49" s="15"/>
      <c r="J49" s="15"/>
      <c r="K49" s="232">
        <f t="shared" si="3"/>
        <v>1</v>
      </c>
      <c r="L49" s="258" t="s">
        <v>303</v>
      </c>
      <c r="M49" s="4"/>
      <c r="N49" s="4"/>
      <c r="O49" s="4"/>
    </row>
    <row r="50" spans="1:15" s="26" customFormat="1">
      <c r="A50" s="929"/>
      <c r="B50" s="15" t="s">
        <v>94</v>
      </c>
      <c r="C50" s="258" t="s">
        <v>57</v>
      </c>
      <c r="D50" s="42">
        <v>36637</v>
      </c>
      <c r="E50" s="16">
        <v>38252</v>
      </c>
      <c r="F50" s="15">
        <v>882000000</v>
      </c>
      <c r="G50" s="15">
        <v>56354565</v>
      </c>
      <c r="H50" s="15"/>
      <c r="I50" s="15"/>
      <c r="J50" s="15"/>
      <c r="K50" s="232">
        <f t="shared" si="3"/>
        <v>6.3894064625850344E-2</v>
      </c>
      <c r="L50" s="258" t="s">
        <v>303</v>
      </c>
    </row>
    <row r="51" spans="1:15" s="26" customFormat="1">
      <c r="A51" s="929"/>
      <c r="B51" s="15" t="s">
        <v>95</v>
      </c>
      <c r="C51" s="258" t="s">
        <v>57</v>
      </c>
      <c r="D51" s="42">
        <v>36888</v>
      </c>
      <c r="E51" s="16">
        <v>38541</v>
      </c>
      <c r="F51" s="15">
        <v>499980000</v>
      </c>
      <c r="G51" s="15">
        <v>110260240</v>
      </c>
      <c r="H51" s="15"/>
      <c r="I51" s="15"/>
      <c r="J51" s="15"/>
      <c r="K51" s="232">
        <f t="shared" si="3"/>
        <v>0.22052930117204689</v>
      </c>
      <c r="L51" s="258" t="s">
        <v>303</v>
      </c>
    </row>
    <row r="52" spans="1:15" s="26" customFormat="1">
      <c r="A52" s="929"/>
      <c r="B52" s="15" t="s">
        <v>698</v>
      </c>
      <c r="C52" s="258" t="s">
        <v>57</v>
      </c>
      <c r="D52" s="42">
        <v>36552</v>
      </c>
      <c r="E52" s="16">
        <v>38541</v>
      </c>
      <c r="F52" s="15">
        <v>534640000</v>
      </c>
      <c r="G52" s="15">
        <v>10692720</v>
      </c>
      <c r="H52" s="15"/>
      <c r="I52" s="15"/>
      <c r="J52" s="15"/>
      <c r="K52" s="232">
        <f t="shared" si="3"/>
        <v>1.9999850366601825E-2</v>
      </c>
      <c r="L52" s="258" t="s">
        <v>303</v>
      </c>
    </row>
    <row r="53" spans="1:15" s="26" customFormat="1">
      <c r="A53" s="929"/>
      <c r="B53" s="15" t="s">
        <v>68</v>
      </c>
      <c r="C53" s="258" t="s">
        <v>57</v>
      </c>
      <c r="D53" s="42">
        <v>36570</v>
      </c>
      <c r="E53" s="16">
        <v>38541</v>
      </c>
      <c r="F53" s="15">
        <v>400000000</v>
      </c>
      <c r="G53" s="15">
        <v>400000000</v>
      </c>
      <c r="H53" s="15"/>
      <c r="I53" s="15"/>
      <c r="J53" s="15"/>
      <c r="K53" s="232">
        <f t="shared" si="3"/>
        <v>1</v>
      </c>
      <c r="L53" s="258" t="s">
        <v>303</v>
      </c>
    </row>
    <row r="54" spans="1:15" s="26" customFormat="1">
      <c r="A54" s="929"/>
      <c r="B54" s="15" t="s">
        <v>58</v>
      </c>
      <c r="C54" s="258" t="s">
        <v>57</v>
      </c>
      <c r="D54" s="42">
        <v>36573</v>
      </c>
      <c r="E54" s="16">
        <v>38352</v>
      </c>
      <c r="F54" s="15">
        <v>3283547000</v>
      </c>
      <c r="G54" s="15">
        <v>0</v>
      </c>
      <c r="H54" s="15"/>
      <c r="I54" s="15"/>
      <c r="J54" s="15"/>
      <c r="K54" s="232">
        <f t="shared" si="3"/>
        <v>0</v>
      </c>
      <c r="L54" s="258" t="s">
        <v>335</v>
      </c>
    </row>
    <row r="55" spans="1:15" s="26" customFormat="1">
      <c r="A55" s="929"/>
      <c r="B55" s="15" t="s">
        <v>97</v>
      </c>
      <c r="C55" s="258" t="s">
        <v>57</v>
      </c>
      <c r="D55" s="42">
        <v>36581</v>
      </c>
      <c r="E55" s="16">
        <v>38541</v>
      </c>
      <c r="F55" s="15">
        <v>1000000000</v>
      </c>
      <c r="G55" s="15">
        <v>1000</v>
      </c>
      <c r="H55" s="15"/>
      <c r="I55" s="15"/>
      <c r="J55" s="15"/>
      <c r="K55" s="232">
        <f t="shared" si="3"/>
        <v>9.9999999999999995E-7</v>
      </c>
      <c r="L55" s="258" t="s">
        <v>303</v>
      </c>
      <c r="M55" s="4"/>
      <c r="N55" s="4"/>
      <c r="O55" s="4"/>
    </row>
    <row r="56" spans="1:15" s="26" customFormat="1">
      <c r="A56" s="929"/>
      <c r="B56" s="15" t="s">
        <v>699</v>
      </c>
      <c r="C56" s="258" t="s">
        <v>57</v>
      </c>
      <c r="D56" s="42">
        <v>36622</v>
      </c>
      <c r="E56" s="16">
        <v>38541</v>
      </c>
      <c r="F56" s="15">
        <v>500100000</v>
      </c>
      <c r="G56" s="15">
        <v>101171000</v>
      </c>
      <c r="H56" s="15"/>
      <c r="I56" s="15"/>
      <c r="J56" s="15"/>
      <c r="K56" s="232">
        <f t="shared" si="3"/>
        <v>0.20230153969206158</v>
      </c>
      <c r="L56" s="258" t="s">
        <v>303</v>
      </c>
    </row>
    <row r="57" spans="1:15">
      <c r="A57" s="929"/>
      <c r="B57" s="15" t="s">
        <v>99</v>
      </c>
      <c r="C57" s="258" t="s">
        <v>57</v>
      </c>
      <c r="D57" s="42">
        <v>36623</v>
      </c>
      <c r="E57" s="16">
        <v>38541</v>
      </c>
      <c r="F57" s="117">
        <v>182000000</v>
      </c>
      <c r="G57" s="117">
        <v>1000</v>
      </c>
      <c r="H57" s="117"/>
      <c r="I57" s="117"/>
      <c r="J57" s="117"/>
      <c r="K57" s="232">
        <f t="shared" si="3"/>
        <v>5.4945054945054943E-6</v>
      </c>
      <c r="L57" s="258" t="s">
        <v>303</v>
      </c>
    </row>
    <row r="58" spans="1:15">
      <c r="A58" s="929"/>
      <c r="B58" s="16" t="s">
        <v>100</v>
      </c>
      <c r="C58" s="258" t="s">
        <v>57</v>
      </c>
      <c r="D58" s="42">
        <v>36662</v>
      </c>
      <c r="E58" s="16">
        <v>37405</v>
      </c>
      <c r="F58" s="117">
        <v>302500000</v>
      </c>
      <c r="G58" s="117">
        <v>625287815</v>
      </c>
      <c r="H58" s="117"/>
      <c r="I58" s="117"/>
      <c r="J58" s="117"/>
      <c r="K58" s="232">
        <f t="shared" si="3"/>
        <v>2.0670671570247934</v>
      </c>
      <c r="L58" s="258" t="s">
        <v>303</v>
      </c>
      <c r="M58" s="26"/>
      <c r="N58" s="26"/>
      <c r="O58" s="26"/>
    </row>
    <row r="59" spans="1:15">
      <c r="A59" s="929"/>
      <c r="B59" s="15" t="s">
        <v>694</v>
      </c>
      <c r="C59" s="258" t="s">
        <v>82</v>
      </c>
      <c r="D59" s="42">
        <v>36607</v>
      </c>
      <c r="E59" s="16">
        <v>37337</v>
      </c>
      <c r="F59" s="117">
        <v>1000000000</v>
      </c>
      <c r="G59" s="117">
        <v>1102500000</v>
      </c>
      <c r="H59" s="117"/>
      <c r="I59" s="117"/>
      <c r="J59" s="117"/>
      <c r="K59" s="232">
        <f t="shared" si="3"/>
        <v>1.1025</v>
      </c>
      <c r="L59" s="258" t="s">
        <v>303</v>
      </c>
    </row>
    <row r="60" spans="1:15">
      <c r="A60" s="929"/>
      <c r="B60" s="15" t="s">
        <v>101</v>
      </c>
      <c r="C60" s="258" t="s">
        <v>102</v>
      </c>
      <c r="D60" s="42">
        <v>36839</v>
      </c>
      <c r="E60" s="16">
        <v>37208</v>
      </c>
      <c r="F60" s="117">
        <v>341100000</v>
      </c>
      <c r="G60" s="117">
        <v>412099800</v>
      </c>
      <c r="H60" s="117"/>
      <c r="I60" s="117"/>
      <c r="J60" s="117"/>
      <c r="K60" s="232">
        <f t="shared" si="3"/>
        <v>1.2081495162708884</v>
      </c>
      <c r="L60" s="258" t="s">
        <v>303</v>
      </c>
    </row>
    <row r="61" spans="1:15" s="26" customFormat="1">
      <c r="A61" s="929"/>
      <c r="B61" s="15" t="s">
        <v>72</v>
      </c>
      <c r="C61" s="258" t="s">
        <v>57</v>
      </c>
      <c r="D61" s="42">
        <v>36853</v>
      </c>
      <c r="E61" s="16">
        <v>38541</v>
      </c>
      <c r="F61" s="15">
        <v>300000000</v>
      </c>
      <c r="G61" s="15">
        <v>1000</v>
      </c>
      <c r="H61" s="15"/>
      <c r="I61" s="15"/>
      <c r="J61" s="15"/>
      <c r="K61" s="232">
        <f t="shared" si="3"/>
        <v>3.3333333333333333E-6</v>
      </c>
      <c r="L61" s="258" t="s">
        <v>303</v>
      </c>
      <c r="M61" s="4"/>
      <c r="N61" s="4"/>
      <c r="O61" s="4"/>
    </row>
    <row r="62" spans="1:15" s="26" customFormat="1">
      <c r="A62" s="929"/>
      <c r="B62" s="15" t="s">
        <v>103</v>
      </c>
      <c r="C62" s="258" t="s">
        <v>57</v>
      </c>
      <c r="D62" s="42">
        <v>37291</v>
      </c>
      <c r="E62" s="16">
        <v>37708</v>
      </c>
      <c r="F62" s="15">
        <v>100000000</v>
      </c>
      <c r="G62" s="15">
        <v>100000000</v>
      </c>
      <c r="H62" s="15"/>
      <c r="I62" s="15"/>
      <c r="J62" s="15"/>
      <c r="K62" s="232">
        <f t="shared" si="3"/>
        <v>1</v>
      </c>
      <c r="L62" s="258" t="s">
        <v>303</v>
      </c>
      <c r="M62" s="4"/>
      <c r="N62" s="4"/>
      <c r="O62" s="4"/>
    </row>
    <row r="63" spans="1:15">
      <c r="A63" s="929"/>
      <c r="B63" s="15" t="s">
        <v>104</v>
      </c>
      <c r="C63" s="258" t="s">
        <v>57</v>
      </c>
      <c r="D63" s="42">
        <v>37291</v>
      </c>
      <c r="E63" s="16">
        <v>37708</v>
      </c>
      <c r="F63" s="117">
        <v>27765000</v>
      </c>
      <c r="G63" s="117">
        <v>31060000</v>
      </c>
      <c r="H63" s="117"/>
      <c r="I63" s="117"/>
      <c r="J63" s="117"/>
      <c r="K63" s="232">
        <f t="shared" si="3"/>
        <v>1.1186745903115434</v>
      </c>
      <c r="L63" s="258" t="s">
        <v>303</v>
      </c>
      <c r="M63" s="26"/>
      <c r="N63" s="26"/>
      <c r="O63" s="26"/>
    </row>
    <row r="64" spans="1:15">
      <c r="A64" s="929"/>
      <c r="B64" s="15" t="s">
        <v>105</v>
      </c>
      <c r="C64" s="258" t="s">
        <v>57</v>
      </c>
      <c r="D64" s="42">
        <v>37291</v>
      </c>
      <c r="E64" s="16">
        <v>37708</v>
      </c>
      <c r="F64" s="117">
        <v>50000000</v>
      </c>
      <c r="G64" s="117">
        <v>50000000</v>
      </c>
      <c r="H64" s="117"/>
      <c r="I64" s="117"/>
      <c r="J64" s="117"/>
      <c r="K64" s="232">
        <f t="shared" si="3"/>
        <v>1</v>
      </c>
      <c r="L64" s="258" t="s">
        <v>303</v>
      </c>
    </row>
    <row r="65" spans="1:15">
      <c r="A65" s="929"/>
      <c r="B65" s="15" t="s">
        <v>106</v>
      </c>
      <c r="C65" s="258" t="s">
        <v>57</v>
      </c>
      <c r="D65" s="42">
        <v>37292</v>
      </c>
      <c r="E65" s="16">
        <v>37708</v>
      </c>
      <c r="F65" s="117">
        <v>50000000</v>
      </c>
      <c r="G65" s="117">
        <v>52000000</v>
      </c>
      <c r="H65" s="117"/>
      <c r="I65" s="117"/>
      <c r="J65" s="117"/>
      <c r="K65" s="232">
        <f>+G65/F65</f>
        <v>1.04</v>
      </c>
      <c r="L65" s="258" t="s">
        <v>303</v>
      </c>
    </row>
    <row r="66" spans="1:15" s="26" customFormat="1">
      <c r="A66" s="929"/>
      <c r="B66" s="15" t="s">
        <v>107</v>
      </c>
      <c r="C66" s="258" t="s">
        <v>57</v>
      </c>
      <c r="D66" s="42">
        <v>37291</v>
      </c>
      <c r="E66" s="16">
        <v>37708</v>
      </c>
      <c r="F66" s="15">
        <v>50000000</v>
      </c>
      <c r="G66" s="15">
        <v>52026000</v>
      </c>
      <c r="H66" s="15"/>
      <c r="I66" s="15"/>
      <c r="J66" s="15"/>
      <c r="K66" s="232">
        <f t="shared" si="3"/>
        <v>1.0405199999999999</v>
      </c>
      <c r="L66" s="258" t="s">
        <v>303</v>
      </c>
      <c r="M66" s="4"/>
      <c r="N66" s="4"/>
      <c r="O66" s="4"/>
    </row>
    <row r="67" spans="1:15" s="26" customFormat="1">
      <c r="A67" s="929"/>
      <c r="B67" s="15" t="s">
        <v>108</v>
      </c>
      <c r="C67" s="258" t="s">
        <v>57</v>
      </c>
      <c r="D67" s="42">
        <v>37329</v>
      </c>
      <c r="E67" s="16">
        <v>38541</v>
      </c>
      <c r="F67" s="15">
        <v>300000000</v>
      </c>
      <c r="G67" s="15">
        <v>1000</v>
      </c>
      <c r="H67" s="15"/>
      <c r="I67" s="15"/>
      <c r="J67" s="15"/>
      <c r="K67" s="232">
        <f t="shared" si="3"/>
        <v>3.3333333333333333E-6</v>
      </c>
      <c r="L67" s="258" t="s">
        <v>303</v>
      </c>
      <c r="M67" s="4"/>
      <c r="N67" s="4"/>
      <c r="O67" s="4"/>
    </row>
    <row r="68" spans="1:15" s="26" customFormat="1">
      <c r="A68" s="929"/>
      <c r="B68" s="15" t="s">
        <v>109</v>
      </c>
      <c r="C68" s="258" t="s">
        <v>82</v>
      </c>
      <c r="D68" s="42">
        <v>37330</v>
      </c>
      <c r="E68" s="16">
        <v>38541</v>
      </c>
      <c r="F68" s="15">
        <v>400000000</v>
      </c>
      <c r="G68" s="15">
        <v>149271000</v>
      </c>
      <c r="H68" s="15"/>
      <c r="I68" s="15"/>
      <c r="J68" s="15"/>
      <c r="K68" s="232">
        <f t="shared" si="3"/>
        <v>0.3731775</v>
      </c>
      <c r="L68" s="258" t="s">
        <v>303</v>
      </c>
    </row>
    <row r="69" spans="1:15">
      <c r="A69" s="929"/>
      <c r="B69" s="15" t="s">
        <v>110</v>
      </c>
      <c r="C69" s="258" t="s">
        <v>57</v>
      </c>
      <c r="D69" s="42">
        <v>37293</v>
      </c>
      <c r="E69" s="16">
        <v>37708</v>
      </c>
      <c r="F69" s="117">
        <v>59400000</v>
      </c>
      <c r="G69" s="117">
        <v>66000000</v>
      </c>
      <c r="H69" s="117"/>
      <c r="I69" s="117"/>
      <c r="J69" s="117"/>
      <c r="K69" s="232">
        <f t="shared" si="3"/>
        <v>1.1111111111111112</v>
      </c>
      <c r="L69" s="258" t="s">
        <v>303</v>
      </c>
    </row>
    <row r="70" spans="1:15" s="26" customFormat="1">
      <c r="A70" s="929"/>
      <c r="B70" s="15" t="s">
        <v>111</v>
      </c>
      <c r="C70" s="258" t="s">
        <v>57</v>
      </c>
      <c r="D70" s="42">
        <v>37313</v>
      </c>
      <c r="E70" s="16">
        <v>37350</v>
      </c>
      <c r="F70" s="15">
        <v>25000000</v>
      </c>
      <c r="G70" s="15">
        <v>33250000</v>
      </c>
      <c r="H70" s="15"/>
      <c r="I70" s="15"/>
      <c r="J70" s="15"/>
      <c r="K70" s="232">
        <f t="shared" si="3"/>
        <v>1.33</v>
      </c>
      <c r="L70" s="258" t="s">
        <v>303</v>
      </c>
      <c r="M70" s="4"/>
      <c r="N70" s="4"/>
      <c r="O70" s="4"/>
    </row>
    <row r="71" spans="1:15" s="26" customFormat="1">
      <c r="A71" s="930"/>
      <c r="B71" s="15" t="s">
        <v>112</v>
      </c>
      <c r="C71" s="258" t="s">
        <v>57</v>
      </c>
      <c r="D71" s="42">
        <v>37305</v>
      </c>
      <c r="E71" s="16">
        <v>37678</v>
      </c>
      <c r="F71" s="15">
        <v>20000000</v>
      </c>
      <c r="G71" s="15">
        <v>28000000</v>
      </c>
      <c r="H71" s="15"/>
      <c r="I71" s="15"/>
      <c r="J71" s="15"/>
      <c r="K71" s="232">
        <f t="shared" si="3"/>
        <v>1.4</v>
      </c>
      <c r="L71" s="258" t="s">
        <v>303</v>
      </c>
      <c r="M71" s="4"/>
      <c r="N71" s="4"/>
      <c r="O71" s="4"/>
    </row>
    <row r="72" spans="1:15" s="26" customFormat="1">
      <c r="A72" s="923" t="s">
        <v>689</v>
      </c>
      <c r="B72" s="923"/>
      <c r="C72" s="923"/>
      <c r="D72" s="923"/>
      <c r="E72" s="924"/>
      <c r="F72" s="15">
        <f>SUM(F46:F71)</f>
        <v>12026382000</v>
      </c>
      <c r="G72" s="15">
        <f>SUM(G46:G71)</f>
        <v>3916495440</v>
      </c>
      <c r="H72" s="15"/>
      <c r="I72" s="15"/>
      <c r="J72" s="15"/>
      <c r="K72" s="232"/>
      <c r="L72" s="258"/>
      <c r="M72" s="4"/>
      <c r="N72" s="4"/>
      <c r="O72" s="4"/>
    </row>
    <row r="73" spans="1:15" s="26" customFormat="1">
      <c r="A73" s="928" t="s">
        <v>706</v>
      </c>
      <c r="B73" s="15" t="s">
        <v>114</v>
      </c>
      <c r="C73" s="258" t="s">
        <v>57</v>
      </c>
      <c r="D73" s="42">
        <v>36558</v>
      </c>
      <c r="E73" s="16">
        <v>38383</v>
      </c>
      <c r="F73" s="15">
        <v>900000000</v>
      </c>
      <c r="G73" s="15">
        <v>542160000</v>
      </c>
      <c r="H73" s="15"/>
      <c r="I73" s="15"/>
      <c r="J73" s="15"/>
      <c r="K73" s="232">
        <f t="shared" si="3"/>
        <v>0.60240000000000005</v>
      </c>
      <c r="L73" s="258" t="s">
        <v>303</v>
      </c>
      <c r="M73" s="4"/>
      <c r="N73" s="4"/>
      <c r="O73" s="4"/>
    </row>
    <row r="74" spans="1:15">
      <c r="A74" s="929"/>
      <c r="B74" s="15" t="s">
        <v>116</v>
      </c>
      <c r="C74" s="258" t="s">
        <v>57</v>
      </c>
      <c r="D74" s="42">
        <v>36581</v>
      </c>
      <c r="E74" s="16">
        <v>38511</v>
      </c>
      <c r="F74" s="117">
        <v>80000000</v>
      </c>
      <c r="G74" s="117">
        <v>1000</v>
      </c>
      <c r="H74" s="117"/>
      <c r="I74" s="117"/>
      <c r="J74" s="117"/>
      <c r="K74" s="232">
        <f t="shared" si="3"/>
        <v>1.2500000000000001E-5</v>
      </c>
      <c r="L74" s="258" t="s">
        <v>303</v>
      </c>
    </row>
    <row r="75" spans="1:15">
      <c r="A75" s="929"/>
      <c r="B75" s="15" t="s">
        <v>117</v>
      </c>
      <c r="C75" s="258" t="s">
        <v>57</v>
      </c>
      <c r="D75" s="42">
        <v>37474</v>
      </c>
      <c r="E75" s="16">
        <v>38383</v>
      </c>
      <c r="F75" s="117">
        <v>550019964</v>
      </c>
      <c r="G75" s="117">
        <v>0</v>
      </c>
      <c r="H75" s="117"/>
      <c r="I75" s="117"/>
      <c r="J75" s="117"/>
      <c r="K75" s="232">
        <f t="shared" si="3"/>
        <v>0</v>
      </c>
      <c r="L75" s="258" t="s">
        <v>335</v>
      </c>
    </row>
    <row r="76" spans="1:15">
      <c r="A76" s="929"/>
      <c r="B76" s="15" t="s">
        <v>695</v>
      </c>
      <c r="C76" s="258" t="s">
        <v>57</v>
      </c>
      <c r="D76" s="42">
        <v>37935</v>
      </c>
      <c r="E76" s="16">
        <v>37973</v>
      </c>
      <c r="F76" s="117">
        <v>18600</v>
      </c>
      <c r="G76" s="117">
        <v>18440</v>
      </c>
      <c r="H76" s="117"/>
      <c r="I76" s="117"/>
      <c r="J76" s="117"/>
      <c r="K76" s="232">
        <f t="shared" si="3"/>
        <v>0.99139784946236564</v>
      </c>
      <c r="L76" s="258" t="s">
        <v>303</v>
      </c>
    </row>
    <row r="77" spans="1:15">
      <c r="A77" s="929"/>
      <c r="B77" s="15" t="s">
        <v>174</v>
      </c>
      <c r="C77" s="258" t="s">
        <v>57</v>
      </c>
      <c r="D77" s="42">
        <v>37935</v>
      </c>
      <c r="E77" s="16">
        <v>37973</v>
      </c>
      <c r="F77" s="117">
        <v>72800</v>
      </c>
      <c r="G77" s="117">
        <v>127530</v>
      </c>
      <c r="H77" s="117"/>
      <c r="I77" s="117"/>
      <c r="J77" s="117"/>
      <c r="K77" s="232">
        <f t="shared" si="3"/>
        <v>1.7517857142857143</v>
      </c>
      <c r="L77" s="258" t="s">
        <v>303</v>
      </c>
    </row>
    <row r="78" spans="1:15" s="26" customFormat="1">
      <c r="A78" s="930"/>
      <c r="B78" s="15" t="s">
        <v>175</v>
      </c>
      <c r="C78" s="258" t="s">
        <v>57</v>
      </c>
      <c r="D78" s="42">
        <v>37928</v>
      </c>
      <c r="E78" s="16">
        <v>38351</v>
      </c>
      <c r="F78" s="15">
        <v>392000</v>
      </c>
      <c r="G78" s="15">
        <v>97590</v>
      </c>
      <c r="H78" s="15"/>
      <c r="I78" s="15"/>
      <c r="J78" s="15"/>
      <c r="K78" s="232">
        <f t="shared" si="3"/>
        <v>0.24895408163265306</v>
      </c>
      <c r="L78" s="258" t="s">
        <v>303</v>
      </c>
    </row>
    <row r="79" spans="1:15" s="26" customFormat="1">
      <c r="A79" s="923" t="s">
        <v>689</v>
      </c>
      <c r="B79" s="923"/>
      <c r="C79" s="923"/>
      <c r="D79" s="923"/>
      <c r="E79" s="924"/>
      <c r="F79" s="15">
        <f>SUM(F73:F78)</f>
        <v>1530503364</v>
      </c>
      <c r="G79" s="15">
        <f>SUM(G73:G78)</f>
        <v>542404560</v>
      </c>
      <c r="H79" s="15"/>
      <c r="I79" s="15"/>
      <c r="J79" s="15"/>
      <c r="K79" s="232"/>
      <c r="L79" s="258"/>
    </row>
    <row r="80" spans="1:15" s="26" customFormat="1">
      <c r="A80" s="928" t="s">
        <v>707</v>
      </c>
      <c r="B80" s="15" t="s">
        <v>105</v>
      </c>
      <c r="C80" s="258" t="s">
        <v>57</v>
      </c>
      <c r="D80" s="42">
        <v>36714</v>
      </c>
      <c r="E80" s="16">
        <v>38730</v>
      </c>
      <c r="F80" s="15">
        <v>200000000</v>
      </c>
      <c r="G80" s="15">
        <v>2000000</v>
      </c>
      <c r="H80" s="15"/>
      <c r="I80" s="15"/>
      <c r="J80" s="15"/>
      <c r="K80" s="232">
        <f t="shared" si="3"/>
        <v>0.01</v>
      </c>
      <c r="L80" s="258" t="s">
        <v>303</v>
      </c>
    </row>
    <row r="81" spans="1:15" s="26" customFormat="1">
      <c r="A81" s="929"/>
      <c r="B81" s="15" t="s">
        <v>119</v>
      </c>
      <c r="C81" s="258" t="s">
        <v>82</v>
      </c>
      <c r="D81" s="42">
        <v>36889</v>
      </c>
      <c r="E81" s="16">
        <v>37620</v>
      </c>
      <c r="F81" s="15">
        <v>1000000000</v>
      </c>
      <c r="G81" s="15">
        <v>1199025000</v>
      </c>
      <c r="H81" s="15"/>
      <c r="I81" s="15"/>
      <c r="J81" s="15"/>
      <c r="K81" s="232">
        <f t="shared" si="3"/>
        <v>1.199025</v>
      </c>
      <c r="L81" s="258" t="s">
        <v>303</v>
      </c>
    </row>
    <row r="82" spans="1:15" s="26" customFormat="1">
      <c r="A82" s="929"/>
      <c r="B82" s="15" t="s">
        <v>116</v>
      </c>
      <c r="C82" s="258" t="s">
        <v>57</v>
      </c>
      <c r="D82" s="42">
        <v>36581</v>
      </c>
      <c r="E82" s="16">
        <v>38733</v>
      </c>
      <c r="F82" s="15">
        <v>500000000</v>
      </c>
      <c r="G82" s="15">
        <v>1000</v>
      </c>
      <c r="H82" s="15"/>
      <c r="I82" s="15"/>
      <c r="J82" s="15"/>
      <c r="K82" s="232">
        <f t="shared" si="3"/>
        <v>1.9999999999999999E-6</v>
      </c>
      <c r="L82" s="258" t="s">
        <v>303</v>
      </c>
      <c r="M82" s="4"/>
      <c r="N82" s="4"/>
      <c r="O82" s="4"/>
    </row>
    <row r="83" spans="1:15" s="26" customFormat="1">
      <c r="A83" s="929"/>
      <c r="B83" s="15" t="s">
        <v>120</v>
      </c>
      <c r="C83" s="258" t="s">
        <v>57</v>
      </c>
      <c r="D83" s="42">
        <v>36595</v>
      </c>
      <c r="E83" s="16">
        <v>38733</v>
      </c>
      <c r="F83" s="15">
        <v>500000000</v>
      </c>
      <c r="G83" s="15">
        <v>1000</v>
      </c>
      <c r="H83" s="15"/>
      <c r="I83" s="15"/>
      <c r="J83" s="15"/>
      <c r="K83" s="232">
        <f t="shared" si="3"/>
        <v>1.9999999999999999E-6</v>
      </c>
      <c r="L83" s="258" t="s">
        <v>303</v>
      </c>
    </row>
    <row r="84" spans="1:15" s="26" customFormat="1">
      <c r="A84" s="929"/>
      <c r="B84" s="15" t="s">
        <v>121</v>
      </c>
      <c r="C84" s="258" t="s">
        <v>57</v>
      </c>
      <c r="D84" s="42">
        <v>36606</v>
      </c>
      <c r="E84" s="16">
        <v>38733</v>
      </c>
      <c r="F84" s="15">
        <v>120000000</v>
      </c>
      <c r="G84" s="15">
        <v>1000</v>
      </c>
      <c r="H84" s="15"/>
      <c r="I84" s="15"/>
      <c r="J84" s="15"/>
      <c r="K84" s="232">
        <f t="shared" si="3"/>
        <v>8.3333333333333337E-6</v>
      </c>
      <c r="L84" s="258" t="s">
        <v>303</v>
      </c>
    </row>
    <row r="85" spans="1:15" s="26" customFormat="1">
      <c r="A85" s="929"/>
      <c r="B85" s="15" t="s">
        <v>122</v>
      </c>
      <c r="C85" s="258" t="s">
        <v>57</v>
      </c>
      <c r="D85" s="42">
        <v>36612</v>
      </c>
      <c r="E85" s="16">
        <v>38733</v>
      </c>
      <c r="F85" s="15">
        <v>402000000</v>
      </c>
      <c r="G85" s="15">
        <v>1000</v>
      </c>
      <c r="H85" s="15"/>
      <c r="I85" s="15"/>
      <c r="J85" s="15"/>
      <c r="K85" s="232">
        <f t="shared" si="3"/>
        <v>2.4875621890547264E-6</v>
      </c>
      <c r="L85" s="258" t="s">
        <v>303</v>
      </c>
    </row>
    <row r="86" spans="1:15" s="26" customFormat="1">
      <c r="A86" s="929"/>
      <c r="B86" s="15" t="s">
        <v>699</v>
      </c>
      <c r="C86" s="258" t="s">
        <v>57</v>
      </c>
      <c r="D86" s="42">
        <v>36620</v>
      </c>
      <c r="E86" s="16">
        <v>38733</v>
      </c>
      <c r="F86" s="15">
        <v>501000000</v>
      </c>
      <c r="G86" s="15">
        <v>165000</v>
      </c>
      <c r="H86" s="15"/>
      <c r="I86" s="15"/>
      <c r="J86" s="15"/>
      <c r="K86" s="232">
        <f t="shared" si="3"/>
        <v>3.2934131736526946E-4</v>
      </c>
      <c r="L86" s="258" t="s">
        <v>303</v>
      </c>
    </row>
    <row r="87" spans="1:15" s="26" customFormat="1">
      <c r="A87" s="929"/>
      <c r="B87" s="15" t="s">
        <v>123</v>
      </c>
      <c r="C87" s="258" t="s">
        <v>57</v>
      </c>
      <c r="D87" s="42">
        <v>36699</v>
      </c>
      <c r="E87" s="16">
        <v>38733</v>
      </c>
      <c r="F87" s="15">
        <v>504000000</v>
      </c>
      <c r="G87" s="15">
        <v>165000</v>
      </c>
      <c r="H87" s="15"/>
      <c r="I87" s="15"/>
      <c r="J87" s="15"/>
      <c r="K87" s="232">
        <f t="shared" si="3"/>
        <v>3.2738095238095237E-4</v>
      </c>
      <c r="L87" s="258" t="s">
        <v>303</v>
      </c>
    </row>
    <row r="88" spans="1:15">
      <c r="A88" s="929"/>
      <c r="B88" s="15" t="s">
        <v>124</v>
      </c>
      <c r="C88" s="258" t="s">
        <v>57</v>
      </c>
      <c r="D88" s="42">
        <v>36600</v>
      </c>
      <c r="E88" s="16">
        <v>37636</v>
      </c>
      <c r="F88" s="117">
        <v>509950000</v>
      </c>
      <c r="G88" s="117">
        <v>181789993</v>
      </c>
      <c r="H88" s="117"/>
      <c r="I88" s="117"/>
      <c r="J88" s="117"/>
      <c r="K88" s="232">
        <f t="shared" si="3"/>
        <v>0.35648591626630061</v>
      </c>
      <c r="L88" s="258" t="s">
        <v>303</v>
      </c>
      <c r="M88" s="26"/>
      <c r="N88" s="26"/>
      <c r="O88" s="26"/>
    </row>
    <row r="89" spans="1:15">
      <c r="A89" s="929"/>
      <c r="B89" s="15" t="s">
        <v>1</v>
      </c>
      <c r="C89" s="258" t="s">
        <v>57</v>
      </c>
      <c r="D89" s="42">
        <v>36797</v>
      </c>
      <c r="E89" s="16">
        <v>36819</v>
      </c>
      <c r="F89" s="117">
        <v>84686000</v>
      </c>
      <c r="G89" s="117">
        <v>120980000</v>
      </c>
      <c r="H89" s="117"/>
      <c r="I89" s="117"/>
      <c r="J89" s="117"/>
      <c r="K89" s="232">
        <f t="shared" si="3"/>
        <v>1.4285714285714286</v>
      </c>
      <c r="L89" s="258" t="s">
        <v>303</v>
      </c>
    </row>
    <row r="90" spans="1:15" s="26" customFormat="1">
      <c r="A90" s="929"/>
      <c r="B90" s="15" t="s">
        <v>95</v>
      </c>
      <c r="C90" s="258" t="s">
        <v>57</v>
      </c>
      <c r="D90" s="42">
        <v>36899</v>
      </c>
      <c r="E90" s="16">
        <v>39322</v>
      </c>
      <c r="F90" s="15">
        <v>266280000</v>
      </c>
      <c r="G90" s="15">
        <v>73174422</v>
      </c>
      <c r="H90" s="15"/>
      <c r="I90" s="15"/>
      <c r="J90" s="15"/>
      <c r="K90" s="232">
        <f t="shared" si="3"/>
        <v>0.27480254619197836</v>
      </c>
      <c r="L90" s="258" t="s">
        <v>303</v>
      </c>
    </row>
    <row r="91" spans="1:15">
      <c r="A91" s="929"/>
      <c r="B91" s="15" t="s">
        <v>127</v>
      </c>
      <c r="C91" s="258" t="s">
        <v>57</v>
      </c>
      <c r="D91" s="42">
        <v>37057</v>
      </c>
      <c r="E91" s="16">
        <v>38733</v>
      </c>
      <c r="F91" s="117">
        <v>500000000</v>
      </c>
      <c r="G91" s="117">
        <v>165000</v>
      </c>
      <c r="H91" s="117"/>
      <c r="I91" s="117"/>
      <c r="J91" s="117"/>
      <c r="K91" s="232">
        <f t="shared" si="3"/>
        <v>3.3E-4</v>
      </c>
      <c r="L91" s="258" t="s">
        <v>303</v>
      </c>
      <c r="M91" s="26"/>
      <c r="N91" s="26"/>
      <c r="O91" s="26"/>
    </row>
    <row r="92" spans="1:15" s="26" customFormat="1">
      <c r="A92" s="929"/>
      <c r="B92" s="15" t="s">
        <v>128</v>
      </c>
      <c r="C92" s="258" t="s">
        <v>82</v>
      </c>
      <c r="D92" s="42">
        <v>37223</v>
      </c>
      <c r="E92" s="16">
        <v>37833</v>
      </c>
      <c r="F92" s="15">
        <v>200000000</v>
      </c>
      <c r="G92" s="15">
        <v>210131507</v>
      </c>
      <c r="H92" s="15"/>
      <c r="I92" s="15"/>
      <c r="J92" s="15"/>
      <c r="K92" s="232">
        <f t="shared" si="3"/>
        <v>1.050657535</v>
      </c>
      <c r="L92" s="258" t="s">
        <v>303</v>
      </c>
      <c r="M92" s="4"/>
      <c r="N92" s="4"/>
      <c r="O92" s="4"/>
    </row>
    <row r="93" spans="1:15" s="26" customFormat="1">
      <c r="A93" s="929"/>
      <c r="B93" s="15" t="s">
        <v>129</v>
      </c>
      <c r="C93" s="258" t="s">
        <v>57</v>
      </c>
      <c r="D93" s="42">
        <v>37984</v>
      </c>
      <c r="E93" s="16">
        <v>38202</v>
      </c>
      <c r="F93" s="15">
        <v>6285000</v>
      </c>
      <c r="G93" s="15">
        <v>77353266</v>
      </c>
      <c r="H93" s="15"/>
      <c r="I93" s="15"/>
      <c r="J93" s="15"/>
      <c r="K93" s="232">
        <f t="shared" si="3"/>
        <v>12.307600000000001</v>
      </c>
      <c r="L93" s="258" t="s">
        <v>303</v>
      </c>
    </row>
    <row r="94" spans="1:15">
      <c r="A94" s="929"/>
      <c r="B94" s="15" t="s">
        <v>130</v>
      </c>
      <c r="C94" s="258" t="s">
        <v>225</v>
      </c>
      <c r="D94" s="42">
        <v>38324</v>
      </c>
      <c r="E94" s="16">
        <v>38533</v>
      </c>
      <c r="F94" s="117">
        <v>249520000</v>
      </c>
      <c r="G94" s="117">
        <v>209071165</v>
      </c>
      <c r="H94" s="117"/>
      <c r="I94" s="117"/>
      <c r="J94" s="117"/>
      <c r="K94" s="232">
        <f t="shared" si="3"/>
        <v>0.8378934153574864</v>
      </c>
      <c r="L94" s="258" t="s">
        <v>303</v>
      </c>
    </row>
    <row r="95" spans="1:15" s="26" customFormat="1">
      <c r="A95" s="929"/>
      <c r="B95" s="15" t="s">
        <v>131</v>
      </c>
      <c r="C95" s="258" t="s">
        <v>57</v>
      </c>
      <c r="D95" s="42">
        <v>37935</v>
      </c>
      <c r="E95" s="16">
        <v>38352</v>
      </c>
      <c r="F95" s="15">
        <v>300000000</v>
      </c>
      <c r="G95" s="15">
        <v>176500000</v>
      </c>
      <c r="H95" s="15"/>
      <c r="I95" s="15"/>
      <c r="J95" s="15"/>
      <c r="K95" s="232">
        <f t="shared" si="3"/>
        <v>0.58833333333333337</v>
      </c>
      <c r="L95" s="258" t="s">
        <v>303</v>
      </c>
    </row>
    <row r="96" spans="1:15" s="26" customFormat="1">
      <c r="A96" s="929"/>
      <c r="B96" s="15" t="s">
        <v>695</v>
      </c>
      <c r="C96" s="258" t="s">
        <v>57</v>
      </c>
      <c r="D96" s="42">
        <v>37935</v>
      </c>
      <c r="E96" s="16">
        <v>37973</v>
      </c>
      <c r="F96" s="15">
        <v>18600</v>
      </c>
      <c r="G96" s="15">
        <v>18390</v>
      </c>
      <c r="H96" s="15"/>
      <c r="I96" s="15"/>
      <c r="J96" s="15"/>
      <c r="K96" s="232">
        <f t="shared" si="3"/>
        <v>0.98870967741935489</v>
      </c>
      <c r="L96" s="258" t="s">
        <v>303</v>
      </c>
      <c r="M96" s="4"/>
      <c r="N96" s="4"/>
      <c r="O96" s="4"/>
    </row>
    <row r="97" spans="1:15" s="26" customFormat="1">
      <c r="A97" s="929"/>
      <c r="B97" s="15" t="s">
        <v>174</v>
      </c>
      <c r="C97" s="258" t="s">
        <v>57</v>
      </c>
      <c r="D97" s="42">
        <v>37935</v>
      </c>
      <c r="E97" s="16">
        <v>37973</v>
      </c>
      <c r="F97" s="15">
        <v>72800</v>
      </c>
      <c r="G97" s="15">
        <v>128180</v>
      </c>
      <c r="H97" s="15"/>
      <c r="I97" s="15"/>
      <c r="J97" s="15"/>
      <c r="K97" s="232">
        <f t="shared" si="3"/>
        <v>1.7607142857142857</v>
      </c>
      <c r="L97" s="258" t="s">
        <v>303</v>
      </c>
      <c r="M97" s="4"/>
      <c r="N97" s="4"/>
      <c r="O97" s="4"/>
    </row>
    <row r="98" spans="1:15" s="26" customFormat="1">
      <c r="A98" s="930"/>
      <c r="B98" s="15" t="s">
        <v>175</v>
      </c>
      <c r="C98" s="258" t="s">
        <v>57</v>
      </c>
      <c r="D98" s="42">
        <v>37928</v>
      </c>
      <c r="E98" s="16">
        <v>38351</v>
      </c>
      <c r="F98" s="15">
        <v>392000</v>
      </c>
      <c r="G98" s="15">
        <v>97590</v>
      </c>
      <c r="H98" s="15"/>
      <c r="I98" s="15"/>
      <c r="J98" s="15"/>
      <c r="K98" s="232">
        <f t="shared" si="3"/>
        <v>0.24895408163265306</v>
      </c>
      <c r="L98" s="258" t="s">
        <v>303</v>
      </c>
    </row>
    <row r="99" spans="1:15" s="26" customFormat="1">
      <c r="A99" s="923" t="s">
        <v>689</v>
      </c>
      <c r="B99" s="923"/>
      <c r="C99" s="923"/>
      <c r="D99" s="923"/>
      <c r="E99" s="924"/>
      <c r="F99" s="15">
        <f>SUM(F80:F98)</f>
        <v>5844204400</v>
      </c>
      <c r="G99" s="15">
        <f>SUM(G80:G98)</f>
        <v>2250768513</v>
      </c>
      <c r="H99" s="15"/>
      <c r="I99" s="15"/>
      <c r="J99" s="15"/>
      <c r="K99" s="232"/>
      <c r="L99" s="258"/>
    </row>
    <row r="100" spans="1:15" s="26" customFormat="1">
      <c r="A100" s="928" t="s">
        <v>708</v>
      </c>
      <c r="B100" s="15" t="s">
        <v>133</v>
      </c>
      <c r="C100" s="258" t="s">
        <v>343</v>
      </c>
      <c r="D100" s="42">
        <v>38212</v>
      </c>
      <c r="E100" s="16">
        <v>38399</v>
      </c>
      <c r="F100" s="15">
        <v>1450013720</v>
      </c>
      <c r="G100" s="15">
        <v>1450013720</v>
      </c>
      <c r="H100" s="15"/>
      <c r="I100" s="15"/>
      <c r="J100" s="15"/>
      <c r="K100" s="232">
        <f t="shared" si="3"/>
        <v>1</v>
      </c>
      <c r="L100" s="258" t="s">
        <v>303</v>
      </c>
      <c r="M100" s="4"/>
      <c r="N100" s="4"/>
    </row>
    <row r="101" spans="1:15" s="26" customFormat="1">
      <c r="A101" s="929"/>
      <c r="B101" s="15" t="s">
        <v>134</v>
      </c>
      <c r="C101" s="258" t="s">
        <v>57</v>
      </c>
      <c r="D101" s="42">
        <v>38212</v>
      </c>
      <c r="E101" s="16">
        <v>38399</v>
      </c>
      <c r="F101" s="15">
        <v>949872000</v>
      </c>
      <c r="G101" s="15">
        <v>949872000</v>
      </c>
      <c r="H101" s="15"/>
      <c r="I101" s="15"/>
      <c r="J101" s="15"/>
      <c r="K101" s="232">
        <f t="shared" si="3"/>
        <v>1</v>
      </c>
      <c r="L101" s="258" t="s">
        <v>303</v>
      </c>
      <c r="M101" s="4"/>
      <c r="N101" s="4"/>
    </row>
    <row r="102" spans="1:15" s="26" customFormat="1">
      <c r="A102" s="929"/>
      <c r="B102" s="15" t="s">
        <v>135</v>
      </c>
      <c r="C102" s="258" t="s">
        <v>57</v>
      </c>
      <c r="D102" s="42">
        <v>38212</v>
      </c>
      <c r="E102" s="16">
        <v>38399</v>
      </c>
      <c r="F102" s="15">
        <v>479973600</v>
      </c>
      <c r="G102" s="15">
        <v>479973600</v>
      </c>
      <c r="H102" s="15"/>
      <c r="I102" s="15"/>
      <c r="J102" s="15"/>
      <c r="K102" s="232">
        <f t="shared" si="3"/>
        <v>1</v>
      </c>
      <c r="L102" s="258" t="s">
        <v>303</v>
      </c>
      <c r="M102" s="4"/>
      <c r="N102" s="4"/>
    </row>
    <row r="103" spans="1:15">
      <c r="A103" s="930"/>
      <c r="B103" s="15" t="s">
        <v>136</v>
      </c>
      <c r="C103" s="258" t="s">
        <v>57</v>
      </c>
      <c r="D103" s="42">
        <v>38212</v>
      </c>
      <c r="E103" s="16">
        <v>38399</v>
      </c>
      <c r="F103" s="117">
        <v>270000000</v>
      </c>
      <c r="G103" s="117">
        <v>270000000</v>
      </c>
      <c r="H103" s="117"/>
      <c r="I103" s="117"/>
      <c r="J103" s="117"/>
      <c r="K103" s="232">
        <f t="shared" si="3"/>
        <v>1</v>
      </c>
      <c r="L103" s="258" t="s">
        <v>303</v>
      </c>
    </row>
    <row r="104" spans="1:15">
      <c r="A104" s="923" t="s">
        <v>689</v>
      </c>
      <c r="B104" s="923"/>
      <c r="C104" s="923"/>
      <c r="D104" s="923"/>
      <c r="E104" s="924"/>
      <c r="F104" s="117">
        <f>SUM(F100:F103)</f>
        <v>3149859320</v>
      </c>
      <c r="G104" s="117">
        <f>SUM(G100:G103)</f>
        <v>3149859320</v>
      </c>
      <c r="H104" s="117"/>
      <c r="I104" s="117"/>
      <c r="J104" s="117"/>
      <c r="K104" s="232"/>
      <c r="L104" s="258"/>
    </row>
    <row r="105" spans="1:15" s="26" customFormat="1">
      <c r="A105" s="928" t="s">
        <v>710</v>
      </c>
      <c r="B105" s="15" t="s">
        <v>137</v>
      </c>
      <c r="C105" s="258" t="s">
        <v>57</v>
      </c>
      <c r="D105" s="42">
        <v>36591</v>
      </c>
      <c r="E105" s="16">
        <v>37263</v>
      </c>
      <c r="F105" s="15">
        <v>2250000000</v>
      </c>
      <c r="G105" s="15">
        <v>2416500000</v>
      </c>
      <c r="H105" s="15"/>
      <c r="I105" s="15"/>
      <c r="J105" s="15"/>
      <c r="K105" s="232">
        <f t="shared" ref="K105:K118" si="4">+G105/F105</f>
        <v>1.0740000000000001</v>
      </c>
      <c r="L105" s="258" t="s">
        <v>303</v>
      </c>
    </row>
    <row r="106" spans="1:15">
      <c r="A106" s="929"/>
      <c r="B106" s="147" t="s">
        <v>138</v>
      </c>
      <c r="C106" s="151" t="s">
        <v>57</v>
      </c>
      <c r="D106" s="148">
        <v>36699</v>
      </c>
      <c r="E106" s="208">
        <v>37362</v>
      </c>
      <c r="F106" s="119">
        <v>2800000000</v>
      </c>
      <c r="G106" s="119">
        <v>3431342350</v>
      </c>
      <c r="H106" s="117"/>
      <c r="I106" s="117"/>
      <c r="J106" s="117"/>
      <c r="K106" s="232">
        <f t="shared" si="4"/>
        <v>1.2254794107142857</v>
      </c>
      <c r="L106" s="258" t="s">
        <v>303</v>
      </c>
      <c r="M106" s="26"/>
      <c r="N106" s="26"/>
      <c r="O106" s="26"/>
    </row>
    <row r="107" spans="1:15" s="26" customFormat="1">
      <c r="A107" s="929"/>
      <c r="B107" s="15" t="s">
        <v>105</v>
      </c>
      <c r="C107" s="258" t="s">
        <v>57</v>
      </c>
      <c r="D107" s="42">
        <v>36714</v>
      </c>
      <c r="E107" s="16" t="s">
        <v>663</v>
      </c>
      <c r="F107" s="15">
        <v>300000000</v>
      </c>
      <c r="G107" s="15">
        <v>0</v>
      </c>
      <c r="H107" s="15"/>
      <c r="I107" s="15"/>
      <c r="J107" s="15"/>
      <c r="K107" s="232">
        <f t="shared" si="4"/>
        <v>0</v>
      </c>
      <c r="L107" s="258" t="s">
        <v>335</v>
      </c>
    </row>
    <row r="108" spans="1:15" s="26" customFormat="1">
      <c r="A108" s="929"/>
      <c r="B108" s="15" t="s">
        <v>140</v>
      </c>
      <c r="C108" s="258" t="s">
        <v>57</v>
      </c>
      <c r="D108" s="42">
        <v>36756</v>
      </c>
      <c r="E108" s="16">
        <v>38035</v>
      </c>
      <c r="F108" s="15">
        <v>240000000</v>
      </c>
      <c r="G108" s="117">
        <v>78000000</v>
      </c>
      <c r="H108" s="117"/>
      <c r="I108" s="117"/>
      <c r="J108" s="117"/>
      <c r="K108" s="232">
        <f t="shared" si="4"/>
        <v>0.32500000000000001</v>
      </c>
      <c r="L108" s="258" t="s">
        <v>303</v>
      </c>
    </row>
    <row r="109" spans="1:15" s="26" customFormat="1">
      <c r="A109" s="929"/>
      <c r="B109" s="15" t="s">
        <v>11</v>
      </c>
      <c r="C109" s="258" t="s">
        <v>57</v>
      </c>
      <c r="D109" s="42">
        <v>36809</v>
      </c>
      <c r="E109" s="16">
        <v>38044</v>
      </c>
      <c r="F109" s="15">
        <v>500000000</v>
      </c>
      <c r="G109" s="15">
        <v>63000000</v>
      </c>
      <c r="H109" s="15"/>
      <c r="I109" s="15"/>
      <c r="J109" s="15"/>
      <c r="K109" s="232">
        <f t="shared" si="4"/>
        <v>0.126</v>
      </c>
      <c r="L109" s="258" t="s">
        <v>303</v>
      </c>
    </row>
    <row r="110" spans="1:15" s="26" customFormat="1">
      <c r="A110" s="929"/>
      <c r="B110" s="15" t="s">
        <v>142</v>
      </c>
      <c r="C110" s="258" t="s">
        <v>57</v>
      </c>
      <c r="D110" s="42">
        <v>37273</v>
      </c>
      <c r="E110" s="16">
        <v>38370</v>
      </c>
      <c r="F110" s="15">
        <v>1000008000</v>
      </c>
      <c r="G110" s="15">
        <v>1156134309</v>
      </c>
      <c r="H110" s="15"/>
      <c r="I110" s="15"/>
      <c r="J110" s="15"/>
      <c r="K110" s="232">
        <f t="shared" si="4"/>
        <v>1.1561250599995201</v>
      </c>
      <c r="L110" s="258" t="s">
        <v>303</v>
      </c>
      <c r="M110" s="4"/>
      <c r="N110" s="4"/>
      <c r="O110" s="4"/>
    </row>
    <row r="111" spans="1:15" s="26" customFormat="1">
      <c r="A111" s="929"/>
      <c r="B111" s="15" t="s">
        <v>143</v>
      </c>
      <c r="C111" s="258" t="s">
        <v>57</v>
      </c>
      <c r="D111" s="42">
        <v>37315</v>
      </c>
      <c r="E111" s="16">
        <v>38467</v>
      </c>
      <c r="F111" s="15">
        <v>600000000</v>
      </c>
      <c r="G111" s="15">
        <v>300000000</v>
      </c>
      <c r="H111" s="15"/>
      <c r="I111" s="15"/>
      <c r="J111" s="15"/>
      <c r="K111" s="232">
        <f t="shared" si="4"/>
        <v>0.5</v>
      </c>
      <c r="L111" s="258" t="s">
        <v>303</v>
      </c>
    </row>
    <row r="112" spans="1:15" s="26" customFormat="1">
      <c r="A112" s="929"/>
      <c r="B112" s="15" t="s">
        <v>144</v>
      </c>
      <c r="C112" s="258" t="s">
        <v>225</v>
      </c>
      <c r="D112" s="42">
        <v>37599</v>
      </c>
      <c r="E112" s="16">
        <v>37974</v>
      </c>
      <c r="F112" s="15">
        <v>150000000</v>
      </c>
      <c r="G112" s="15">
        <v>150000000</v>
      </c>
      <c r="H112" s="15"/>
      <c r="I112" s="15"/>
      <c r="J112" s="15"/>
      <c r="K112" s="232">
        <f t="shared" si="4"/>
        <v>1</v>
      </c>
      <c r="L112" s="258" t="s">
        <v>303</v>
      </c>
    </row>
    <row r="113" spans="1:15" s="26" customFormat="1">
      <c r="A113" s="929"/>
      <c r="B113" s="15" t="s">
        <v>145</v>
      </c>
      <c r="C113" s="258" t="s">
        <v>225</v>
      </c>
      <c r="D113" s="42">
        <v>37596</v>
      </c>
      <c r="E113" s="16">
        <v>37974</v>
      </c>
      <c r="F113" s="15">
        <v>200000000</v>
      </c>
      <c r="G113" s="15">
        <v>218098182</v>
      </c>
      <c r="H113" s="15"/>
      <c r="I113" s="15"/>
      <c r="J113" s="15"/>
      <c r="K113" s="232">
        <f t="shared" si="4"/>
        <v>1.09049091</v>
      </c>
      <c r="L113" s="258" t="s">
        <v>303</v>
      </c>
      <c r="M113" s="4"/>
      <c r="N113" s="4"/>
      <c r="O113" s="4"/>
    </row>
    <row r="114" spans="1:15" s="26" customFormat="1">
      <c r="A114" s="929"/>
      <c r="B114" s="56" t="s">
        <v>762</v>
      </c>
      <c r="C114" s="61" t="s">
        <v>763</v>
      </c>
      <c r="D114" s="62">
        <v>37623</v>
      </c>
      <c r="E114" s="57">
        <v>37882</v>
      </c>
      <c r="F114" s="56">
        <v>549780000</v>
      </c>
      <c r="G114" s="56">
        <v>2885556600</v>
      </c>
      <c r="H114" s="56"/>
      <c r="I114" s="56"/>
      <c r="J114" s="56"/>
      <c r="K114" s="261">
        <f t="shared" si="4"/>
        <v>5.2485659718432824</v>
      </c>
      <c r="L114" s="258" t="s">
        <v>303</v>
      </c>
    </row>
    <row r="115" spans="1:15" s="26" customFormat="1">
      <c r="A115" s="929"/>
      <c r="B115" s="15" t="s">
        <v>147</v>
      </c>
      <c r="C115" s="258" t="s">
        <v>8</v>
      </c>
      <c r="D115" s="42">
        <v>37755</v>
      </c>
      <c r="E115" s="16">
        <v>38404</v>
      </c>
      <c r="F115" s="15">
        <v>759619200</v>
      </c>
      <c r="G115" s="15">
        <v>1313614222</v>
      </c>
      <c r="H115" s="15"/>
      <c r="I115" s="15"/>
      <c r="J115" s="15"/>
      <c r="K115" s="232">
        <f t="shared" si="4"/>
        <v>1.7293062392314464</v>
      </c>
      <c r="L115" s="258" t="s">
        <v>303</v>
      </c>
    </row>
    <row r="116" spans="1:15" s="26" customFormat="1">
      <c r="A116" s="929"/>
      <c r="B116" s="15" t="s">
        <v>175</v>
      </c>
      <c r="C116" s="258" t="s">
        <v>57</v>
      </c>
      <c r="D116" s="42">
        <v>37928</v>
      </c>
      <c r="E116" s="16">
        <v>38351</v>
      </c>
      <c r="F116" s="15">
        <v>240000</v>
      </c>
      <c r="G116" s="15">
        <v>52280</v>
      </c>
      <c r="H116" s="15"/>
      <c r="I116" s="15"/>
      <c r="J116" s="15"/>
      <c r="K116" s="232">
        <f t="shared" si="4"/>
        <v>0.21783333333333332</v>
      </c>
      <c r="L116" s="258" t="s">
        <v>303</v>
      </c>
    </row>
    <row r="117" spans="1:15" s="26" customFormat="1">
      <c r="A117" s="929"/>
      <c r="B117" s="15" t="s">
        <v>148</v>
      </c>
      <c r="C117" s="258" t="s">
        <v>149</v>
      </c>
      <c r="D117" s="42">
        <v>38204</v>
      </c>
      <c r="E117" s="16">
        <v>38236</v>
      </c>
      <c r="F117" s="15">
        <v>800000000</v>
      </c>
      <c r="G117" s="15">
        <v>806312328</v>
      </c>
      <c r="H117" s="15"/>
      <c r="I117" s="15"/>
      <c r="J117" s="15"/>
      <c r="K117" s="232">
        <f t="shared" si="4"/>
        <v>1.0078904099999999</v>
      </c>
      <c r="L117" s="258" t="s">
        <v>303</v>
      </c>
      <c r="M117" s="4"/>
      <c r="N117" s="4"/>
      <c r="O117" s="4"/>
    </row>
    <row r="118" spans="1:15" s="26" customFormat="1">
      <c r="A118" s="930"/>
      <c r="B118" s="15" t="s">
        <v>151</v>
      </c>
      <c r="C118" s="258" t="s">
        <v>82</v>
      </c>
      <c r="D118" s="42">
        <v>36909</v>
      </c>
      <c r="E118" s="16">
        <v>37389</v>
      </c>
      <c r="F118" s="15">
        <v>500000000</v>
      </c>
      <c r="G118" s="15">
        <v>548395060</v>
      </c>
      <c r="H118" s="15"/>
      <c r="I118" s="15"/>
      <c r="J118" s="15"/>
      <c r="K118" s="232">
        <f t="shared" si="4"/>
        <v>1.0967901200000001</v>
      </c>
      <c r="L118" s="258" t="s">
        <v>303</v>
      </c>
    </row>
    <row r="119" spans="1:15" s="26" customFormat="1">
      <c r="A119" s="923" t="s">
        <v>689</v>
      </c>
      <c r="B119" s="923"/>
      <c r="C119" s="923"/>
      <c r="D119" s="923"/>
      <c r="E119" s="924"/>
      <c r="F119" s="15">
        <f>SUM(F105:F118)</f>
        <v>10649647200</v>
      </c>
      <c r="G119" s="15">
        <f>SUM(G105:G118)</f>
        <v>13367005331</v>
      </c>
      <c r="H119" s="15"/>
      <c r="I119" s="15"/>
      <c r="J119" s="15"/>
      <c r="K119" s="232"/>
      <c r="L119" s="258"/>
    </row>
    <row r="120" spans="1:15" s="26" customFormat="1">
      <c r="A120" s="928" t="s">
        <v>711</v>
      </c>
      <c r="B120" s="15" t="s">
        <v>152</v>
      </c>
      <c r="C120" s="258" t="s">
        <v>57</v>
      </c>
      <c r="D120" s="42">
        <v>36644</v>
      </c>
      <c r="E120" s="16">
        <v>38988</v>
      </c>
      <c r="F120" s="15">
        <v>210000000</v>
      </c>
      <c r="G120" s="15">
        <v>1000</v>
      </c>
      <c r="H120" s="15"/>
      <c r="I120" s="15"/>
      <c r="J120" s="15"/>
      <c r="K120" s="232">
        <f t="shared" ref="K120:K138" si="5">+G120/F120</f>
        <v>4.7619047619047615E-6</v>
      </c>
      <c r="L120" s="258" t="s">
        <v>303</v>
      </c>
    </row>
    <row r="121" spans="1:15">
      <c r="A121" s="929"/>
      <c r="B121" s="15" t="s">
        <v>95</v>
      </c>
      <c r="C121" s="258" t="s">
        <v>57</v>
      </c>
      <c r="D121" s="42">
        <v>36637</v>
      </c>
      <c r="E121" s="16">
        <v>38988</v>
      </c>
      <c r="F121" s="117">
        <v>131250000</v>
      </c>
      <c r="G121" s="117">
        <v>43620250</v>
      </c>
      <c r="H121" s="117"/>
      <c r="I121" s="117"/>
      <c r="J121" s="117"/>
      <c r="K121" s="232">
        <f t="shared" si="5"/>
        <v>0.33234476190476192</v>
      </c>
      <c r="L121" s="258" t="s">
        <v>303</v>
      </c>
      <c r="M121" s="26"/>
      <c r="N121" s="26"/>
      <c r="O121" s="26"/>
    </row>
    <row r="122" spans="1:15" s="26" customFormat="1">
      <c r="A122" s="929"/>
      <c r="B122" s="15" t="s">
        <v>153</v>
      </c>
      <c r="C122" s="258" t="s">
        <v>57</v>
      </c>
      <c r="D122" s="42">
        <v>36701</v>
      </c>
      <c r="E122" s="16">
        <v>38988</v>
      </c>
      <c r="F122" s="15">
        <v>416660000</v>
      </c>
      <c r="G122" s="15">
        <v>1000</v>
      </c>
      <c r="H122" s="15"/>
      <c r="I122" s="15"/>
      <c r="J122" s="15"/>
      <c r="K122" s="232">
        <f t="shared" si="5"/>
        <v>2.40003840061441E-6</v>
      </c>
      <c r="L122" s="258" t="s">
        <v>303</v>
      </c>
    </row>
    <row r="123" spans="1:15">
      <c r="A123" s="929"/>
      <c r="B123" s="15" t="s">
        <v>154</v>
      </c>
      <c r="C123" s="258" t="s">
        <v>57</v>
      </c>
      <c r="D123" s="42">
        <v>36619</v>
      </c>
      <c r="E123" s="16">
        <v>38960</v>
      </c>
      <c r="F123" s="117">
        <v>291655000</v>
      </c>
      <c r="G123" s="15">
        <v>4583150</v>
      </c>
      <c r="H123" s="15"/>
      <c r="I123" s="15"/>
      <c r="J123" s="15"/>
      <c r="K123" s="232">
        <f t="shared" si="5"/>
        <v>1.5714285714285715E-2</v>
      </c>
      <c r="L123" s="258" t="s">
        <v>303</v>
      </c>
      <c r="M123" s="26"/>
      <c r="N123" s="26"/>
      <c r="O123" s="26"/>
    </row>
    <row r="124" spans="1:15" s="26" customFormat="1">
      <c r="A124" s="929"/>
      <c r="B124" s="15" t="s">
        <v>155</v>
      </c>
      <c r="C124" s="258" t="s">
        <v>57</v>
      </c>
      <c r="D124" s="42">
        <v>36706</v>
      </c>
      <c r="E124" s="16">
        <v>36728</v>
      </c>
      <c r="F124" s="15">
        <v>416700000</v>
      </c>
      <c r="G124" s="15">
        <v>416700000</v>
      </c>
      <c r="H124" s="15"/>
      <c r="I124" s="15"/>
      <c r="J124" s="15"/>
      <c r="K124" s="232">
        <f t="shared" si="5"/>
        <v>1</v>
      </c>
      <c r="L124" s="258" t="s">
        <v>303</v>
      </c>
      <c r="M124" s="4"/>
      <c r="N124" s="4"/>
      <c r="O124" s="4"/>
    </row>
    <row r="125" spans="1:15" s="26" customFormat="1">
      <c r="A125" s="929"/>
      <c r="B125" s="15" t="s">
        <v>694</v>
      </c>
      <c r="C125" s="258" t="s">
        <v>82</v>
      </c>
      <c r="D125" s="42">
        <v>36607</v>
      </c>
      <c r="E125" s="16">
        <v>37337</v>
      </c>
      <c r="F125" s="15">
        <v>2500000000</v>
      </c>
      <c r="G125" s="15">
        <v>2756250000</v>
      </c>
      <c r="H125" s="15"/>
      <c r="I125" s="15"/>
      <c r="J125" s="15"/>
      <c r="K125" s="232">
        <f t="shared" si="5"/>
        <v>1.1025</v>
      </c>
      <c r="L125" s="258" t="s">
        <v>303</v>
      </c>
      <c r="M125" s="4"/>
      <c r="N125" s="4"/>
      <c r="O125" s="4"/>
    </row>
    <row r="126" spans="1:15">
      <c r="A126" s="929"/>
      <c r="B126" s="15" t="s">
        <v>156</v>
      </c>
      <c r="C126" s="258" t="s">
        <v>57</v>
      </c>
      <c r="D126" s="42">
        <v>37350</v>
      </c>
      <c r="E126" s="16">
        <v>38352</v>
      </c>
      <c r="F126" s="117">
        <v>2185596000</v>
      </c>
      <c r="G126" s="117">
        <v>2130613623</v>
      </c>
      <c r="H126" s="117"/>
      <c r="I126" s="117"/>
      <c r="J126" s="117"/>
      <c r="K126" s="232">
        <f t="shared" si="5"/>
        <v>0.9748433026963812</v>
      </c>
      <c r="L126" s="258" t="s">
        <v>303</v>
      </c>
      <c r="M126" s="26"/>
      <c r="N126" s="26"/>
      <c r="O126" s="26"/>
    </row>
    <row r="127" spans="1:15">
      <c r="A127" s="929"/>
      <c r="B127" s="147" t="s">
        <v>138</v>
      </c>
      <c r="C127" s="151" t="s">
        <v>139</v>
      </c>
      <c r="D127" s="148">
        <v>36798</v>
      </c>
      <c r="E127" s="208">
        <v>38370</v>
      </c>
      <c r="F127" s="119">
        <v>2341197281</v>
      </c>
      <c r="G127" s="119">
        <v>2551192018</v>
      </c>
      <c r="H127" s="117"/>
      <c r="I127" s="117"/>
      <c r="J127" s="117"/>
      <c r="K127" s="232">
        <f t="shared" si="5"/>
        <v>1.0896954471561253</v>
      </c>
      <c r="L127" s="258" t="s">
        <v>303</v>
      </c>
      <c r="M127" s="26"/>
      <c r="N127" s="26"/>
      <c r="O127" s="26"/>
    </row>
    <row r="128" spans="1:15" s="26" customFormat="1">
      <c r="A128" s="929"/>
      <c r="B128" s="15" t="s">
        <v>157</v>
      </c>
      <c r="C128" s="258" t="s">
        <v>57</v>
      </c>
      <c r="D128" s="42">
        <v>37623</v>
      </c>
      <c r="E128" s="16">
        <v>38988</v>
      </c>
      <c r="F128" s="15">
        <v>31444750</v>
      </c>
      <c r="G128" s="15">
        <v>265000</v>
      </c>
      <c r="H128" s="15"/>
      <c r="I128" s="15"/>
      <c r="J128" s="15"/>
      <c r="K128" s="232">
        <f t="shared" si="5"/>
        <v>8.4274799449828661E-3</v>
      </c>
      <c r="L128" s="258" t="s">
        <v>303</v>
      </c>
    </row>
    <row r="129" spans="1:15" s="26" customFormat="1">
      <c r="A129" s="929"/>
      <c r="B129" s="15" t="s">
        <v>84</v>
      </c>
      <c r="C129" s="258" t="s">
        <v>57</v>
      </c>
      <c r="D129" s="42">
        <v>37645</v>
      </c>
      <c r="E129" s="16">
        <v>37816</v>
      </c>
      <c r="F129" s="15">
        <v>10200000</v>
      </c>
      <c r="G129" s="15">
        <v>10200000</v>
      </c>
      <c r="H129" s="15"/>
      <c r="I129" s="15"/>
      <c r="J129" s="15"/>
      <c r="K129" s="232">
        <f t="shared" si="5"/>
        <v>1</v>
      </c>
      <c r="L129" s="258" t="s">
        <v>303</v>
      </c>
      <c r="M129" s="4"/>
      <c r="N129" s="4"/>
      <c r="O129" s="4"/>
    </row>
    <row r="130" spans="1:15" s="26" customFormat="1">
      <c r="A130" s="929"/>
      <c r="B130" s="15" t="s">
        <v>158</v>
      </c>
      <c r="C130" s="258" t="s">
        <v>57</v>
      </c>
      <c r="D130" s="42">
        <v>37690</v>
      </c>
      <c r="E130" s="16">
        <v>38000</v>
      </c>
      <c r="F130" s="15">
        <v>300012444</v>
      </c>
      <c r="G130" s="15">
        <v>378836748</v>
      </c>
      <c r="H130" s="15"/>
      <c r="I130" s="15"/>
      <c r="J130" s="15"/>
      <c r="K130" s="232">
        <f t="shared" si="5"/>
        <v>1.2627367816782959</v>
      </c>
      <c r="L130" s="258" t="s">
        <v>303</v>
      </c>
      <c r="M130" s="4"/>
      <c r="N130" s="4"/>
      <c r="O130" s="4"/>
    </row>
    <row r="131" spans="1:15" s="26" customFormat="1">
      <c r="A131" s="929"/>
      <c r="B131" s="15" t="s">
        <v>159</v>
      </c>
      <c r="C131" s="258" t="s">
        <v>57</v>
      </c>
      <c r="D131" s="42">
        <v>37651</v>
      </c>
      <c r="E131" s="16">
        <v>38988</v>
      </c>
      <c r="F131" s="15">
        <v>500000000</v>
      </c>
      <c r="G131" s="15">
        <v>1000</v>
      </c>
      <c r="H131" s="15"/>
      <c r="I131" s="15"/>
      <c r="J131" s="15"/>
      <c r="K131" s="232">
        <f t="shared" si="5"/>
        <v>1.9999999999999999E-6</v>
      </c>
      <c r="L131" s="258" t="s">
        <v>303</v>
      </c>
      <c r="M131" s="4"/>
      <c r="N131" s="4"/>
      <c r="O131" s="4"/>
    </row>
    <row r="132" spans="1:15" s="26" customFormat="1">
      <c r="A132" s="929"/>
      <c r="B132" s="15" t="s">
        <v>150</v>
      </c>
      <c r="C132" s="258" t="s">
        <v>57</v>
      </c>
      <c r="D132" s="42">
        <v>37893</v>
      </c>
      <c r="E132" s="16">
        <v>37935</v>
      </c>
      <c r="F132" s="15">
        <v>400325000</v>
      </c>
      <c r="G132" s="15">
        <v>717000000</v>
      </c>
      <c r="H132" s="15"/>
      <c r="I132" s="15"/>
      <c r="J132" s="15"/>
      <c r="K132" s="232">
        <f t="shared" si="5"/>
        <v>1.791044776119403</v>
      </c>
      <c r="L132" s="258" t="s">
        <v>303</v>
      </c>
    </row>
    <row r="133" spans="1:15" s="26" customFormat="1">
      <c r="A133" s="929"/>
      <c r="B133" s="15" t="s">
        <v>695</v>
      </c>
      <c r="C133" s="258" t="s">
        <v>57</v>
      </c>
      <c r="D133" s="42">
        <v>37935</v>
      </c>
      <c r="E133" s="16">
        <v>37973</v>
      </c>
      <c r="F133" s="15">
        <v>18600</v>
      </c>
      <c r="G133" s="15">
        <v>18390</v>
      </c>
      <c r="H133" s="15"/>
      <c r="I133" s="15"/>
      <c r="J133" s="15"/>
      <c r="K133" s="232">
        <f t="shared" si="5"/>
        <v>0.98870967741935489</v>
      </c>
      <c r="L133" s="258" t="s">
        <v>303</v>
      </c>
      <c r="M133" s="4"/>
      <c r="N133" s="4"/>
      <c r="O133" s="4"/>
    </row>
    <row r="134" spans="1:15" s="26" customFormat="1">
      <c r="A134" s="929"/>
      <c r="B134" s="15" t="s">
        <v>174</v>
      </c>
      <c r="C134" s="258" t="s">
        <v>57</v>
      </c>
      <c r="D134" s="42">
        <v>37935</v>
      </c>
      <c r="E134" s="16">
        <v>37973</v>
      </c>
      <c r="F134" s="15">
        <v>72800</v>
      </c>
      <c r="G134" s="15">
        <v>127660</v>
      </c>
      <c r="H134" s="15"/>
      <c r="I134" s="15"/>
      <c r="J134" s="15"/>
      <c r="K134" s="232">
        <f t="shared" si="5"/>
        <v>1.7535714285714286</v>
      </c>
      <c r="L134" s="258" t="s">
        <v>303</v>
      </c>
      <c r="M134" s="4"/>
      <c r="N134" s="4"/>
      <c r="O134" s="4"/>
    </row>
    <row r="135" spans="1:15" s="26" customFormat="1">
      <c r="A135" s="929"/>
      <c r="B135" s="15" t="s">
        <v>175</v>
      </c>
      <c r="C135" s="258" t="s">
        <v>57</v>
      </c>
      <c r="D135" s="42">
        <v>37928</v>
      </c>
      <c r="E135" s="16">
        <v>38351</v>
      </c>
      <c r="F135" s="15">
        <v>98000</v>
      </c>
      <c r="G135" s="15">
        <v>24440</v>
      </c>
      <c r="H135" s="15"/>
      <c r="I135" s="15"/>
      <c r="J135" s="15"/>
      <c r="K135" s="232">
        <f t="shared" si="5"/>
        <v>0.24938775510204081</v>
      </c>
      <c r="L135" s="258" t="s">
        <v>303</v>
      </c>
    </row>
    <row r="136" spans="1:15" s="26" customFormat="1">
      <c r="A136" s="929"/>
      <c r="B136" s="15" t="s">
        <v>160</v>
      </c>
      <c r="C136" s="258" t="s">
        <v>57</v>
      </c>
      <c r="D136" s="42">
        <v>37935</v>
      </c>
      <c r="E136" s="16">
        <v>38988</v>
      </c>
      <c r="F136" s="15">
        <v>96800000</v>
      </c>
      <c r="G136" s="15">
        <v>4000000</v>
      </c>
      <c r="H136" s="15"/>
      <c r="I136" s="15"/>
      <c r="J136" s="15"/>
      <c r="K136" s="232">
        <f t="shared" si="5"/>
        <v>4.1322314049586778E-2</v>
      </c>
      <c r="L136" s="258" t="s">
        <v>303</v>
      </c>
      <c r="M136" s="4"/>
      <c r="N136" s="4"/>
      <c r="O136" s="4"/>
    </row>
    <row r="137" spans="1:15" s="26" customFormat="1">
      <c r="A137" s="929"/>
      <c r="B137" s="15" t="s">
        <v>161</v>
      </c>
      <c r="C137" s="258" t="s">
        <v>57</v>
      </c>
      <c r="D137" s="42">
        <v>38131</v>
      </c>
      <c r="E137" s="16">
        <v>38404</v>
      </c>
      <c r="F137" s="15">
        <v>641876950</v>
      </c>
      <c r="G137" s="15">
        <v>641876950</v>
      </c>
      <c r="H137" s="15"/>
      <c r="I137" s="15"/>
      <c r="J137" s="15"/>
      <c r="K137" s="232">
        <f t="shared" si="5"/>
        <v>1</v>
      </c>
      <c r="L137" s="258" t="s">
        <v>303</v>
      </c>
    </row>
    <row r="138" spans="1:15" s="26" customFormat="1">
      <c r="A138" s="930"/>
      <c r="B138" s="15" t="s">
        <v>162</v>
      </c>
      <c r="C138" s="258" t="s">
        <v>225</v>
      </c>
      <c r="D138" s="42">
        <v>38125</v>
      </c>
      <c r="E138" s="16">
        <v>38233</v>
      </c>
      <c r="F138" s="15">
        <v>320000000</v>
      </c>
      <c r="G138" s="15">
        <v>331102559</v>
      </c>
      <c r="H138" s="15"/>
      <c r="I138" s="15"/>
      <c r="J138" s="15"/>
      <c r="K138" s="232">
        <f t="shared" si="5"/>
        <v>1.034695496875</v>
      </c>
      <c r="L138" s="258" t="s">
        <v>303</v>
      </c>
      <c r="M138" s="4"/>
      <c r="N138" s="4"/>
      <c r="O138" s="4"/>
    </row>
    <row r="139" spans="1:15" s="26" customFormat="1">
      <c r="A139" s="923" t="s">
        <v>689</v>
      </c>
      <c r="B139" s="923"/>
      <c r="C139" s="923"/>
      <c r="D139" s="923"/>
      <c r="E139" s="924"/>
      <c r="F139" s="15">
        <f>SUM(F120:F138)</f>
        <v>10793906825</v>
      </c>
      <c r="G139" s="15">
        <f>SUM(G120:G138)</f>
        <v>9986413788</v>
      </c>
      <c r="H139" s="15"/>
      <c r="I139" s="15"/>
      <c r="J139" s="15"/>
      <c r="K139" s="232"/>
      <c r="L139" s="258"/>
      <c r="M139" s="4"/>
      <c r="N139" s="4"/>
      <c r="O139" s="4"/>
    </row>
    <row r="140" spans="1:15">
      <c r="A140" s="928" t="s">
        <v>712</v>
      </c>
      <c r="B140" s="15" t="s">
        <v>152</v>
      </c>
      <c r="C140" s="258" t="s">
        <v>57</v>
      </c>
      <c r="D140" s="42">
        <v>36634</v>
      </c>
      <c r="E140" s="16">
        <v>38595</v>
      </c>
      <c r="F140" s="117">
        <v>294000000</v>
      </c>
      <c r="G140" s="117">
        <v>10</v>
      </c>
      <c r="H140" s="117"/>
      <c r="I140" s="117"/>
      <c r="J140" s="117"/>
      <c r="K140" s="232">
        <f t="shared" ref="K140:K155" si="6">+G140/F140</f>
        <v>3.4013605442176873E-8</v>
      </c>
      <c r="L140" s="258" t="s">
        <v>303</v>
      </c>
      <c r="M140" s="26"/>
      <c r="N140" s="26"/>
      <c r="O140" s="26"/>
    </row>
    <row r="141" spans="1:15">
      <c r="A141" s="929"/>
      <c r="B141" s="15" t="s">
        <v>95</v>
      </c>
      <c r="C141" s="258" t="s">
        <v>57</v>
      </c>
      <c r="D141" s="42">
        <v>36637</v>
      </c>
      <c r="E141" s="16">
        <v>38741</v>
      </c>
      <c r="F141" s="117">
        <v>183750000</v>
      </c>
      <c r="G141" s="15">
        <v>16993250</v>
      </c>
      <c r="H141" s="15"/>
      <c r="I141" s="15"/>
      <c r="J141" s="15"/>
      <c r="K141" s="232">
        <f t="shared" si="6"/>
        <v>9.2480272108843534E-2</v>
      </c>
      <c r="L141" s="258" t="s">
        <v>303</v>
      </c>
      <c r="M141" s="26"/>
      <c r="N141" s="26"/>
      <c r="O141" s="26"/>
    </row>
    <row r="142" spans="1:15" s="26" customFormat="1">
      <c r="A142" s="929"/>
      <c r="B142" s="15" t="s">
        <v>153</v>
      </c>
      <c r="C142" s="258" t="s">
        <v>57</v>
      </c>
      <c r="D142" s="42">
        <v>36701</v>
      </c>
      <c r="E142" s="16">
        <v>37621</v>
      </c>
      <c r="F142" s="15">
        <v>583340000</v>
      </c>
      <c r="G142" s="15">
        <v>10</v>
      </c>
      <c r="H142" s="15"/>
      <c r="I142" s="15"/>
      <c r="J142" s="15"/>
      <c r="K142" s="232">
        <f t="shared" si="6"/>
        <v>1.7142661226728837E-8</v>
      </c>
      <c r="L142" s="258" t="s">
        <v>303</v>
      </c>
    </row>
    <row r="143" spans="1:15">
      <c r="A143" s="929"/>
      <c r="B143" s="15" t="s">
        <v>154</v>
      </c>
      <c r="C143" s="258" t="s">
        <v>57</v>
      </c>
      <c r="D143" s="42">
        <v>36619</v>
      </c>
      <c r="E143" s="16">
        <v>38595</v>
      </c>
      <c r="F143" s="117">
        <v>408345000</v>
      </c>
      <c r="G143" s="15">
        <v>255982387</v>
      </c>
      <c r="H143" s="15"/>
      <c r="I143" s="15"/>
      <c r="J143" s="15"/>
      <c r="K143" s="232">
        <f t="shared" si="6"/>
        <v>0.62687773084034337</v>
      </c>
      <c r="L143" s="258" t="s">
        <v>303</v>
      </c>
      <c r="M143" s="26"/>
      <c r="N143" s="26"/>
      <c r="O143" s="26"/>
    </row>
    <row r="144" spans="1:15" s="26" customFormat="1">
      <c r="A144" s="929"/>
      <c r="B144" s="15" t="s">
        <v>155</v>
      </c>
      <c r="C144" s="258" t="s">
        <v>57</v>
      </c>
      <c r="D144" s="42">
        <v>36706</v>
      </c>
      <c r="E144" s="16">
        <v>36728</v>
      </c>
      <c r="F144" s="15">
        <v>583300000</v>
      </c>
      <c r="G144" s="15">
        <v>583300000</v>
      </c>
      <c r="H144" s="15"/>
      <c r="I144" s="15"/>
      <c r="J144" s="15"/>
      <c r="K144" s="232">
        <f t="shared" si="6"/>
        <v>1</v>
      </c>
      <c r="L144" s="258" t="s">
        <v>303</v>
      </c>
      <c r="M144" s="4"/>
      <c r="N144" s="4"/>
      <c r="O144" s="4"/>
    </row>
    <row r="145" spans="1:15" s="26" customFormat="1">
      <c r="A145" s="929"/>
      <c r="B145" s="15" t="s">
        <v>694</v>
      </c>
      <c r="C145" s="258" t="s">
        <v>82</v>
      </c>
      <c r="D145" s="42">
        <v>36607</v>
      </c>
      <c r="E145" s="16">
        <v>37337</v>
      </c>
      <c r="F145" s="15">
        <v>3500000000</v>
      </c>
      <c r="G145" s="15">
        <v>3858750000</v>
      </c>
      <c r="H145" s="15"/>
      <c r="I145" s="15"/>
      <c r="J145" s="15"/>
      <c r="K145" s="232">
        <f t="shared" si="6"/>
        <v>1.1025</v>
      </c>
      <c r="L145" s="258" t="s">
        <v>303</v>
      </c>
      <c r="M145" s="4"/>
      <c r="N145" s="4"/>
      <c r="O145" s="4"/>
    </row>
    <row r="146" spans="1:15" s="26" customFormat="1">
      <c r="A146" s="929"/>
      <c r="B146" s="15" t="s">
        <v>138</v>
      </c>
      <c r="C146" s="258" t="s">
        <v>139</v>
      </c>
      <c r="D146" s="42">
        <v>36798</v>
      </c>
      <c r="E146" s="16">
        <v>38370</v>
      </c>
      <c r="F146" s="15">
        <v>2153336800</v>
      </c>
      <c r="G146" s="15">
        <v>1900933857</v>
      </c>
      <c r="H146" s="15"/>
      <c r="I146" s="15"/>
      <c r="J146" s="15"/>
      <c r="K146" s="232">
        <f t="shared" si="6"/>
        <v>0.88278519969565372</v>
      </c>
      <c r="L146" s="258" t="s">
        <v>303</v>
      </c>
    </row>
    <row r="147" spans="1:15" s="26" customFormat="1">
      <c r="A147" s="929"/>
      <c r="B147" s="15" t="s">
        <v>156</v>
      </c>
      <c r="C147" s="258" t="s">
        <v>57</v>
      </c>
      <c r="D147" s="42">
        <v>37350</v>
      </c>
      <c r="E147" s="16">
        <v>37540</v>
      </c>
      <c r="F147" s="15">
        <v>2885904000</v>
      </c>
      <c r="G147" s="15">
        <v>2813304187</v>
      </c>
      <c r="H147" s="15"/>
      <c r="I147" s="15"/>
      <c r="J147" s="15"/>
      <c r="K147" s="232">
        <f t="shared" si="6"/>
        <v>0.97484330282642806</v>
      </c>
      <c r="L147" s="258" t="s">
        <v>303</v>
      </c>
    </row>
    <row r="148" spans="1:15" s="26" customFormat="1">
      <c r="A148" s="929"/>
      <c r="B148" s="15" t="s">
        <v>157</v>
      </c>
      <c r="C148" s="258" t="s">
        <v>57</v>
      </c>
      <c r="D148" s="42">
        <v>37623</v>
      </c>
      <c r="E148" s="16">
        <v>38595</v>
      </c>
      <c r="F148" s="15">
        <v>44017583</v>
      </c>
      <c r="G148" s="15">
        <v>44017583</v>
      </c>
      <c r="H148" s="15"/>
      <c r="I148" s="15"/>
      <c r="J148" s="15"/>
      <c r="K148" s="232">
        <f t="shared" si="6"/>
        <v>1</v>
      </c>
      <c r="L148" s="258" t="s">
        <v>303</v>
      </c>
    </row>
    <row r="149" spans="1:15" s="26" customFormat="1">
      <c r="A149" s="929"/>
      <c r="B149" s="15" t="s">
        <v>84</v>
      </c>
      <c r="C149" s="258" t="s">
        <v>57</v>
      </c>
      <c r="D149" s="42">
        <v>37984</v>
      </c>
      <c r="E149" s="16">
        <v>38202</v>
      </c>
      <c r="F149" s="15">
        <v>5485000</v>
      </c>
      <c r="G149" s="15">
        <v>67507186</v>
      </c>
      <c r="H149" s="15"/>
      <c r="I149" s="15"/>
      <c r="J149" s="15"/>
      <c r="K149" s="232">
        <f t="shared" si="6"/>
        <v>12.307600000000001</v>
      </c>
      <c r="L149" s="258" t="s">
        <v>303</v>
      </c>
    </row>
    <row r="150" spans="1:15" ht="17.25" customHeight="1">
      <c r="A150" s="929"/>
      <c r="B150" s="15" t="s">
        <v>159</v>
      </c>
      <c r="C150" s="258" t="s">
        <v>57</v>
      </c>
      <c r="D150" s="42">
        <v>37651</v>
      </c>
      <c r="E150" s="16">
        <v>38595</v>
      </c>
      <c r="F150" s="117">
        <v>500000000</v>
      </c>
      <c r="G150" s="117">
        <v>10</v>
      </c>
      <c r="H150" s="117"/>
      <c r="I150" s="117"/>
      <c r="J150" s="117"/>
      <c r="K150" s="232">
        <f t="shared" si="6"/>
        <v>2E-8</v>
      </c>
      <c r="L150" s="258" t="s">
        <v>303</v>
      </c>
    </row>
    <row r="151" spans="1:15">
      <c r="A151" s="929"/>
      <c r="B151" s="15" t="s">
        <v>160</v>
      </c>
      <c r="C151" s="258" t="s">
        <v>57</v>
      </c>
      <c r="D151" s="42">
        <v>37935</v>
      </c>
      <c r="E151" s="16">
        <v>38352</v>
      </c>
      <c r="F151" s="117">
        <v>96800000</v>
      </c>
      <c r="G151" s="117">
        <v>0</v>
      </c>
      <c r="H151" s="117"/>
      <c r="I151" s="117"/>
      <c r="J151" s="117"/>
      <c r="K151" s="232">
        <f t="shared" si="6"/>
        <v>0</v>
      </c>
      <c r="L151" s="258" t="s">
        <v>335</v>
      </c>
    </row>
    <row r="152" spans="1:15" s="26" customFormat="1">
      <c r="A152" s="929"/>
      <c r="B152" s="15" t="s">
        <v>150</v>
      </c>
      <c r="C152" s="258" t="s">
        <v>57</v>
      </c>
      <c r="D152" s="42">
        <v>37893</v>
      </c>
      <c r="E152" s="16">
        <v>37973</v>
      </c>
      <c r="F152" s="15">
        <v>400325000</v>
      </c>
      <c r="G152" s="15">
        <v>717000000</v>
      </c>
      <c r="H152" s="15"/>
      <c r="I152" s="15"/>
      <c r="J152" s="15"/>
      <c r="K152" s="232">
        <f t="shared" si="6"/>
        <v>1.791044776119403</v>
      </c>
      <c r="L152" s="258" t="s">
        <v>303</v>
      </c>
    </row>
    <row r="153" spans="1:15" s="26" customFormat="1">
      <c r="A153" s="929"/>
      <c r="B153" s="15" t="s">
        <v>174</v>
      </c>
      <c r="C153" s="258" t="s">
        <v>57</v>
      </c>
      <c r="D153" s="42">
        <v>37935</v>
      </c>
      <c r="E153" s="16">
        <v>37973</v>
      </c>
      <c r="F153" s="15">
        <v>72800</v>
      </c>
      <c r="G153" s="15">
        <v>127400</v>
      </c>
      <c r="H153" s="15"/>
      <c r="I153" s="15"/>
      <c r="J153" s="15"/>
      <c r="K153" s="232">
        <f t="shared" si="6"/>
        <v>1.75</v>
      </c>
      <c r="L153" s="258" t="s">
        <v>303</v>
      </c>
      <c r="M153" s="4"/>
      <c r="N153" s="4"/>
      <c r="O153" s="4"/>
    </row>
    <row r="154" spans="1:15" s="26" customFormat="1">
      <c r="A154" s="929"/>
      <c r="B154" s="15" t="s">
        <v>175</v>
      </c>
      <c r="C154" s="258" t="s">
        <v>57</v>
      </c>
      <c r="D154" s="42">
        <v>37928</v>
      </c>
      <c r="E154" s="16">
        <v>38351</v>
      </c>
      <c r="F154" s="15">
        <v>98000</v>
      </c>
      <c r="G154" s="15">
        <v>24400</v>
      </c>
      <c r="H154" s="15"/>
      <c r="I154" s="15"/>
      <c r="J154" s="15"/>
      <c r="K154" s="232">
        <f t="shared" si="6"/>
        <v>0.24897959183673468</v>
      </c>
      <c r="L154" s="258" t="s">
        <v>303</v>
      </c>
    </row>
    <row r="155" spans="1:15" s="26" customFormat="1">
      <c r="A155" s="930"/>
      <c r="B155" s="15" t="s">
        <v>161</v>
      </c>
      <c r="C155" s="258" t="s">
        <v>57</v>
      </c>
      <c r="D155" s="42">
        <v>38131</v>
      </c>
      <c r="E155" s="16">
        <v>38370</v>
      </c>
      <c r="F155" s="15">
        <v>641876950</v>
      </c>
      <c r="G155" s="15">
        <v>807445210</v>
      </c>
      <c r="H155" s="15"/>
      <c r="I155" s="15"/>
      <c r="J155" s="15"/>
      <c r="K155" s="232">
        <f t="shared" si="6"/>
        <v>1.2579439252336448</v>
      </c>
      <c r="L155" s="258" t="s">
        <v>303</v>
      </c>
      <c r="M155" s="4"/>
      <c r="N155" s="4"/>
      <c r="O155" s="4"/>
    </row>
    <row r="156" spans="1:15" s="26" customFormat="1">
      <c r="A156" s="923" t="s">
        <v>689</v>
      </c>
      <c r="B156" s="923"/>
      <c r="C156" s="923"/>
      <c r="D156" s="923"/>
      <c r="E156" s="924"/>
      <c r="F156" s="15">
        <f>SUM(F140:F155)</f>
        <v>12280651133</v>
      </c>
      <c r="G156" s="15">
        <f>SUM(G140:G155)</f>
        <v>11065385490</v>
      </c>
      <c r="H156" s="15"/>
      <c r="I156" s="15"/>
      <c r="J156" s="15"/>
      <c r="K156" s="232"/>
      <c r="L156" s="258"/>
      <c r="M156" s="4"/>
      <c r="N156" s="4"/>
      <c r="O156" s="4"/>
    </row>
    <row r="157" spans="1:15" s="26" customFormat="1">
      <c r="A157" s="928" t="s">
        <v>713</v>
      </c>
      <c r="B157" s="15" t="s">
        <v>178</v>
      </c>
      <c r="C157" s="258" t="s">
        <v>90</v>
      </c>
      <c r="D157" s="42">
        <v>36833</v>
      </c>
      <c r="E157" s="16">
        <v>38377</v>
      </c>
      <c r="F157" s="15">
        <v>440000000</v>
      </c>
      <c r="G157" s="15">
        <v>630000000</v>
      </c>
      <c r="H157" s="15"/>
      <c r="I157" s="15"/>
      <c r="J157" s="15"/>
      <c r="K157" s="232">
        <f t="shared" ref="K157:K167" si="7">+G157/F157</f>
        <v>1.4318181818181819</v>
      </c>
      <c r="L157" s="258" t="s">
        <v>303</v>
      </c>
    </row>
    <row r="158" spans="1:15" s="26" customFormat="1">
      <c r="A158" s="929"/>
      <c r="B158" s="15" t="s">
        <v>183</v>
      </c>
      <c r="C158" s="258" t="s">
        <v>82</v>
      </c>
      <c r="D158" s="42">
        <v>36810</v>
      </c>
      <c r="E158" s="16">
        <v>36921</v>
      </c>
      <c r="F158" s="15">
        <v>1586301400</v>
      </c>
      <c r="G158" s="15">
        <v>1586301400</v>
      </c>
      <c r="H158" s="15"/>
      <c r="I158" s="15"/>
      <c r="J158" s="15"/>
      <c r="K158" s="232">
        <f t="shared" si="7"/>
        <v>1</v>
      </c>
      <c r="L158" s="258" t="s">
        <v>303</v>
      </c>
      <c r="M158" s="4"/>
      <c r="N158" s="4"/>
      <c r="O158" s="4"/>
    </row>
    <row r="159" spans="1:15" s="26" customFormat="1">
      <c r="A159" s="929"/>
      <c r="B159" s="15" t="s">
        <v>185</v>
      </c>
      <c r="C159" s="258" t="s">
        <v>82</v>
      </c>
      <c r="D159" s="42">
        <v>36886</v>
      </c>
      <c r="E159" s="16">
        <v>37726</v>
      </c>
      <c r="F159" s="15">
        <v>400000000</v>
      </c>
      <c r="G159" s="15">
        <v>400000000</v>
      </c>
      <c r="H159" s="15"/>
      <c r="I159" s="15"/>
      <c r="J159" s="15"/>
      <c r="K159" s="232">
        <f t="shared" si="7"/>
        <v>1</v>
      </c>
      <c r="L159" s="258" t="s">
        <v>303</v>
      </c>
    </row>
    <row r="160" spans="1:15" s="26" customFormat="1">
      <c r="A160" s="929"/>
      <c r="B160" s="15" t="s">
        <v>186</v>
      </c>
      <c r="C160" s="258" t="s">
        <v>82</v>
      </c>
      <c r="D160" s="42">
        <v>36931</v>
      </c>
      <c r="E160" s="16">
        <v>38639</v>
      </c>
      <c r="F160" s="15">
        <v>300000000</v>
      </c>
      <c r="G160" s="15">
        <v>1500000</v>
      </c>
      <c r="H160" s="15"/>
      <c r="I160" s="15"/>
      <c r="J160" s="15"/>
      <c r="K160" s="232">
        <f t="shared" si="7"/>
        <v>5.0000000000000001E-3</v>
      </c>
      <c r="L160" s="258" t="s">
        <v>303</v>
      </c>
      <c r="M160" s="4"/>
      <c r="N160" s="4"/>
      <c r="O160" s="4"/>
    </row>
    <row r="161" spans="1:15" s="26" customFormat="1">
      <c r="A161" s="929"/>
      <c r="B161" s="15" t="s">
        <v>188</v>
      </c>
      <c r="C161" s="258" t="s">
        <v>57</v>
      </c>
      <c r="D161" s="42">
        <v>37042</v>
      </c>
      <c r="E161" s="16">
        <v>38639</v>
      </c>
      <c r="F161" s="15">
        <v>300000000</v>
      </c>
      <c r="G161" s="15">
        <v>7800</v>
      </c>
      <c r="H161" s="15"/>
      <c r="I161" s="15"/>
      <c r="J161" s="15"/>
      <c r="K161" s="232">
        <f t="shared" si="7"/>
        <v>2.5999999999999998E-5</v>
      </c>
      <c r="L161" s="258" t="s">
        <v>303</v>
      </c>
      <c r="M161" s="4"/>
      <c r="N161" s="4"/>
      <c r="O161" s="4"/>
    </row>
    <row r="162" spans="1:15" s="26" customFormat="1">
      <c r="A162" s="929"/>
      <c r="B162" s="15" t="s">
        <v>190</v>
      </c>
      <c r="C162" s="258" t="s">
        <v>57</v>
      </c>
      <c r="D162" s="42">
        <v>36997</v>
      </c>
      <c r="E162" s="16">
        <v>38639</v>
      </c>
      <c r="F162" s="15">
        <v>800000000</v>
      </c>
      <c r="G162" s="15">
        <v>1000</v>
      </c>
      <c r="H162" s="15"/>
      <c r="I162" s="15"/>
      <c r="J162" s="15"/>
      <c r="K162" s="232">
        <f t="shared" si="7"/>
        <v>1.2500000000000001E-6</v>
      </c>
      <c r="L162" s="258" t="s">
        <v>303</v>
      </c>
      <c r="M162" s="4"/>
      <c r="N162" s="4"/>
      <c r="O162" s="4"/>
    </row>
    <row r="163" spans="1:15" s="26" customFormat="1">
      <c r="A163" s="929"/>
      <c r="B163" s="15" t="s">
        <v>191</v>
      </c>
      <c r="C163" s="258" t="s">
        <v>82</v>
      </c>
      <c r="D163" s="42">
        <v>37141</v>
      </c>
      <c r="E163" s="16">
        <v>37924</v>
      </c>
      <c r="F163" s="15">
        <v>250000000</v>
      </c>
      <c r="G163" s="15">
        <v>418054795</v>
      </c>
      <c r="H163" s="15"/>
      <c r="I163" s="15"/>
      <c r="J163" s="15"/>
      <c r="K163" s="232">
        <f t="shared" si="7"/>
        <v>1.6722191799999999</v>
      </c>
      <c r="L163" s="258" t="s">
        <v>303</v>
      </c>
      <c r="M163" s="4"/>
      <c r="N163" s="4"/>
      <c r="O163" s="4"/>
    </row>
    <row r="164" spans="1:15" s="26" customFormat="1">
      <c r="A164" s="929"/>
      <c r="B164" s="15" t="s">
        <v>192</v>
      </c>
      <c r="C164" s="258" t="s">
        <v>57</v>
      </c>
      <c r="D164" s="42">
        <v>37890</v>
      </c>
      <c r="E164" s="16">
        <v>38639</v>
      </c>
      <c r="F164" s="15">
        <v>350000000</v>
      </c>
      <c r="G164" s="15">
        <v>152775000</v>
      </c>
      <c r="H164" s="15"/>
      <c r="I164" s="15"/>
      <c r="J164" s="15"/>
      <c r="K164" s="232">
        <f t="shared" si="7"/>
        <v>0.4365</v>
      </c>
      <c r="L164" s="258" t="s">
        <v>303</v>
      </c>
    </row>
    <row r="165" spans="1:15" s="26" customFormat="1">
      <c r="A165" s="929"/>
      <c r="B165" s="15" t="s">
        <v>193</v>
      </c>
      <c r="C165" s="258" t="s">
        <v>57</v>
      </c>
      <c r="D165" s="42">
        <v>38111</v>
      </c>
      <c r="E165" s="16">
        <v>38610</v>
      </c>
      <c r="F165" s="15">
        <v>400000000</v>
      </c>
      <c r="G165" s="15">
        <v>500000000</v>
      </c>
      <c r="H165" s="15"/>
      <c r="I165" s="15"/>
      <c r="J165" s="15"/>
      <c r="K165" s="232">
        <f t="shared" si="7"/>
        <v>1.25</v>
      </c>
      <c r="L165" s="258" t="s">
        <v>303</v>
      </c>
    </row>
    <row r="166" spans="1:15" s="26" customFormat="1">
      <c r="A166" s="929"/>
      <c r="B166" s="15" t="s">
        <v>194</v>
      </c>
      <c r="C166" s="258" t="s">
        <v>82</v>
      </c>
      <c r="D166" s="42">
        <v>38204</v>
      </c>
      <c r="E166" s="16">
        <v>38625</v>
      </c>
      <c r="F166" s="15">
        <v>300000000</v>
      </c>
      <c r="G166" s="15">
        <v>317681227</v>
      </c>
      <c r="H166" s="15"/>
      <c r="I166" s="15"/>
      <c r="J166" s="15"/>
      <c r="K166" s="232">
        <f t="shared" si="7"/>
        <v>1.0589374233333333</v>
      </c>
      <c r="L166" s="258" t="s">
        <v>303</v>
      </c>
    </row>
    <row r="167" spans="1:15" s="26" customFormat="1">
      <c r="A167" s="930"/>
      <c r="B167" s="56" t="s">
        <v>764</v>
      </c>
      <c r="C167" s="61" t="s">
        <v>765</v>
      </c>
      <c r="D167" s="62">
        <v>37144</v>
      </c>
      <c r="E167" s="57">
        <v>38604</v>
      </c>
      <c r="F167" s="56">
        <v>300000000</v>
      </c>
      <c r="G167" s="56">
        <v>3057488910</v>
      </c>
      <c r="H167" s="56"/>
      <c r="I167" s="56"/>
      <c r="J167" s="56"/>
      <c r="K167" s="261">
        <f t="shared" si="7"/>
        <v>10.1916297</v>
      </c>
      <c r="L167" s="61" t="s">
        <v>766</v>
      </c>
    </row>
    <row r="168" spans="1:15">
      <c r="A168" s="923" t="s">
        <v>689</v>
      </c>
      <c r="B168" s="923"/>
      <c r="C168" s="923"/>
      <c r="D168" s="923"/>
      <c r="E168" s="924"/>
      <c r="F168" s="117">
        <f>SUM(F157:F167)</f>
        <v>5426301400</v>
      </c>
      <c r="G168" s="117">
        <f>SUM(G157:G167)</f>
        <v>7063810132</v>
      </c>
      <c r="H168" s="117"/>
      <c r="I168" s="117"/>
      <c r="J168" s="117"/>
      <c r="K168" s="232"/>
      <c r="L168" s="258"/>
      <c r="M168" s="26"/>
      <c r="N168" s="26"/>
      <c r="O168" s="26"/>
    </row>
    <row r="169" spans="1:15" s="26" customFormat="1">
      <c r="A169" s="928" t="s">
        <v>714</v>
      </c>
      <c r="B169" s="15" t="s">
        <v>119</v>
      </c>
      <c r="C169" s="258" t="s">
        <v>82</v>
      </c>
      <c r="D169" s="42">
        <v>36890</v>
      </c>
      <c r="E169" s="16">
        <v>37672</v>
      </c>
      <c r="F169" s="15">
        <v>1000000000</v>
      </c>
      <c r="G169" s="15">
        <v>1199025000</v>
      </c>
      <c r="H169" s="15"/>
      <c r="I169" s="15"/>
      <c r="J169" s="15"/>
      <c r="K169" s="232">
        <f t="shared" ref="K169:K193" si="8">+G169/F169</f>
        <v>1.199025</v>
      </c>
      <c r="L169" s="258" t="s">
        <v>303</v>
      </c>
    </row>
    <row r="170" spans="1:15">
      <c r="A170" s="929"/>
      <c r="B170" s="15" t="s">
        <v>198</v>
      </c>
      <c r="C170" s="258" t="s">
        <v>57</v>
      </c>
      <c r="D170" s="42">
        <v>37019</v>
      </c>
      <c r="E170" s="16">
        <v>39079</v>
      </c>
      <c r="F170" s="117">
        <v>507082192</v>
      </c>
      <c r="G170" s="117">
        <v>70001000</v>
      </c>
      <c r="H170" s="117"/>
      <c r="I170" s="117"/>
      <c r="J170" s="117"/>
      <c r="K170" s="232">
        <f t="shared" si="8"/>
        <v>0.13804665418027537</v>
      </c>
      <c r="L170" s="258" t="s">
        <v>303</v>
      </c>
      <c r="M170" s="26"/>
      <c r="N170" s="26"/>
      <c r="O170" s="26"/>
    </row>
    <row r="171" spans="1:15">
      <c r="A171" s="929"/>
      <c r="B171" s="15" t="s">
        <v>49</v>
      </c>
      <c r="C171" s="258" t="s">
        <v>57</v>
      </c>
      <c r="D171" s="42">
        <v>36958</v>
      </c>
      <c r="E171" s="16">
        <v>39079</v>
      </c>
      <c r="F171" s="117">
        <v>499995000</v>
      </c>
      <c r="G171" s="117">
        <v>1000</v>
      </c>
      <c r="H171" s="117"/>
      <c r="I171" s="117"/>
      <c r="J171" s="117"/>
      <c r="K171" s="232">
        <f t="shared" si="8"/>
        <v>2.0000200002000019E-6</v>
      </c>
      <c r="L171" s="258" t="s">
        <v>303</v>
      </c>
      <c r="M171" s="26"/>
      <c r="N171" s="26"/>
      <c r="O171" s="26"/>
    </row>
    <row r="172" spans="1:15" s="26" customFormat="1">
      <c r="A172" s="929"/>
      <c r="B172" s="15" t="s">
        <v>203</v>
      </c>
      <c r="C172" s="258" t="s">
        <v>57</v>
      </c>
      <c r="D172" s="42">
        <v>36966</v>
      </c>
      <c r="E172" s="16">
        <v>39079</v>
      </c>
      <c r="F172" s="15">
        <v>1000000000</v>
      </c>
      <c r="G172" s="15">
        <v>1000000000</v>
      </c>
      <c r="H172" s="15"/>
      <c r="I172" s="15"/>
      <c r="J172" s="15"/>
      <c r="K172" s="232">
        <f t="shared" si="8"/>
        <v>1</v>
      </c>
      <c r="L172" s="258" t="s">
        <v>303</v>
      </c>
      <c r="M172" s="4"/>
      <c r="N172" s="4"/>
      <c r="O172" s="4"/>
    </row>
    <row r="173" spans="1:15" s="26" customFormat="1">
      <c r="A173" s="929"/>
      <c r="B173" s="56" t="s">
        <v>769</v>
      </c>
      <c r="C173" s="61" t="s">
        <v>765</v>
      </c>
      <c r="D173" s="62">
        <v>36966</v>
      </c>
      <c r="E173" s="57">
        <v>39079</v>
      </c>
      <c r="F173" s="56">
        <v>500000000</v>
      </c>
      <c r="G173" s="56">
        <v>1335098650</v>
      </c>
      <c r="H173" s="56"/>
      <c r="I173" s="56"/>
      <c r="J173" s="56"/>
      <c r="K173" s="261">
        <f t="shared" si="8"/>
        <v>2.6701972999999999</v>
      </c>
      <c r="L173" s="61" t="s">
        <v>766</v>
      </c>
    </row>
    <row r="174" spans="1:15" s="26" customFormat="1">
      <c r="A174" s="929"/>
      <c r="B174" s="15" t="s">
        <v>207</v>
      </c>
      <c r="C174" s="258" t="s">
        <v>57</v>
      </c>
      <c r="D174" s="42">
        <v>36969</v>
      </c>
      <c r="E174" s="16">
        <v>37292</v>
      </c>
      <c r="F174" s="15">
        <v>1161000000</v>
      </c>
      <c r="G174" s="15">
        <v>1284200250</v>
      </c>
      <c r="H174" s="15"/>
      <c r="I174" s="15"/>
      <c r="J174" s="15"/>
      <c r="K174" s="232">
        <f t="shared" si="8"/>
        <v>1.1061156330749353</v>
      </c>
      <c r="L174" s="258" t="s">
        <v>303</v>
      </c>
    </row>
    <row r="175" spans="1:15" s="26" customFormat="1">
      <c r="A175" s="929"/>
      <c r="B175" s="15" t="s">
        <v>209</v>
      </c>
      <c r="C175" s="258" t="s">
        <v>57</v>
      </c>
      <c r="D175" s="42">
        <v>37075</v>
      </c>
      <c r="E175" s="16">
        <v>39079</v>
      </c>
      <c r="F175" s="15">
        <v>1300314953</v>
      </c>
      <c r="G175" s="117">
        <v>57631231</v>
      </c>
      <c r="H175" s="117"/>
      <c r="I175" s="117"/>
      <c r="J175" s="117"/>
      <c r="K175" s="232">
        <f t="shared" si="8"/>
        <v>4.432097844221284E-2</v>
      </c>
      <c r="L175" s="258" t="s">
        <v>303</v>
      </c>
    </row>
    <row r="176" spans="1:15" s="26" customFormat="1">
      <c r="A176" s="929"/>
      <c r="B176" s="15" t="s">
        <v>210</v>
      </c>
      <c r="C176" s="258" t="s">
        <v>57</v>
      </c>
      <c r="D176" s="42">
        <v>37090</v>
      </c>
      <c r="E176" s="16">
        <v>39079</v>
      </c>
      <c r="F176" s="15">
        <v>700000000</v>
      </c>
      <c r="G176" s="15">
        <v>616006500</v>
      </c>
      <c r="H176" s="15"/>
      <c r="I176" s="15"/>
      <c r="J176" s="15"/>
      <c r="K176" s="232">
        <f t="shared" si="8"/>
        <v>0.88000928571428572</v>
      </c>
      <c r="L176" s="258" t="s">
        <v>303</v>
      </c>
    </row>
    <row r="177" spans="1:15">
      <c r="A177" s="929"/>
      <c r="B177" s="15" t="s">
        <v>211</v>
      </c>
      <c r="C177" s="258" t="s">
        <v>82</v>
      </c>
      <c r="D177" s="42">
        <v>37117</v>
      </c>
      <c r="E177" s="16">
        <v>39079</v>
      </c>
      <c r="F177" s="117">
        <v>900000000</v>
      </c>
      <c r="G177" s="117">
        <v>1000</v>
      </c>
      <c r="H177" s="117"/>
      <c r="I177" s="117"/>
      <c r="J177" s="117"/>
      <c r="K177" s="232">
        <f t="shared" si="8"/>
        <v>1.111111111111111E-6</v>
      </c>
      <c r="L177" s="258" t="s">
        <v>303</v>
      </c>
    </row>
    <row r="178" spans="1:15" s="26" customFormat="1">
      <c r="A178" s="929"/>
      <c r="B178" s="15" t="s">
        <v>212</v>
      </c>
      <c r="C178" s="258" t="s">
        <v>57</v>
      </c>
      <c r="D178" s="42">
        <v>37113</v>
      </c>
      <c r="E178" s="16">
        <v>39079</v>
      </c>
      <c r="F178" s="15">
        <v>500000000</v>
      </c>
      <c r="G178" s="15">
        <v>23571130</v>
      </c>
      <c r="H178" s="15"/>
      <c r="I178" s="15"/>
      <c r="J178" s="15"/>
      <c r="K178" s="232">
        <f t="shared" si="8"/>
        <v>4.7142259999999998E-2</v>
      </c>
      <c r="L178" s="258" t="s">
        <v>303</v>
      </c>
    </row>
    <row r="179" spans="1:15">
      <c r="A179" s="929"/>
      <c r="B179" s="15" t="s">
        <v>215</v>
      </c>
      <c r="C179" s="258" t="s">
        <v>57</v>
      </c>
      <c r="D179" s="42">
        <v>37180</v>
      </c>
      <c r="E179" s="16">
        <v>37285</v>
      </c>
      <c r="F179" s="117">
        <v>500000000</v>
      </c>
      <c r="G179" s="117">
        <v>539758904</v>
      </c>
      <c r="H179" s="117"/>
      <c r="I179" s="117"/>
      <c r="J179" s="117"/>
      <c r="K179" s="232">
        <f t="shared" si="8"/>
        <v>1.0795178080000001</v>
      </c>
      <c r="L179" s="258" t="s">
        <v>303</v>
      </c>
      <c r="M179" s="26"/>
      <c r="N179" s="26"/>
      <c r="O179" s="26"/>
    </row>
    <row r="180" spans="1:15" s="26" customFormat="1">
      <c r="A180" s="929"/>
      <c r="B180" s="15" t="s">
        <v>217</v>
      </c>
      <c r="C180" s="258" t="s">
        <v>225</v>
      </c>
      <c r="D180" s="42">
        <v>36950</v>
      </c>
      <c r="E180" s="16">
        <v>39079</v>
      </c>
      <c r="F180" s="15">
        <v>203016000</v>
      </c>
      <c r="G180" s="15">
        <v>312902769</v>
      </c>
      <c r="H180" s="15"/>
      <c r="I180" s="15"/>
      <c r="J180" s="15"/>
      <c r="K180" s="232">
        <f t="shared" si="8"/>
        <v>1.5412714712140916</v>
      </c>
      <c r="L180" s="258" t="s">
        <v>303</v>
      </c>
    </row>
    <row r="181" spans="1:15" s="26" customFormat="1">
      <c r="A181" s="929"/>
      <c r="B181" s="15" t="s">
        <v>218</v>
      </c>
      <c r="C181" s="258" t="s">
        <v>57</v>
      </c>
      <c r="D181" s="42">
        <v>37272</v>
      </c>
      <c r="E181" s="16">
        <v>38792</v>
      </c>
      <c r="F181" s="15">
        <v>659750052</v>
      </c>
      <c r="G181" s="15">
        <v>340812769</v>
      </c>
      <c r="H181" s="15"/>
      <c r="I181" s="15"/>
      <c r="J181" s="15"/>
      <c r="K181" s="232">
        <f t="shared" si="8"/>
        <v>0.51657861635151492</v>
      </c>
      <c r="L181" s="258" t="s">
        <v>303</v>
      </c>
    </row>
    <row r="182" spans="1:15" s="26" customFormat="1">
      <c r="A182" s="929"/>
      <c r="B182" s="15" t="s">
        <v>158</v>
      </c>
      <c r="C182" s="258" t="s">
        <v>57</v>
      </c>
      <c r="D182" s="42">
        <v>37698</v>
      </c>
      <c r="E182" s="16">
        <v>38000</v>
      </c>
      <c r="F182" s="15">
        <v>1879896516</v>
      </c>
      <c r="G182" s="15">
        <v>2143586352</v>
      </c>
      <c r="H182" s="15"/>
      <c r="I182" s="15"/>
      <c r="J182" s="15"/>
      <c r="K182" s="232">
        <f t="shared" si="8"/>
        <v>1.1402682720861004</v>
      </c>
      <c r="L182" s="258" t="s">
        <v>303</v>
      </c>
    </row>
    <row r="183" spans="1:15" s="26" customFormat="1">
      <c r="A183" s="929"/>
      <c r="B183" s="15" t="s">
        <v>220</v>
      </c>
      <c r="C183" s="258" t="s">
        <v>82</v>
      </c>
      <c r="D183" s="42">
        <v>37350</v>
      </c>
      <c r="E183" s="16">
        <v>38877</v>
      </c>
      <c r="F183" s="15">
        <v>300000000</v>
      </c>
      <c r="G183" s="15">
        <v>272000000</v>
      </c>
      <c r="H183" s="15"/>
      <c r="I183" s="15"/>
      <c r="J183" s="15"/>
      <c r="K183" s="232">
        <f t="shared" si="8"/>
        <v>0.90666666666666662</v>
      </c>
      <c r="L183" s="258" t="s">
        <v>303</v>
      </c>
    </row>
    <row r="184" spans="1:15" s="26" customFormat="1">
      <c r="A184" s="929"/>
      <c r="B184" s="15" t="s">
        <v>224</v>
      </c>
      <c r="C184" s="258" t="s">
        <v>57</v>
      </c>
      <c r="D184" s="42">
        <v>37295</v>
      </c>
      <c r="E184" s="16">
        <v>37734</v>
      </c>
      <c r="F184" s="15">
        <v>300000000</v>
      </c>
      <c r="G184" s="15">
        <v>328865753</v>
      </c>
      <c r="H184" s="15"/>
      <c r="I184" s="15"/>
      <c r="J184" s="15"/>
      <c r="K184" s="232">
        <f t="shared" si="8"/>
        <v>1.0962191766666667</v>
      </c>
      <c r="L184" s="258" t="s">
        <v>303</v>
      </c>
      <c r="M184" s="4"/>
      <c r="N184" s="4"/>
      <c r="O184" s="4"/>
    </row>
    <row r="185" spans="1:15" s="26" customFormat="1">
      <c r="A185" s="929"/>
      <c r="B185" s="15" t="s">
        <v>84</v>
      </c>
      <c r="C185" s="258" t="s">
        <v>57</v>
      </c>
      <c r="D185" s="42">
        <v>37984</v>
      </c>
      <c r="E185" s="16">
        <v>38202</v>
      </c>
      <c r="F185" s="15">
        <v>4570000</v>
      </c>
      <c r="G185" s="15">
        <v>56245732</v>
      </c>
      <c r="H185" s="15"/>
      <c r="I185" s="15"/>
      <c r="J185" s="15"/>
      <c r="K185" s="232">
        <f t="shared" si="8"/>
        <v>12.307600000000001</v>
      </c>
      <c r="L185" s="258" t="s">
        <v>303</v>
      </c>
    </row>
    <row r="186" spans="1:15">
      <c r="A186" s="929"/>
      <c r="B186" s="15" t="s">
        <v>227</v>
      </c>
      <c r="C186" s="258" t="s">
        <v>57</v>
      </c>
      <c r="D186" s="42">
        <v>37517</v>
      </c>
      <c r="E186" s="16">
        <v>39064</v>
      </c>
      <c r="F186" s="117">
        <v>499980000</v>
      </c>
      <c r="G186" s="117">
        <v>15000000</v>
      </c>
      <c r="H186" s="117"/>
      <c r="I186" s="117"/>
      <c r="J186" s="117"/>
      <c r="K186" s="232">
        <f t="shared" si="8"/>
        <v>3.0001200048001921E-2</v>
      </c>
      <c r="L186" s="258" t="s">
        <v>303</v>
      </c>
    </row>
    <row r="187" spans="1:15" s="26" customFormat="1">
      <c r="A187" s="929"/>
      <c r="B187" s="15" t="s">
        <v>228</v>
      </c>
      <c r="C187" s="258" t="s">
        <v>57</v>
      </c>
      <c r="D187" s="42">
        <v>37914</v>
      </c>
      <c r="E187" s="16">
        <v>38734</v>
      </c>
      <c r="F187" s="15">
        <v>1120000000</v>
      </c>
      <c r="G187" s="15">
        <v>691274770</v>
      </c>
      <c r="H187" s="15"/>
      <c r="I187" s="15"/>
      <c r="J187" s="15"/>
      <c r="K187" s="232">
        <f t="shared" si="8"/>
        <v>0.61720961607142855</v>
      </c>
      <c r="L187" s="258" t="s">
        <v>303</v>
      </c>
      <c r="M187" s="4"/>
      <c r="N187" s="4"/>
      <c r="O187" s="4"/>
    </row>
    <row r="188" spans="1:15" s="26" customFormat="1">
      <c r="A188" s="929"/>
      <c r="B188" s="15" t="s">
        <v>230</v>
      </c>
      <c r="C188" s="258" t="s">
        <v>57</v>
      </c>
      <c r="D188" s="42">
        <v>37861</v>
      </c>
      <c r="E188" s="16">
        <v>37901</v>
      </c>
      <c r="F188" s="15">
        <v>1000000000</v>
      </c>
      <c r="G188" s="15">
        <v>1000000000</v>
      </c>
      <c r="H188" s="15"/>
      <c r="I188" s="15"/>
      <c r="J188" s="15"/>
      <c r="K188" s="232">
        <f t="shared" si="8"/>
        <v>1</v>
      </c>
      <c r="L188" s="258" t="s">
        <v>303</v>
      </c>
    </row>
    <row r="189" spans="1:15">
      <c r="A189" s="929"/>
      <c r="B189" s="56" t="s">
        <v>770</v>
      </c>
      <c r="C189" s="61" t="s">
        <v>765</v>
      </c>
      <c r="D189" s="62">
        <v>38078</v>
      </c>
      <c r="E189" s="57">
        <v>38989</v>
      </c>
      <c r="F189" s="174">
        <v>714928200</v>
      </c>
      <c r="G189" s="174">
        <v>2482381150</v>
      </c>
      <c r="H189" s="174"/>
      <c r="I189" s="174"/>
      <c r="J189" s="174"/>
      <c r="K189" s="261">
        <f t="shared" si="8"/>
        <v>3.4722104261658724</v>
      </c>
      <c r="L189" s="61" t="s">
        <v>766</v>
      </c>
    </row>
    <row r="190" spans="1:15">
      <c r="A190" s="929"/>
      <c r="B190" s="15" t="s">
        <v>161</v>
      </c>
      <c r="C190" s="258" t="s">
        <v>57</v>
      </c>
      <c r="D190" s="42">
        <v>38131</v>
      </c>
      <c r="E190" s="16">
        <v>38985</v>
      </c>
      <c r="F190" s="117">
        <v>1003125000</v>
      </c>
      <c r="G190" s="117">
        <v>1263000570</v>
      </c>
      <c r="H190" s="117"/>
      <c r="I190" s="117"/>
      <c r="J190" s="117"/>
      <c r="K190" s="232">
        <f t="shared" si="8"/>
        <v>1.2590659887850468</v>
      </c>
      <c r="L190" s="258" t="s">
        <v>303</v>
      </c>
      <c r="M190" s="26"/>
      <c r="N190" s="26"/>
      <c r="O190" s="26"/>
    </row>
    <row r="191" spans="1:15">
      <c r="A191" s="929"/>
      <c r="B191" s="15" t="s">
        <v>234</v>
      </c>
      <c r="C191" s="258" t="s">
        <v>57</v>
      </c>
      <c r="D191" s="42">
        <v>37343</v>
      </c>
      <c r="E191" s="16">
        <v>38779</v>
      </c>
      <c r="F191" s="117">
        <v>499999500</v>
      </c>
      <c r="G191" s="117">
        <v>436111632</v>
      </c>
      <c r="H191" s="117"/>
      <c r="I191" s="117"/>
      <c r="J191" s="117"/>
      <c r="K191" s="232">
        <f t="shared" si="8"/>
        <v>0.87222413622413619</v>
      </c>
      <c r="L191" s="258" t="s">
        <v>303</v>
      </c>
    </row>
    <row r="192" spans="1:15">
      <c r="A192" s="929"/>
      <c r="B192" s="56" t="s">
        <v>772</v>
      </c>
      <c r="C192" s="61" t="s">
        <v>765</v>
      </c>
      <c r="D192" s="62">
        <v>38273</v>
      </c>
      <c r="E192" s="57">
        <v>38631</v>
      </c>
      <c r="F192" s="174">
        <v>644199564</v>
      </c>
      <c r="G192" s="174">
        <v>2154722393</v>
      </c>
      <c r="H192" s="174"/>
      <c r="I192" s="174"/>
      <c r="J192" s="174"/>
      <c r="K192" s="261">
        <f t="shared" si="8"/>
        <v>3.3448057301075726</v>
      </c>
      <c r="L192" s="61" t="s">
        <v>766</v>
      </c>
    </row>
    <row r="193" spans="1:15">
      <c r="A193" s="930"/>
      <c r="B193" s="15" t="s">
        <v>178</v>
      </c>
      <c r="C193" s="258" t="s">
        <v>90</v>
      </c>
      <c r="D193" s="42">
        <v>38680</v>
      </c>
      <c r="E193" s="16">
        <v>39092</v>
      </c>
      <c r="F193" s="117">
        <v>299197105</v>
      </c>
      <c r="G193" s="117">
        <v>295575465</v>
      </c>
      <c r="H193" s="117"/>
      <c r="I193" s="117"/>
      <c r="J193" s="117"/>
      <c r="K193" s="232">
        <f t="shared" si="8"/>
        <v>0.98789547111426768</v>
      </c>
      <c r="L193" s="258" t="s">
        <v>303</v>
      </c>
    </row>
    <row r="194" spans="1:15">
      <c r="A194" s="923" t="s">
        <v>689</v>
      </c>
      <c r="B194" s="923"/>
      <c r="C194" s="923"/>
      <c r="D194" s="923"/>
      <c r="E194" s="924"/>
      <c r="F194" s="117">
        <f>SUM(F169:F193)</f>
        <v>17697054082</v>
      </c>
      <c r="G194" s="117">
        <f>SUM(G169:G193)</f>
        <v>17917774020</v>
      </c>
      <c r="H194" s="117"/>
      <c r="I194" s="117"/>
      <c r="J194" s="117"/>
      <c r="K194" s="232"/>
      <c r="L194" s="258"/>
    </row>
    <row r="195" spans="1:15">
      <c r="A195" s="258" t="s">
        <v>715</v>
      </c>
      <c r="B195" s="15" t="s">
        <v>238</v>
      </c>
      <c r="C195" s="258" t="s">
        <v>57</v>
      </c>
      <c r="D195" s="42">
        <v>36997</v>
      </c>
      <c r="E195" s="16">
        <v>38776</v>
      </c>
      <c r="F195" s="117">
        <v>1000025000</v>
      </c>
      <c r="G195" s="117">
        <v>292615894</v>
      </c>
      <c r="H195" s="117"/>
      <c r="I195" s="117"/>
      <c r="J195" s="117"/>
      <c r="K195" s="232">
        <f>+G195/F195</f>
        <v>0.29260857878553037</v>
      </c>
      <c r="L195" s="258" t="s">
        <v>303</v>
      </c>
    </row>
    <row r="196" spans="1:15" s="26" customFormat="1">
      <c r="A196" s="922" t="s">
        <v>716</v>
      </c>
      <c r="B196" s="923"/>
      <c r="C196" s="923"/>
      <c r="D196" s="923"/>
      <c r="E196" s="924"/>
      <c r="F196" s="15">
        <f>SUM(F195)</f>
        <v>1000025000</v>
      </c>
      <c r="G196" s="15">
        <f>SUM(G195)</f>
        <v>292615894</v>
      </c>
      <c r="H196" s="15"/>
      <c r="I196" s="15"/>
      <c r="J196" s="15"/>
      <c r="K196" s="232"/>
      <c r="L196" s="258"/>
    </row>
    <row r="197" spans="1:15">
      <c r="A197" s="928" t="s">
        <v>717</v>
      </c>
      <c r="B197" s="15" t="s">
        <v>241</v>
      </c>
      <c r="C197" s="258" t="s">
        <v>82</v>
      </c>
      <c r="D197" s="42">
        <v>37585</v>
      </c>
      <c r="E197" s="16">
        <v>39246</v>
      </c>
      <c r="F197" s="117">
        <v>1300000000</v>
      </c>
      <c r="G197" s="117">
        <v>1317397157</v>
      </c>
      <c r="H197" s="117"/>
      <c r="I197" s="117"/>
      <c r="J197" s="117"/>
      <c r="K197" s="232">
        <f t="shared" ref="K197:K210" si="9">+G197/F197</f>
        <v>1.0133824284615385</v>
      </c>
      <c r="L197" s="258" t="s">
        <v>303</v>
      </c>
      <c r="M197" s="26"/>
      <c r="N197" s="26"/>
      <c r="O197" s="26"/>
    </row>
    <row r="198" spans="1:15">
      <c r="A198" s="929"/>
      <c r="B198" s="15" t="s">
        <v>773</v>
      </c>
      <c r="C198" s="259" t="s">
        <v>765</v>
      </c>
      <c r="D198" s="42">
        <v>37825</v>
      </c>
      <c r="E198" s="16">
        <v>38034</v>
      </c>
      <c r="F198" s="265">
        <v>699930000</v>
      </c>
      <c r="G198" s="265">
        <v>1485407000</v>
      </c>
      <c r="H198" s="265"/>
      <c r="I198" s="265"/>
      <c r="J198" s="265"/>
      <c r="K198" s="232">
        <f t="shared" si="9"/>
        <v>2.1222222222222222</v>
      </c>
      <c r="L198" s="259" t="s">
        <v>766</v>
      </c>
    </row>
    <row r="199" spans="1:15">
      <c r="A199" s="929"/>
      <c r="B199" s="15" t="s">
        <v>244</v>
      </c>
      <c r="C199" s="258" t="s">
        <v>82</v>
      </c>
      <c r="D199" s="42">
        <v>37680</v>
      </c>
      <c r="E199" s="16">
        <v>38790</v>
      </c>
      <c r="F199" s="117">
        <v>650000000</v>
      </c>
      <c r="G199" s="117">
        <v>751545968</v>
      </c>
      <c r="H199" s="117"/>
      <c r="I199" s="117"/>
      <c r="J199" s="117"/>
      <c r="K199" s="232">
        <f t="shared" si="9"/>
        <v>1.1562245661538462</v>
      </c>
      <c r="L199" s="258" t="s">
        <v>303</v>
      </c>
      <c r="M199" s="26"/>
      <c r="N199" s="26"/>
      <c r="O199" s="26"/>
    </row>
    <row r="200" spans="1:15">
      <c r="A200" s="929"/>
      <c r="B200" s="15" t="s">
        <v>245</v>
      </c>
      <c r="C200" s="258" t="s">
        <v>225</v>
      </c>
      <c r="D200" s="42">
        <v>37599</v>
      </c>
      <c r="E200" s="16">
        <v>39059</v>
      </c>
      <c r="F200" s="117">
        <v>400000000</v>
      </c>
      <c r="G200" s="117">
        <v>150000000</v>
      </c>
      <c r="H200" s="117"/>
      <c r="I200" s="117"/>
      <c r="J200" s="117"/>
      <c r="K200" s="232">
        <f t="shared" si="9"/>
        <v>0.375</v>
      </c>
      <c r="L200" s="258" t="s">
        <v>303</v>
      </c>
    </row>
    <row r="201" spans="1:15">
      <c r="A201" s="929"/>
      <c r="B201" s="15" t="s">
        <v>246</v>
      </c>
      <c r="C201" s="258" t="s">
        <v>82</v>
      </c>
      <c r="D201" s="42">
        <v>38110</v>
      </c>
      <c r="E201" s="16">
        <v>38776</v>
      </c>
      <c r="F201" s="117">
        <v>350000000</v>
      </c>
      <c r="G201" s="117">
        <v>350000000</v>
      </c>
      <c r="H201" s="117"/>
      <c r="I201" s="117"/>
      <c r="J201" s="117"/>
      <c r="K201" s="232">
        <f t="shared" si="9"/>
        <v>1</v>
      </c>
      <c r="L201" s="258" t="s">
        <v>303</v>
      </c>
      <c r="M201" s="26"/>
      <c r="N201" s="26"/>
      <c r="O201" s="26"/>
    </row>
    <row r="202" spans="1:15">
      <c r="A202" s="929"/>
      <c r="B202" s="15" t="s">
        <v>248</v>
      </c>
      <c r="C202" s="258" t="s">
        <v>57</v>
      </c>
      <c r="D202" s="42">
        <v>38071</v>
      </c>
      <c r="E202" s="16"/>
      <c r="F202" s="117">
        <v>1000000000</v>
      </c>
      <c r="G202" s="117">
        <v>1028118070</v>
      </c>
      <c r="H202" s="117"/>
      <c r="I202" s="117"/>
      <c r="J202" s="117"/>
      <c r="K202" s="232">
        <f t="shared" si="9"/>
        <v>1.0281180700000001</v>
      </c>
      <c r="L202" s="258" t="s">
        <v>303</v>
      </c>
    </row>
    <row r="203" spans="1:15">
      <c r="A203" s="929"/>
      <c r="B203" s="15" t="s">
        <v>249</v>
      </c>
      <c r="C203" s="258" t="s">
        <v>82</v>
      </c>
      <c r="D203" s="42">
        <v>37960</v>
      </c>
      <c r="E203" s="16">
        <v>38775</v>
      </c>
      <c r="F203" s="117">
        <v>4000000000</v>
      </c>
      <c r="G203" s="117">
        <v>4272898279</v>
      </c>
      <c r="H203" s="117"/>
      <c r="I203" s="117"/>
      <c r="J203" s="117"/>
      <c r="K203" s="232">
        <f t="shared" si="9"/>
        <v>1.0682245697499999</v>
      </c>
      <c r="L203" s="258" t="s">
        <v>303</v>
      </c>
    </row>
    <row r="204" spans="1:15">
      <c r="A204" s="929"/>
      <c r="B204" s="15" t="s">
        <v>250</v>
      </c>
      <c r="C204" s="258" t="s">
        <v>82</v>
      </c>
      <c r="D204" s="42">
        <v>37981</v>
      </c>
      <c r="E204" s="16">
        <v>38293</v>
      </c>
      <c r="F204" s="117">
        <v>2000000000</v>
      </c>
      <c r="G204" s="117">
        <v>2051287671</v>
      </c>
      <c r="H204" s="117"/>
      <c r="I204" s="117"/>
      <c r="J204" s="117"/>
      <c r="K204" s="232">
        <f t="shared" si="9"/>
        <v>1.0256438354999999</v>
      </c>
      <c r="L204" s="258" t="s">
        <v>303</v>
      </c>
    </row>
    <row r="205" spans="1:15">
      <c r="A205" s="929"/>
      <c r="B205" s="15" t="s">
        <v>251</v>
      </c>
      <c r="C205" s="258" t="s">
        <v>8</v>
      </c>
      <c r="D205" s="42">
        <v>38667</v>
      </c>
      <c r="E205" s="16">
        <v>38698</v>
      </c>
      <c r="F205" s="117">
        <v>499995258</v>
      </c>
      <c r="G205" s="117">
        <v>619317000</v>
      </c>
      <c r="H205" s="117"/>
      <c r="I205" s="117"/>
      <c r="J205" s="117"/>
      <c r="K205" s="232">
        <f t="shared" si="9"/>
        <v>1.2386457473162675</v>
      </c>
      <c r="L205" s="258" t="s">
        <v>303</v>
      </c>
    </row>
    <row r="206" spans="1:15">
      <c r="A206" s="929"/>
      <c r="B206" s="56" t="s">
        <v>774</v>
      </c>
      <c r="C206" s="61" t="s">
        <v>775</v>
      </c>
      <c r="D206" s="62">
        <v>38680</v>
      </c>
      <c r="E206" s="57">
        <v>38989</v>
      </c>
      <c r="F206" s="174">
        <v>499999500</v>
      </c>
      <c r="G206" s="174">
        <v>1024408230</v>
      </c>
      <c r="H206" s="174"/>
      <c r="I206" s="174"/>
      <c r="J206" s="174"/>
      <c r="K206" s="261">
        <f t="shared" si="9"/>
        <v>2.0488185088185089</v>
      </c>
      <c r="L206" s="61" t="s">
        <v>766</v>
      </c>
    </row>
    <row r="207" spans="1:15">
      <c r="A207" s="929"/>
      <c r="B207" s="15" t="s">
        <v>254</v>
      </c>
      <c r="C207" s="258" t="s">
        <v>90</v>
      </c>
      <c r="D207" s="42">
        <v>38709</v>
      </c>
      <c r="E207" s="16">
        <v>38957</v>
      </c>
      <c r="F207" s="117">
        <v>137500000</v>
      </c>
      <c r="G207" s="117">
        <v>788292134</v>
      </c>
      <c r="H207" s="117"/>
      <c r="I207" s="117"/>
      <c r="J207" s="117"/>
      <c r="K207" s="232">
        <f t="shared" si="9"/>
        <v>5.7330337018181821</v>
      </c>
      <c r="L207" s="258" t="s">
        <v>303</v>
      </c>
      <c r="M207" s="26"/>
      <c r="N207" s="26"/>
      <c r="O207" s="26"/>
    </row>
    <row r="208" spans="1:15">
      <c r="A208" s="929"/>
      <c r="B208" s="15" t="s">
        <v>340</v>
      </c>
      <c r="C208" s="258" t="s">
        <v>341</v>
      </c>
      <c r="D208" s="42">
        <v>39359</v>
      </c>
      <c r="E208" s="16">
        <v>39385</v>
      </c>
      <c r="F208" s="117">
        <v>769128560</v>
      </c>
      <c r="G208" s="117">
        <v>382514830</v>
      </c>
      <c r="H208" s="117"/>
      <c r="I208" s="117"/>
      <c r="J208" s="117"/>
      <c r="K208" s="232">
        <f t="shared" si="9"/>
        <v>0.49733536094407937</v>
      </c>
      <c r="L208" s="258" t="s">
        <v>303</v>
      </c>
    </row>
    <row r="209" spans="1:15">
      <c r="A209" s="929"/>
      <c r="B209" s="15" t="s">
        <v>256</v>
      </c>
      <c r="C209" s="258" t="s">
        <v>149</v>
      </c>
      <c r="D209" s="42">
        <v>38293</v>
      </c>
      <c r="E209" s="16">
        <v>38775</v>
      </c>
      <c r="F209" s="117">
        <v>2000000000</v>
      </c>
      <c r="G209" s="117">
        <v>2231150685</v>
      </c>
      <c r="H209" s="117"/>
      <c r="I209" s="117"/>
      <c r="J209" s="117"/>
      <c r="K209" s="232">
        <f t="shared" si="9"/>
        <v>1.1155753424999999</v>
      </c>
      <c r="L209" s="258" t="s">
        <v>303</v>
      </c>
      <c r="M209" s="26"/>
      <c r="N209" s="26"/>
      <c r="O209" s="26"/>
    </row>
    <row r="210" spans="1:15">
      <c r="A210" s="930"/>
      <c r="B210" s="15" t="s">
        <v>162</v>
      </c>
      <c r="C210" s="258" t="s">
        <v>34</v>
      </c>
      <c r="D210" s="42">
        <v>38147</v>
      </c>
      <c r="E210" s="16">
        <v>38736</v>
      </c>
      <c r="F210" s="117">
        <v>2343331046</v>
      </c>
      <c r="G210" s="117">
        <v>1218121399</v>
      </c>
      <c r="H210" s="117"/>
      <c r="I210" s="117"/>
      <c r="J210" s="117"/>
      <c r="K210" s="232">
        <f t="shared" si="9"/>
        <v>0.51982471750173709</v>
      </c>
      <c r="L210" s="258" t="s">
        <v>303</v>
      </c>
      <c r="M210" s="26"/>
      <c r="N210" s="26"/>
      <c r="O210" s="26"/>
    </row>
    <row r="211" spans="1:15" s="26" customFormat="1" ht="18.75" customHeight="1">
      <c r="A211" s="922" t="s">
        <v>716</v>
      </c>
      <c r="B211" s="923"/>
      <c r="C211" s="923"/>
      <c r="D211" s="923"/>
      <c r="E211" s="924"/>
      <c r="F211" s="15">
        <f>SUM(F197:F210)</f>
        <v>16649884364</v>
      </c>
      <c r="G211" s="15">
        <f>SUM(G197:G210)</f>
        <v>17670458423</v>
      </c>
      <c r="H211" s="15"/>
      <c r="I211" s="15"/>
      <c r="J211" s="15"/>
      <c r="K211" s="232"/>
      <c r="L211" s="258"/>
    </row>
    <row r="212" spans="1:15">
      <c r="A212" s="925" t="s">
        <v>718</v>
      </c>
      <c r="B212" s="15" t="s">
        <v>439</v>
      </c>
      <c r="C212" s="258" t="s">
        <v>8</v>
      </c>
      <c r="D212" s="42">
        <v>37455</v>
      </c>
      <c r="E212" s="42">
        <v>38352</v>
      </c>
      <c r="F212" s="117">
        <v>500000000</v>
      </c>
      <c r="G212" s="117">
        <v>0</v>
      </c>
      <c r="H212" s="117"/>
      <c r="I212" s="117"/>
      <c r="J212" s="117"/>
      <c r="K212" s="232">
        <f t="shared" ref="K212:K227" si="10">+G212/F212</f>
        <v>0</v>
      </c>
      <c r="L212" s="258" t="s">
        <v>335</v>
      </c>
    </row>
    <row r="213" spans="1:15">
      <c r="A213" s="926"/>
      <c r="B213" s="15" t="s">
        <v>227</v>
      </c>
      <c r="C213" s="258" t="s">
        <v>8</v>
      </c>
      <c r="D213" s="42">
        <v>37517</v>
      </c>
      <c r="E213" s="42">
        <v>39079</v>
      </c>
      <c r="F213" s="117">
        <v>499980000</v>
      </c>
      <c r="G213" s="117">
        <v>15000000</v>
      </c>
      <c r="H213" s="117"/>
      <c r="I213" s="117"/>
      <c r="J213" s="117"/>
      <c r="K213" s="232">
        <f t="shared" si="10"/>
        <v>3.0001200048001921E-2</v>
      </c>
      <c r="L213" s="258" t="s">
        <v>303</v>
      </c>
    </row>
    <row r="214" spans="1:15">
      <c r="A214" s="926"/>
      <c r="B214" s="15" t="s">
        <v>443</v>
      </c>
      <c r="C214" s="258" t="s">
        <v>351</v>
      </c>
      <c r="D214" s="42">
        <v>37599</v>
      </c>
      <c r="E214" s="42">
        <v>39184</v>
      </c>
      <c r="F214" s="117">
        <v>1000000000</v>
      </c>
      <c r="G214" s="117">
        <v>1345572806</v>
      </c>
      <c r="H214" s="117"/>
      <c r="I214" s="117"/>
      <c r="J214" s="117"/>
      <c r="K214" s="232">
        <f t="shared" si="10"/>
        <v>1.3455728060000001</v>
      </c>
      <c r="L214" s="258" t="s">
        <v>303</v>
      </c>
    </row>
    <row r="215" spans="1:15">
      <c r="A215" s="926"/>
      <c r="B215" s="15" t="s">
        <v>449</v>
      </c>
      <c r="C215" s="258" t="s">
        <v>350</v>
      </c>
      <c r="D215" s="42">
        <v>37889</v>
      </c>
      <c r="E215" s="235">
        <v>38989</v>
      </c>
      <c r="F215" s="117">
        <v>1499999500</v>
      </c>
      <c r="G215" s="117">
        <v>3886950980</v>
      </c>
      <c r="H215" s="117"/>
      <c r="I215" s="117"/>
      <c r="J215" s="117"/>
      <c r="K215" s="232">
        <f t="shared" si="10"/>
        <v>2.5913015171005056</v>
      </c>
      <c r="L215" s="258" t="s">
        <v>303</v>
      </c>
    </row>
    <row r="216" spans="1:15">
      <c r="A216" s="926"/>
      <c r="B216" s="15" t="s">
        <v>443</v>
      </c>
      <c r="C216" s="258" t="s">
        <v>8</v>
      </c>
      <c r="D216" s="42">
        <v>37986</v>
      </c>
      <c r="E216" s="42">
        <v>39184</v>
      </c>
      <c r="F216" s="117">
        <v>402290410</v>
      </c>
      <c r="G216" s="117">
        <v>488432190</v>
      </c>
      <c r="H216" s="117"/>
      <c r="I216" s="117"/>
      <c r="J216" s="117"/>
      <c r="K216" s="232">
        <f t="shared" si="10"/>
        <v>1.2141283457390892</v>
      </c>
      <c r="L216" s="258" t="s">
        <v>303</v>
      </c>
    </row>
    <row r="217" spans="1:15">
      <c r="A217" s="926"/>
      <c r="B217" s="15" t="s">
        <v>451</v>
      </c>
      <c r="C217" s="258" t="s">
        <v>341</v>
      </c>
      <c r="D217" s="42">
        <v>37985</v>
      </c>
      <c r="E217" s="42">
        <v>39114</v>
      </c>
      <c r="F217" s="117">
        <v>520000000</v>
      </c>
      <c r="G217" s="117">
        <v>328133630</v>
      </c>
      <c r="H217" s="117"/>
      <c r="I217" s="117"/>
      <c r="J217" s="117"/>
      <c r="K217" s="232">
        <f t="shared" si="10"/>
        <v>0.6310262115384615</v>
      </c>
      <c r="L217" s="258" t="s">
        <v>303</v>
      </c>
    </row>
    <row r="218" spans="1:15">
      <c r="A218" s="926"/>
      <c r="B218" s="15" t="s">
        <v>453</v>
      </c>
      <c r="C218" s="258" t="s">
        <v>8</v>
      </c>
      <c r="D218" s="42">
        <v>38117</v>
      </c>
      <c r="E218" s="42">
        <v>38490</v>
      </c>
      <c r="F218" s="117">
        <v>510000000</v>
      </c>
      <c r="G218" s="117">
        <v>510000000</v>
      </c>
      <c r="H218" s="117"/>
      <c r="I218" s="117"/>
      <c r="J218" s="117"/>
      <c r="K218" s="232">
        <f t="shared" si="10"/>
        <v>1</v>
      </c>
      <c r="L218" s="258" t="s">
        <v>303</v>
      </c>
    </row>
    <row r="219" spans="1:15">
      <c r="A219" s="926"/>
      <c r="B219" s="15" t="s">
        <v>455</v>
      </c>
      <c r="C219" s="258" t="s">
        <v>351</v>
      </c>
      <c r="D219" s="42">
        <v>38267</v>
      </c>
      <c r="E219" s="42">
        <v>39230</v>
      </c>
      <c r="F219" s="117">
        <v>500000000</v>
      </c>
      <c r="G219" s="117">
        <v>621561524</v>
      </c>
      <c r="H219" s="117"/>
      <c r="I219" s="117"/>
      <c r="J219" s="117"/>
      <c r="K219" s="232">
        <f t="shared" si="10"/>
        <v>1.243123048</v>
      </c>
      <c r="L219" s="258" t="s">
        <v>303</v>
      </c>
    </row>
    <row r="220" spans="1:15">
      <c r="A220" s="926"/>
      <c r="B220" s="15" t="s">
        <v>459</v>
      </c>
      <c r="C220" s="258" t="s">
        <v>82</v>
      </c>
      <c r="D220" s="42">
        <v>38321</v>
      </c>
      <c r="E220" s="42">
        <v>39082</v>
      </c>
      <c r="F220" s="117">
        <v>1200000000</v>
      </c>
      <c r="G220" s="117">
        <v>433671233</v>
      </c>
      <c r="H220" s="117"/>
      <c r="I220" s="117"/>
      <c r="J220" s="117"/>
      <c r="K220" s="232">
        <f t="shared" si="10"/>
        <v>0.36139269416666664</v>
      </c>
      <c r="L220" s="258" t="s">
        <v>303</v>
      </c>
    </row>
    <row r="221" spans="1:15">
      <c r="A221" s="926"/>
      <c r="B221" s="56" t="s">
        <v>770</v>
      </c>
      <c r="C221" s="61" t="s">
        <v>771</v>
      </c>
      <c r="D221" s="62">
        <v>38078</v>
      </c>
      <c r="E221" s="62">
        <v>38132</v>
      </c>
      <c r="F221" s="174">
        <v>408000000</v>
      </c>
      <c r="G221" s="174">
        <v>586080000</v>
      </c>
      <c r="H221" s="174"/>
      <c r="I221" s="174"/>
      <c r="J221" s="174"/>
      <c r="K221" s="261">
        <f t="shared" si="10"/>
        <v>1.4364705882352942</v>
      </c>
      <c r="L221" s="61" t="s">
        <v>766</v>
      </c>
    </row>
    <row r="222" spans="1:15">
      <c r="A222" s="926"/>
      <c r="B222" s="15" t="s">
        <v>465</v>
      </c>
      <c r="C222" s="258" t="s">
        <v>90</v>
      </c>
      <c r="D222" s="42">
        <v>38351</v>
      </c>
      <c r="E222" s="42">
        <v>39204</v>
      </c>
      <c r="F222" s="117">
        <v>1099989000</v>
      </c>
      <c r="G222" s="117">
        <v>1118745540</v>
      </c>
      <c r="H222" s="117"/>
      <c r="I222" s="117"/>
      <c r="J222" s="117"/>
      <c r="K222" s="232">
        <f t="shared" si="10"/>
        <v>1.0170515705157051</v>
      </c>
      <c r="L222" s="258" t="s">
        <v>303</v>
      </c>
    </row>
    <row r="223" spans="1:15">
      <c r="A223" s="926"/>
      <c r="B223" s="56" t="s">
        <v>767</v>
      </c>
      <c r="C223" s="61" t="s">
        <v>768</v>
      </c>
      <c r="D223" s="62">
        <v>38533</v>
      </c>
      <c r="E223" s="264">
        <v>39366</v>
      </c>
      <c r="F223" s="174">
        <v>1000000000</v>
      </c>
      <c r="G223" s="174">
        <v>4974834350</v>
      </c>
      <c r="H223" s="174"/>
      <c r="I223" s="174"/>
      <c r="J223" s="174"/>
      <c r="K223" s="261">
        <f t="shared" si="10"/>
        <v>4.9748343500000001</v>
      </c>
      <c r="L223" s="61" t="s">
        <v>766</v>
      </c>
    </row>
    <row r="224" spans="1:15">
      <c r="A224" s="926"/>
      <c r="B224" s="15" t="s">
        <v>468</v>
      </c>
      <c r="C224" s="258" t="s">
        <v>350</v>
      </c>
      <c r="D224" s="42">
        <v>38667</v>
      </c>
      <c r="E224" s="42">
        <v>38406</v>
      </c>
      <c r="F224" s="117">
        <v>1999997782</v>
      </c>
      <c r="G224" s="117">
        <v>2238643000</v>
      </c>
      <c r="H224" s="117"/>
      <c r="I224" s="117"/>
      <c r="J224" s="117"/>
      <c r="K224" s="232">
        <f t="shared" si="10"/>
        <v>1.1193227413289202</v>
      </c>
      <c r="L224" s="258" t="s">
        <v>303</v>
      </c>
    </row>
    <row r="225" spans="1:12">
      <c r="A225" s="926"/>
      <c r="B225" s="15" t="s">
        <v>178</v>
      </c>
      <c r="C225" s="258" t="s">
        <v>341</v>
      </c>
      <c r="D225" s="42">
        <v>38384</v>
      </c>
      <c r="E225" s="235">
        <v>39234</v>
      </c>
      <c r="F225" s="117">
        <v>1169000000</v>
      </c>
      <c r="G225" s="117">
        <v>1492537924</v>
      </c>
      <c r="H225" s="117"/>
      <c r="I225" s="117"/>
      <c r="J225" s="117"/>
      <c r="K225" s="232">
        <f t="shared" si="10"/>
        <v>1.2767646911890504</v>
      </c>
      <c r="L225" s="258" t="s">
        <v>303</v>
      </c>
    </row>
    <row r="226" spans="1:12">
      <c r="A226" s="926"/>
      <c r="B226" s="15" t="s">
        <v>470</v>
      </c>
      <c r="C226" s="258" t="s">
        <v>351</v>
      </c>
      <c r="D226" s="42">
        <v>38821</v>
      </c>
      <c r="E226" s="42">
        <v>39370</v>
      </c>
      <c r="F226" s="117">
        <v>266200000</v>
      </c>
      <c r="G226" s="117">
        <v>286201280</v>
      </c>
      <c r="H226" s="117"/>
      <c r="I226" s="117"/>
      <c r="J226" s="117"/>
      <c r="K226" s="232">
        <f t="shared" si="10"/>
        <v>1.0751362885048836</v>
      </c>
      <c r="L226" s="258" t="s">
        <v>303</v>
      </c>
    </row>
    <row r="227" spans="1:12">
      <c r="A227" s="927"/>
      <c r="B227" s="15" t="s">
        <v>471</v>
      </c>
      <c r="C227" s="258" t="s">
        <v>341</v>
      </c>
      <c r="D227" s="42">
        <v>38730</v>
      </c>
      <c r="E227" s="42">
        <v>38806</v>
      </c>
      <c r="F227" s="117">
        <v>482595400</v>
      </c>
      <c r="G227" s="117">
        <v>501857157</v>
      </c>
      <c r="H227" s="117"/>
      <c r="I227" s="117"/>
      <c r="J227" s="117"/>
      <c r="K227" s="232">
        <f t="shared" si="10"/>
        <v>1.0399128483197313</v>
      </c>
      <c r="L227" s="258" t="s">
        <v>303</v>
      </c>
    </row>
    <row r="228" spans="1:12">
      <c r="A228" s="922" t="s">
        <v>716</v>
      </c>
      <c r="B228" s="923"/>
      <c r="C228" s="923"/>
      <c r="D228" s="923"/>
      <c r="E228" s="924"/>
      <c r="F228" s="117">
        <f>SUM(F212:F227)</f>
        <v>13058052092</v>
      </c>
      <c r="G228" s="117">
        <f>SUM(G212:G227)</f>
        <v>18828221614</v>
      </c>
      <c r="H228" s="117"/>
      <c r="I228" s="117"/>
      <c r="J228" s="117"/>
      <c r="K228" s="232"/>
      <c r="L228" s="258"/>
    </row>
    <row r="229" spans="1:12">
      <c r="A229" s="258" t="s">
        <v>719</v>
      </c>
      <c r="B229" s="15" t="s">
        <v>356</v>
      </c>
      <c r="C229" s="258" t="s">
        <v>351</v>
      </c>
      <c r="D229" s="42">
        <v>37889</v>
      </c>
      <c r="E229" s="16">
        <v>38989</v>
      </c>
      <c r="F229" s="117">
        <v>1400000000</v>
      </c>
      <c r="G229" s="117">
        <v>1821612020</v>
      </c>
      <c r="H229" s="117"/>
      <c r="I229" s="117"/>
      <c r="J229" s="117"/>
      <c r="K229" s="232">
        <f>+G229/F229</f>
        <v>1.3011514428571429</v>
      </c>
      <c r="L229" s="258" t="s">
        <v>303</v>
      </c>
    </row>
    <row r="230" spans="1:12">
      <c r="A230" s="922" t="s">
        <v>716</v>
      </c>
      <c r="B230" s="923"/>
      <c r="C230" s="923"/>
      <c r="D230" s="923"/>
      <c r="E230" s="924"/>
      <c r="F230" s="117">
        <f>SUM(F229)</f>
        <v>1400000000</v>
      </c>
      <c r="G230" s="117">
        <f>SUM(G229)</f>
        <v>1821612020</v>
      </c>
      <c r="H230" s="117"/>
      <c r="I230" s="117"/>
      <c r="J230" s="117"/>
      <c r="K230" s="232"/>
      <c r="L230" s="258"/>
    </row>
    <row r="231" spans="1:12">
      <c r="A231" s="925" t="s">
        <v>720</v>
      </c>
      <c r="B231" s="15" t="s">
        <v>360</v>
      </c>
      <c r="C231" s="258" t="s">
        <v>350</v>
      </c>
      <c r="D231" s="42">
        <v>37343</v>
      </c>
      <c r="E231" s="16">
        <v>38779</v>
      </c>
      <c r="F231" s="117">
        <v>200002500</v>
      </c>
      <c r="G231" s="117">
        <v>174447024</v>
      </c>
      <c r="H231" s="117"/>
      <c r="I231" s="117"/>
      <c r="J231" s="117"/>
      <c r="K231" s="232">
        <f>+G231/F231</f>
        <v>0.87222421719728505</v>
      </c>
      <c r="L231" s="258" t="s">
        <v>303</v>
      </c>
    </row>
    <row r="232" spans="1:12">
      <c r="A232" s="926"/>
      <c r="B232" s="15" t="s">
        <v>361</v>
      </c>
      <c r="C232" s="258" t="s">
        <v>343</v>
      </c>
      <c r="D232" s="42">
        <v>38105</v>
      </c>
      <c r="E232" s="16">
        <v>39986</v>
      </c>
      <c r="F232" s="117">
        <v>799966200</v>
      </c>
      <c r="G232" s="117">
        <v>699658162</v>
      </c>
      <c r="H232" s="117"/>
      <c r="I232" s="117"/>
      <c r="J232" s="117"/>
      <c r="K232" s="232">
        <f>+G232/F232</f>
        <v>0.87460965475791352</v>
      </c>
      <c r="L232" s="258" t="s">
        <v>303</v>
      </c>
    </row>
    <row r="233" spans="1:12">
      <c r="A233" s="927"/>
      <c r="B233" s="15" t="s">
        <v>363</v>
      </c>
      <c r="C233" s="258" t="s">
        <v>350</v>
      </c>
      <c r="D233" s="42">
        <v>38161</v>
      </c>
      <c r="E233" s="16">
        <v>38453</v>
      </c>
      <c r="F233" s="117">
        <v>20000000</v>
      </c>
      <c r="G233" s="117">
        <v>21000000</v>
      </c>
      <c r="H233" s="117"/>
      <c r="I233" s="117"/>
      <c r="J233" s="117"/>
      <c r="K233" s="232">
        <f>+G233/F233</f>
        <v>1.05</v>
      </c>
      <c r="L233" s="258" t="s">
        <v>303</v>
      </c>
    </row>
    <row r="234" spans="1:12">
      <c r="A234" s="922" t="s">
        <v>716</v>
      </c>
      <c r="B234" s="923"/>
      <c r="C234" s="923"/>
      <c r="D234" s="923"/>
      <c r="E234" s="924"/>
      <c r="F234" s="117">
        <f>SUM(F231:F233)</f>
        <v>1019968700</v>
      </c>
      <c r="G234" s="117">
        <f>SUM(G231:G233)</f>
        <v>895105186</v>
      </c>
      <c r="H234" s="117"/>
      <c r="I234" s="117"/>
      <c r="J234" s="117"/>
      <c r="K234" s="232"/>
      <c r="L234" s="258"/>
    </row>
    <row r="235" spans="1:12">
      <c r="A235" s="258" t="s">
        <v>721</v>
      </c>
      <c r="B235" s="15" t="s">
        <v>365</v>
      </c>
      <c r="C235" s="258" t="s">
        <v>350</v>
      </c>
      <c r="D235" s="42">
        <v>37618</v>
      </c>
      <c r="E235" s="16">
        <v>38352</v>
      </c>
      <c r="F235" s="117">
        <v>890000000</v>
      </c>
      <c r="G235" s="117">
        <v>0</v>
      </c>
      <c r="H235" s="117"/>
      <c r="I235" s="117"/>
      <c r="J235" s="117"/>
      <c r="K235" s="232">
        <f>+G235/F235</f>
        <v>0</v>
      </c>
      <c r="L235" s="258" t="s">
        <v>335</v>
      </c>
    </row>
    <row r="236" spans="1:12">
      <c r="A236" s="922" t="s">
        <v>716</v>
      </c>
      <c r="B236" s="923"/>
      <c r="C236" s="923"/>
      <c r="D236" s="923"/>
      <c r="E236" s="924"/>
      <c r="F236" s="117">
        <f>SUM(F235)</f>
        <v>890000000</v>
      </c>
      <c r="G236" s="117">
        <f>SUM(G235)</f>
        <v>0</v>
      </c>
      <c r="H236" s="117"/>
      <c r="I236" s="117"/>
      <c r="J236" s="117"/>
      <c r="K236" s="232"/>
      <c r="L236" s="258"/>
    </row>
    <row r="237" spans="1:12">
      <c r="A237" s="925" t="s">
        <v>722</v>
      </c>
      <c r="B237" s="15" t="s">
        <v>368</v>
      </c>
      <c r="C237" s="258" t="s">
        <v>350</v>
      </c>
      <c r="D237" s="42">
        <v>37434</v>
      </c>
      <c r="E237" s="42">
        <v>38719</v>
      </c>
      <c r="F237" s="117">
        <v>500000000</v>
      </c>
      <c r="G237" s="117">
        <v>609400000</v>
      </c>
      <c r="H237" s="117"/>
      <c r="I237" s="117"/>
      <c r="J237" s="117"/>
      <c r="K237" s="232">
        <f t="shared" ref="K237:K272" si="11">+G237/F237</f>
        <v>1.2188000000000001</v>
      </c>
      <c r="L237" s="258" t="s">
        <v>303</v>
      </c>
    </row>
    <row r="238" spans="1:12">
      <c r="A238" s="926"/>
      <c r="B238" s="15" t="s">
        <v>369</v>
      </c>
      <c r="C238" s="258" t="s">
        <v>350</v>
      </c>
      <c r="D238" s="42">
        <v>37442</v>
      </c>
      <c r="E238" s="42">
        <v>38966</v>
      </c>
      <c r="F238" s="117">
        <v>1000000000</v>
      </c>
      <c r="G238" s="117">
        <v>2175051450</v>
      </c>
      <c r="H238" s="117"/>
      <c r="I238" s="117"/>
      <c r="J238" s="117"/>
      <c r="K238" s="232">
        <f t="shared" si="11"/>
        <v>2.1750514500000002</v>
      </c>
      <c r="L238" s="258" t="s">
        <v>303</v>
      </c>
    </row>
    <row r="239" spans="1:12">
      <c r="A239" s="926"/>
      <c r="B239" s="15" t="s">
        <v>371</v>
      </c>
      <c r="C239" s="258" t="s">
        <v>351</v>
      </c>
      <c r="D239" s="42">
        <v>37482</v>
      </c>
      <c r="E239" s="42">
        <v>38786</v>
      </c>
      <c r="F239" s="117">
        <v>400000000</v>
      </c>
      <c r="G239" s="117">
        <v>420179352</v>
      </c>
      <c r="H239" s="117"/>
      <c r="I239" s="117"/>
      <c r="J239" s="117"/>
      <c r="K239" s="232">
        <f t="shared" si="11"/>
        <v>1.05044838</v>
      </c>
      <c r="L239" s="258" t="s">
        <v>303</v>
      </c>
    </row>
    <row r="240" spans="1:12">
      <c r="A240" s="926"/>
      <c r="B240" s="15" t="s">
        <v>374</v>
      </c>
      <c r="C240" s="258" t="s">
        <v>375</v>
      </c>
      <c r="D240" s="42">
        <v>37320</v>
      </c>
      <c r="E240" s="42">
        <v>39444</v>
      </c>
      <c r="F240" s="117">
        <v>300000000</v>
      </c>
      <c r="G240" s="117">
        <v>71738450</v>
      </c>
      <c r="H240" s="117"/>
      <c r="I240" s="117"/>
      <c r="J240" s="117"/>
      <c r="K240" s="232">
        <f t="shared" si="11"/>
        <v>0.23912816666666667</v>
      </c>
      <c r="L240" s="258" t="s">
        <v>303</v>
      </c>
    </row>
    <row r="241" spans="1:12">
      <c r="A241" s="926"/>
      <c r="B241" s="15" t="s">
        <v>377</v>
      </c>
      <c r="C241" s="258" t="s">
        <v>375</v>
      </c>
      <c r="D241" s="42">
        <v>37323</v>
      </c>
      <c r="E241" s="42">
        <v>39475</v>
      </c>
      <c r="F241" s="117">
        <v>700000000</v>
      </c>
      <c r="G241" s="117">
        <v>627069492</v>
      </c>
      <c r="H241" s="117"/>
      <c r="I241" s="117"/>
      <c r="J241" s="117"/>
      <c r="K241" s="232">
        <f t="shared" si="11"/>
        <v>0.89581356000000001</v>
      </c>
      <c r="L241" s="258" t="s">
        <v>303</v>
      </c>
    </row>
    <row r="242" spans="1:12">
      <c r="A242" s="926"/>
      <c r="B242" s="15" t="s">
        <v>380</v>
      </c>
      <c r="C242" s="258" t="s">
        <v>375</v>
      </c>
      <c r="D242" s="42">
        <v>37356</v>
      </c>
      <c r="E242" s="42">
        <v>39451</v>
      </c>
      <c r="F242" s="117">
        <v>124306440</v>
      </c>
      <c r="G242" s="117">
        <v>286569801</v>
      </c>
      <c r="H242" s="117"/>
      <c r="I242" s="117"/>
      <c r="J242" s="117"/>
      <c r="K242" s="232">
        <f t="shared" si="11"/>
        <v>2.3053495941159605</v>
      </c>
      <c r="L242" s="258" t="s">
        <v>303</v>
      </c>
    </row>
    <row r="243" spans="1:12">
      <c r="A243" s="926"/>
      <c r="B243" s="15" t="s">
        <v>381</v>
      </c>
      <c r="C243" s="258" t="s">
        <v>375</v>
      </c>
      <c r="D243" s="42">
        <v>37356</v>
      </c>
      <c r="E243" s="42">
        <v>39475</v>
      </c>
      <c r="F243" s="117">
        <v>400000000</v>
      </c>
      <c r="G243" s="117">
        <v>1000</v>
      </c>
      <c r="H243" s="117"/>
      <c r="I243" s="117"/>
      <c r="J243" s="117"/>
      <c r="K243" s="232">
        <f t="shared" si="11"/>
        <v>2.5000000000000002E-6</v>
      </c>
      <c r="L243" s="258" t="s">
        <v>303</v>
      </c>
    </row>
    <row r="244" spans="1:12">
      <c r="A244" s="926"/>
      <c r="B244" s="15" t="s">
        <v>382</v>
      </c>
      <c r="C244" s="258" t="s">
        <v>375</v>
      </c>
      <c r="D244" s="42">
        <v>37419</v>
      </c>
      <c r="E244" s="42">
        <v>39444</v>
      </c>
      <c r="F244" s="117">
        <v>100000000</v>
      </c>
      <c r="G244" s="117">
        <v>38958296</v>
      </c>
      <c r="H244" s="117"/>
      <c r="I244" s="117"/>
      <c r="J244" s="117"/>
      <c r="K244" s="232">
        <f t="shared" si="11"/>
        <v>0.38958295999999998</v>
      </c>
      <c r="L244" s="258" t="s">
        <v>303</v>
      </c>
    </row>
    <row r="245" spans="1:12">
      <c r="A245" s="926"/>
      <c r="B245" s="15" t="s">
        <v>383</v>
      </c>
      <c r="C245" s="258" t="s">
        <v>375</v>
      </c>
      <c r="D245" s="42">
        <v>37419</v>
      </c>
      <c r="E245" s="42">
        <v>39444</v>
      </c>
      <c r="F245" s="117">
        <v>200000000</v>
      </c>
      <c r="G245" s="117">
        <v>76207812</v>
      </c>
      <c r="H245" s="117"/>
      <c r="I245" s="117"/>
      <c r="J245" s="117"/>
      <c r="K245" s="232">
        <f t="shared" si="11"/>
        <v>0.38103905999999998</v>
      </c>
      <c r="L245" s="258" t="s">
        <v>303</v>
      </c>
    </row>
    <row r="246" spans="1:12">
      <c r="A246" s="926"/>
      <c r="B246" s="15" t="s">
        <v>384</v>
      </c>
      <c r="C246" s="258" t="s">
        <v>375</v>
      </c>
      <c r="D246" s="42">
        <v>37526</v>
      </c>
      <c r="E246" s="42">
        <v>39475</v>
      </c>
      <c r="F246" s="117">
        <v>413280000</v>
      </c>
      <c r="G246" s="117">
        <v>303216612</v>
      </c>
      <c r="H246" s="117"/>
      <c r="I246" s="117"/>
      <c r="J246" s="117"/>
      <c r="K246" s="232">
        <f t="shared" si="11"/>
        <v>0.73368324622531944</v>
      </c>
      <c r="L246" s="258" t="s">
        <v>303</v>
      </c>
    </row>
    <row r="247" spans="1:12">
      <c r="A247" s="926"/>
      <c r="B247" s="15" t="s">
        <v>385</v>
      </c>
      <c r="C247" s="258" t="s">
        <v>375</v>
      </c>
      <c r="D247" s="42">
        <v>37529</v>
      </c>
      <c r="E247" s="42">
        <v>39444</v>
      </c>
      <c r="F247" s="117">
        <v>200000000</v>
      </c>
      <c r="G247" s="117">
        <v>130061411</v>
      </c>
      <c r="H247" s="117"/>
      <c r="I247" s="117"/>
      <c r="J247" s="117"/>
      <c r="K247" s="232">
        <f t="shared" si="11"/>
        <v>0.65030705499999997</v>
      </c>
      <c r="L247" s="258" t="s">
        <v>303</v>
      </c>
    </row>
    <row r="248" spans="1:12">
      <c r="A248" s="926"/>
      <c r="B248" s="15" t="s">
        <v>386</v>
      </c>
      <c r="C248" s="258" t="s">
        <v>375</v>
      </c>
      <c r="D248" s="42">
        <v>37529</v>
      </c>
      <c r="E248" s="42">
        <v>39444</v>
      </c>
      <c r="F248" s="117">
        <v>100000000</v>
      </c>
      <c r="G248" s="117">
        <v>20768333</v>
      </c>
      <c r="H248" s="117"/>
      <c r="I248" s="117"/>
      <c r="J248" s="117"/>
      <c r="K248" s="232">
        <f t="shared" si="11"/>
        <v>0.20768333</v>
      </c>
      <c r="L248" s="258" t="s">
        <v>303</v>
      </c>
    </row>
    <row r="249" spans="1:12">
      <c r="A249" s="926"/>
      <c r="B249" s="15" t="s">
        <v>387</v>
      </c>
      <c r="C249" s="258" t="s">
        <v>375</v>
      </c>
      <c r="D249" s="42">
        <v>37568</v>
      </c>
      <c r="E249" s="42">
        <v>39475</v>
      </c>
      <c r="F249" s="117">
        <v>500000000</v>
      </c>
      <c r="G249" s="117">
        <v>30124567</v>
      </c>
      <c r="H249" s="117"/>
      <c r="I249" s="117"/>
      <c r="J249" s="117"/>
      <c r="K249" s="232">
        <f t="shared" si="11"/>
        <v>6.0249134000000003E-2</v>
      </c>
      <c r="L249" s="258" t="s">
        <v>303</v>
      </c>
    </row>
    <row r="250" spans="1:12">
      <c r="A250" s="926"/>
      <c r="B250" s="15" t="s">
        <v>388</v>
      </c>
      <c r="C250" s="258" t="s">
        <v>375</v>
      </c>
      <c r="D250" s="42">
        <v>37569</v>
      </c>
      <c r="E250" s="42">
        <v>39493</v>
      </c>
      <c r="F250" s="117">
        <v>100000000</v>
      </c>
      <c r="G250" s="117">
        <v>101813987</v>
      </c>
      <c r="H250" s="117"/>
      <c r="I250" s="117"/>
      <c r="J250" s="117"/>
      <c r="K250" s="232">
        <f t="shared" si="11"/>
        <v>1.0181398699999999</v>
      </c>
      <c r="L250" s="258" t="s">
        <v>303</v>
      </c>
    </row>
    <row r="251" spans="1:12">
      <c r="A251" s="926"/>
      <c r="B251" s="15" t="s">
        <v>389</v>
      </c>
      <c r="C251" s="258" t="s">
        <v>375</v>
      </c>
      <c r="D251" s="42">
        <v>37569</v>
      </c>
      <c r="E251" s="42">
        <v>39493</v>
      </c>
      <c r="F251" s="117">
        <v>200000000</v>
      </c>
      <c r="G251" s="117">
        <v>133324473</v>
      </c>
      <c r="H251" s="117"/>
      <c r="I251" s="117"/>
      <c r="J251" s="117"/>
      <c r="K251" s="232">
        <f t="shared" si="11"/>
        <v>0.66662236500000005</v>
      </c>
      <c r="L251" s="258" t="s">
        <v>303</v>
      </c>
    </row>
    <row r="252" spans="1:12">
      <c r="A252" s="926"/>
      <c r="B252" s="15" t="s">
        <v>390</v>
      </c>
      <c r="C252" s="258" t="s">
        <v>375</v>
      </c>
      <c r="D252" s="42">
        <v>37569</v>
      </c>
      <c r="E252" s="42">
        <v>39493</v>
      </c>
      <c r="F252" s="117">
        <v>200000000</v>
      </c>
      <c r="G252" s="117">
        <v>13395395</v>
      </c>
      <c r="H252" s="117"/>
      <c r="I252" s="117"/>
      <c r="J252" s="117"/>
      <c r="K252" s="232">
        <f t="shared" si="11"/>
        <v>6.6976974999999994E-2</v>
      </c>
      <c r="L252" s="258" t="s">
        <v>303</v>
      </c>
    </row>
    <row r="253" spans="1:12">
      <c r="A253" s="926"/>
      <c r="B253" s="15" t="s">
        <v>147</v>
      </c>
      <c r="C253" s="258" t="s">
        <v>350</v>
      </c>
      <c r="D253" s="42">
        <v>37747</v>
      </c>
      <c r="E253" s="42">
        <v>38352</v>
      </c>
      <c r="F253" s="117">
        <v>3038478080</v>
      </c>
      <c r="G253" s="117">
        <v>7572744160</v>
      </c>
      <c r="H253" s="117"/>
      <c r="I253" s="117"/>
      <c r="J253" s="117"/>
      <c r="K253" s="232">
        <f t="shared" si="11"/>
        <v>2.4922819782198329</v>
      </c>
      <c r="L253" s="258" t="s">
        <v>303</v>
      </c>
    </row>
    <row r="254" spans="1:12">
      <c r="A254" s="926"/>
      <c r="B254" s="15" t="s">
        <v>397</v>
      </c>
      <c r="C254" s="258" t="s">
        <v>375</v>
      </c>
      <c r="D254" s="42">
        <v>37641</v>
      </c>
      <c r="E254" s="42">
        <v>39475</v>
      </c>
      <c r="F254" s="117">
        <v>1000000000</v>
      </c>
      <c r="G254" s="117">
        <f>1109041096+1000</f>
        <v>1109042096</v>
      </c>
      <c r="H254" s="117"/>
      <c r="I254" s="117"/>
      <c r="J254" s="117"/>
      <c r="K254" s="232">
        <f t="shared" si="11"/>
        <v>1.109042096</v>
      </c>
      <c r="L254" s="258" t="s">
        <v>303</v>
      </c>
    </row>
    <row r="255" spans="1:12">
      <c r="A255" s="926"/>
      <c r="B255" s="15" t="s">
        <v>398</v>
      </c>
      <c r="C255" s="258" t="s">
        <v>375</v>
      </c>
      <c r="D255" s="42">
        <v>37666</v>
      </c>
      <c r="E255" s="42">
        <v>39444</v>
      </c>
      <c r="F255" s="117">
        <v>200000000</v>
      </c>
      <c r="G255" s="117">
        <v>510633060</v>
      </c>
      <c r="H255" s="117"/>
      <c r="I255" s="117"/>
      <c r="J255" s="117"/>
      <c r="K255" s="232">
        <f t="shared" si="11"/>
        <v>2.5531652999999999</v>
      </c>
      <c r="L255" s="258" t="s">
        <v>303</v>
      </c>
    </row>
    <row r="256" spans="1:12">
      <c r="A256" s="926"/>
      <c r="B256" s="15" t="s">
        <v>399</v>
      </c>
      <c r="C256" s="258" t="s">
        <v>375</v>
      </c>
      <c r="D256" s="42">
        <v>37700</v>
      </c>
      <c r="E256" s="42">
        <v>39475</v>
      </c>
      <c r="F256" s="117">
        <v>200000000</v>
      </c>
      <c r="G256" s="117">
        <v>399767423</v>
      </c>
      <c r="H256" s="117"/>
      <c r="I256" s="117"/>
      <c r="J256" s="117"/>
      <c r="K256" s="232">
        <f t="shared" si="11"/>
        <v>1.9988371149999999</v>
      </c>
      <c r="L256" s="258" t="s">
        <v>303</v>
      </c>
    </row>
    <row r="257" spans="1:12">
      <c r="A257" s="926"/>
      <c r="B257" s="15" t="s">
        <v>400</v>
      </c>
      <c r="C257" s="258" t="s">
        <v>375</v>
      </c>
      <c r="D257" s="42">
        <v>37757</v>
      </c>
      <c r="E257" s="42">
        <v>39475</v>
      </c>
      <c r="F257" s="117">
        <v>500000000</v>
      </c>
      <c r="G257" s="117">
        <v>280010000</v>
      </c>
      <c r="H257" s="117"/>
      <c r="I257" s="117"/>
      <c r="J257" s="117"/>
      <c r="K257" s="232">
        <f t="shared" si="11"/>
        <v>0.56001999999999996</v>
      </c>
      <c r="L257" s="258" t="s">
        <v>303</v>
      </c>
    </row>
    <row r="258" spans="1:12">
      <c r="A258" s="926"/>
      <c r="B258" s="15" t="s">
        <v>401</v>
      </c>
      <c r="C258" s="258" t="s">
        <v>375</v>
      </c>
      <c r="D258" s="42">
        <v>37803</v>
      </c>
      <c r="E258" s="42">
        <v>39475</v>
      </c>
      <c r="F258" s="117">
        <v>1989000000</v>
      </c>
      <c r="G258" s="117">
        <v>267274314</v>
      </c>
      <c r="H258" s="117"/>
      <c r="I258" s="117"/>
      <c r="J258" s="117"/>
      <c r="K258" s="232">
        <f t="shared" si="11"/>
        <v>0.13437622624434389</v>
      </c>
      <c r="L258" s="258" t="s">
        <v>303</v>
      </c>
    </row>
    <row r="259" spans="1:12">
      <c r="A259" s="926"/>
      <c r="B259" s="15" t="s">
        <v>402</v>
      </c>
      <c r="C259" s="258" t="s">
        <v>375</v>
      </c>
      <c r="D259" s="42">
        <v>37834</v>
      </c>
      <c r="E259" s="42">
        <v>39444</v>
      </c>
      <c r="F259" s="117">
        <v>223701688</v>
      </c>
      <c r="G259" s="117">
        <v>339141302</v>
      </c>
      <c r="H259" s="117"/>
      <c r="I259" s="117"/>
      <c r="J259" s="117"/>
      <c r="K259" s="232">
        <f t="shared" si="11"/>
        <v>1.5160426594545857</v>
      </c>
      <c r="L259" s="258" t="s">
        <v>303</v>
      </c>
    </row>
    <row r="260" spans="1:12">
      <c r="A260" s="926"/>
      <c r="B260" s="15" t="s">
        <v>403</v>
      </c>
      <c r="C260" s="258" t="s">
        <v>375</v>
      </c>
      <c r="D260" s="42">
        <v>37834</v>
      </c>
      <c r="E260" s="42">
        <v>39444</v>
      </c>
      <c r="F260" s="117">
        <v>200000000</v>
      </c>
      <c r="G260" s="117">
        <v>148718823</v>
      </c>
      <c r="H260" s="117"/>
      <c r="I260" s="117"/>
      <c r="J260" s="117"/>
      <c r="K260" s="232">
        <f t="shared" si="11"/>
        <v>0.74359411500000006</v>
      </c>
      <c r="L260" s="258" t="s">
        <v>303</v>
      </c>
    </row>
    <row r="261" spans="1:12">
      <c r="A261" s="926"/>
      <c r="B261" s="15" t="s">
        <v>404</v>
      </c>
      <c r="C261" s="258" t="s">
        <v>375</v>
      </c>
      <c r="D261" s="42">
        <v>37932</v>
      </c>
      <c r="E261" s="42">
        <v>39472</v>
      </c>
      <c r="F261" s="117">
        <v>300000000</v>
      </c>
      <c r="G261" s="117">
        <v>245583091</v>
      </c>
      <c r="H261" s="117"/>
      <c r="I261" s="117"/>
      <c r="J261" s="117"/>
      <c r="K261" s="232">
        <f t="shared" si="11"/>
        <v>0.81861030333333329</v>
      </c>
      <c r="L261" s="258" t="s">
        <v>303</v>
      </c>
    </row>
    <row r="262" spans="1:12">
      <c r="A262" s="926"/>
      <c r="B262" s="15" t="s">
        <v>405</v>
      </c>
      <c r="C262" s="258" t="s">
        <v>375</v>
      </c>
      <c r="D262" s="42">
        <v>38055</v>
      </c>
      <c r="E262" s="42">
        <v>39475</v>
      </c>
      <c r="F262" s="117">
        <v>500000000</v>
      </c>
      <c r="G262" s="117">
        <v>647689897</v>
      </c>
      <c r="H262" s="117"/>
      <c r="I262" s="117"/>
      <c r="J262" s="117"/>
      <c r="K262" s="232">
        <f t="shared" si="11"/>
        <v>1.295379794</v>
      </c>
      <c r="L262" s="258" t="s">
        <v>303</v>
      </c>
    </row>
    <row r="263" spans="1:12">
      <c r="A263" s="926"/>
      <c r="B263" s="15" t="s">
        <v>406</v>
      </c>
      <c r="C263" s="258" t="s">
        <v>375</v>
      </c>
      <c r="D263" s="42">
        <v>38083</v>
      </c>
      <c r="E263" s="42">
        <v>39475</v>
      </c>
      <c r="F263" s="117">
        <v>150000000</v>
      </c>
      <c r="G263" s="117">
        <v>1000</v>
      </c>
      <c r="H263" s="117"/>
      <c r="I263" s="117"/>
      <c r="J263" s="117"/>
      <c r="K263" s="232">
        <f t="shared" si="11"/>
        <v>6.6666666666666666E-6</v>
      </c>
      <c r="L263" s="258" t="s">
        <v>303</v>
      </c>
    </row>
    <row r="264" spans="1:12">
      <c r="A264" s="926"/>
      <c r="B264" s="15" t="s">
        <v>407</v>
      </c>
      <c r="C264" s="258" t="s">
        <v>375</v>
      </c>
      <c r="D264" s="42">
        <v>38555</v>
      </c>
      <c r="E264" s="42">
        <v>39475</v>
      </c>
      <c r="F264" s="117">
        <v>800000000</v>
      </c>
      <c r="G264" s="117">
        <v>885348945</v>
      </c>
      <c r="H264" s="117"/>
      <c r="I264" s="117"/>
      <c r="J264" s="117"/>
      <c r="K264" s="232">
        <f t="shared" si="11"/>
        <v>1.10668618125</v>
      </c>
      <c r="L264" s="258" t="s">
        <v>303</v>
      </c>
    </row>
    <row r="265" spans="1:12">
      <c r="A265" s="926"/>
      <c r="B265" s="15" t="s">
        <v>408</v>
      </c>
      <c r="C265" s="258" t="s">
        <v>375</v>
      </c>
      <c r="D265" s="42">
        <v>38625</v>
      </c>
      <c r="E265" s="42">
        <v>39444</v>
      </c>
      <c r="F265" s="117">
        <v>100000000</v>
      </c>
      <c r="G265" s="117">
        <v>1153606</v>
      </c>
      <c r="H265" s="117"/>
      <c r="I265" s="117"/>
      <c r="J265" s="117"/>
      <c r="K265" s="232">
        <f t="shared" si="11"/>
        <v>1.1536060000000001E-2</v>
      </c>
      <c r="L265" s="258" t="s">
        <v>303</v>
      </c>
    </row>
    <row r="266" spans="1:12">
      <c r="A266" s="926"/>
      <c r="B266" s="15" t="s">
        <v>409</v>
      </c>
      <c r="C266" s="258" t="s">
        <v>375</v>
      </c>
      <c r="D266" s="42">
        <v>38625</v>
      </c>
      <c r="E266" s="42">
        <v>39444</v>
      </c>
      <c r="F266" s="117">
        <v>200000000</v>
      </c>
      <c r="G266" s="117">
        <v>325224556</v>
      </c>
      <c r="H266" s="117"/>
      <c r="I266" s="117"/>
      <c r="J266" s="117"/>
      <c r="K266" s="232">
        <f t="shared" si="11"/>
        <v>1.62612278</v>
      </c>
      <c r="L266" s="258" t="s">
        <v>303</v>
      </c>
    </row>
    <row r="267" spans="1:12">
      <c r="A267" s="926"/>
      <c r="B267" s="15" t="s">
        <v>410</v>
      </c>
      <c r="C267" s="258" t="s">
        <v>375</v>
      </c>
      <c r="D267" s="42">
        <v>38625</v>
      </c>
      <c r="E267" s="42">
        <v>39475</v>
      </c>
      <c r="F267" s="117">
        <v>200000000</v>
      </c>
      <c r="G267" s="117">
        <v>358140342</v>
      </c>
      <c r="H267" s="117"/>
      <c r="I267" s="117"/>
      <c r="J267" s="117"/>
      <c r="K267" s="232">
        <f t="shared" si="11"/>
        <v>1.79070171</v>
      </c>
      <c r="L267" s="258" t="s">
        <v>303</v>
      </c>
    </row>
    <row r="268" spans="1:12">
      <c r="A268" s="926"/>
      <c r="B268" s="15" t="s">
        <v>411</v>
      </c>
      <c r="C268" s="258" t="s">
        <v>375</v>
      </c>
      <c r="D268" s="42">
        <v>38708</v>
      </c>
      <c r="E268" s="42">
        <v>39475</v>
      </c>
      <c r="F268" s="117">
        <v>330000000</v>
      </c>
      <c r="G268" s="117">
        <v>1000</v>
      </c>
      <c r="H268" s="117"/>
      <c r="I268" s="117"/>
      <c r="J268" s="117"/>
      <c r="K268" s="232">
        <f t="shared" si="11"/>
        <v>3.0303030303030305E-6</v>
      </c>
      <c r="L268" s="258" t="s">
        <v>303</v>
      </c>
    </row>
    <row r="269" spans="1:12">
      <c r="A269" s="926"/>
      <c r="B269" s="15" t="s">
        <v>412</v>
      </c>
      <c r="C269" s="258" t="s">
        <v>375</v>
      </c>
      <c r="D269" s="42">
        <v>38720</v>
      </c>
      <c r="E269" s="42">
        <v>39199</v>
      </c>
      <c r="F269" s="117">
        <v>1000000000</v>
      </c>
      <c r="G269" s="117">
        <v>1190000000</v>
      </c>
      <c r="H269" s="117"/>
      <c r="I269" s="117"/>
      <c r="J269" s="117"/>
      <c r="K269" s="232">
        <f t="shared" si="11"/>
        <v>1.19</v>
      </c>
      <c r="L269" s="258" t="s">
        <v>303</v>
      </c>
    </row>
    <row r="270" spans="1:12">
      <c r="A270" s="926"/>
      <c r="B270" s="15" t="s">
        <v>413</v>
      </c>
      <c r="C270" s="258" t="s">
        <v>375</v>
      </c>
      <c r="D270" s="42">
        <v>38765</v>
      </c>
      <c r="E270" s="42">
        <v>39475</v>
      </c>
      <c r="F270" s="117">
        <v>146000000</v>
      </c>
      <c r="G270" s="117">
        <v>119982024</v>
      </c>
      <c r="H270" s="117"/>
      <c r="I270" s="117"/>
      <c r="J270" s="117"/>
      <c r="K270" s="232">
        <f t="shared" si="11"/>
        <v>0.82179468493150687</v>
      </c>
      <c r="L270" s="258" t="s">
        <v>303</v>
      </c>
    </row>
    <row r="271" spans="1:12">
      <c r="A271" s="926"/>
      <c r="B271" s="15" t="s">
        <v>414</v>
      </c>
      <c r="C271" s="258" t="s">
        <v>375</v>
      </c>
      <c r="D271" s="42">
        <v>38813</v>
      </c>
      <c r="E271" s="42">
        <v>39475</v>
      </c>
      <c r="F271" s="117">
        <v>120000000</v>
      </c>
      <c r="G271" s="117">
        <v>1000</v>
      </c>
      <c r="H271" s="117"/>
      <c r="I271" s="117"/>
      <c r="J271" s="117"/>
      <c r="K271" s="232">
        <f t="shared" si="11"/>
        <v>8.3333333333333337E-6</v>
      </c>
      <c r="L271" s="258" t="s">
        <v>303</v>
      </c>
    </row>
    <row r="272" spans="1:12">
      <c r="A272" s="927"/>
      <c r="B272" s="15" t="s">
        <v>415</v>
      </c>
      <c r="C272" s="258" t="s">
        <v>375</v>
      </c>
      <c r="D272" s="42">
        <v>38821</v>
      </c>
      <c r="E272" s="42">
        <v>39475</v>
      </c>
      <c r="F272" s="117">
        <v>500000000</v>
      </c>
      <c r="G272" s="117">
        <v>47001000</v>
      </c>
      <c r="H272" s="117"/>
      <c r="I272" s="117"/>
      <c r="J272" s="117"/>
      <c r="K272" s="232">
        <f t="shared" si="11"/>
        <v>9.4002000000000002E-2</v>
      </c>
      <c r="L272" s="258" t="s">
        <v>303</v>
      </c>
    </row>
    <row r="273" spans="1:12">
      <c r="A273" s="922" t="s">
        <v>716</v>
      </c>
      <c r="B273" s="923"/>
      <c r="C273" s="923"/>
      <c r="D273" s="923"/>
      <c r="E273" s="924"/>
      <c r="F273" s="117">
        <f>SUM(F237:F272)</f>
        <v>17134766208</v>
      </c>
      <c r="G273" s="117">
        <f>SUM(G237:G272)</f>
        <v>19485338070</v>
      </c>
      <c r="H273" s="117"/>
      <c r="I273" s="117"/>
      <c r="J273" s="117"/>
      <c r="K273" s="232"/>
      <c r="L273" s="258"/>
    </row>
  </sheetData>
  <autoFilter ref="A3:O273"/>
  <mergeCells count="39">
    <mergeCell ref="A20:E20"/>
    <mergeCell ref="A4:A7"/>
    <mergeCell ref="A8:E8"/>
    <mergeCell ref="A9:A10"/>
    <mergeCell ref="A11:E11"/>
    <mergeCell ref="A12:A19"/>
    <mergeCell ref="A104:E104"/>
    <mergeCell ref="A21:A29"/>
    <mergeCell ref="A30:E30"/>
    <mergeCell ref="A31:A44"/>
    <mergeCell ref="A45:E45"/>
    <mergeCell ref="A46:A71"/>
    <mergeCell ref="A72:E72"/>
    <mergeCell ref="A73:A78"/>
    <mergeCell ref="A79:E79"/>
    <mergeCell ref="A80:A98"/>
    <mergeCell ref="A99:E99"/>
    <mergeCell ref="A100:A103"/>
    <mergeCell ref="A197:A210"/>
    <mergeCell ref="A105:A118"/>
    <mergeCell ref="A119:E119"/>
    <mergeCell ref="A120:A138"/>
    <mergeCell ref="A139:E139"/>
    <mergeCell ref="A140:A155"/>
    <mergeCell ref="A156:E156"/>
    <mergeCell ref="A157:A167"/>
    <mergeCell ref="A168:E168"/>
    <mergeCell ref="A169:A193"/>
    <mergeCell ref="A194:E194"/>
    <mergeCell ref="A196:E196"/>
    <mergeCell ref="A236:E236"/>
    <mergeCell ref="A237:A272"/>
    <mergeCell ref="A273:E273"/>
    <mergeCell ref="A211:E211"/>
    <mergeCell ref="A212:A227"/>
    <mergeCell ref="A228:E228"/>
    <mergeCell ref="A230:E230"/>
    <mergeCell ref="A231:A233"/>
    <mergeCell ref="A234:E234"/>
  </mergeCells>
  <phoneticPr fontId="2" type="noConversion"/>
  <pageMargins left="0.70866141732283472" right="0.70866141732283472" top="0.39" bottom="0.36" header="0.31496062992125984" footer="0.31496062992125984"/>
  <pageSetup paperSize="9" scale="65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BreakPreview" zoomScale="60" zoomScaleNormal="80" workbookViewId="0">
      <selection activeCell="D38" sqref="D38"/>
    </sheetView>
  </sheetViews>
  <sheetFormatPr defaultRowHeight="24" customHeight="1"/>
  <cols>
    <col min="1" max="1" width="24" style="3" customWidth="1"/>
    <col min="2" max="2" width="18.375" style="4" customWidth="1"/>
    <col min="3" max="3" width="9" style="13" customWidth="1"/>
    <col min="4" max="4" width="11.375" style="236" customWidth="1"/>
    <col min="5" max="5" width="11.25" style="13" customWidth="1"/>
    <col min="6" max="6" width="16" style="13" bestFit="1" customWidth="1"/>
    <col min="7" max="7" width="19.625" style="13" bestFit="1" customWidth="1"/>
    <col min="8" max="10" width="19.625" style="13" customWidth="1"/>
    <col min="11" max="11" width="14.125" style="13" customWidth="1"/>
    <col min="12" max="12" width="13" style="3" customWidth="1"/>
    <col min="13" max="13" width="9" style="3"/>
    <col min="14" max="16384" width="9" style="4"/>
  </cols>
  <sheetData>
    <row r="1" spans="1:13" ht="24" customHeight="1">
      <c r="A1" s="3" t="s">
        <v>724</v>
      </c>
      <c r="B1" s="2"/>
      <c r="D1" s="237"/>
    </row>
    <row r="2" spans="1:13" ht="24" customHeight="1">
      <c r="C2" s="47"/>
      <c r="E2" s="47"/>
      <c r="M2" s="6"/>
    </row>
    <row r="3" spans="1:13" ht="24" customHeight="1">
      <c r="A3" s="19" t="s">
        <v>682</v>
      </c>
      <c r="B3" s="19" t="s">
        <v>683</v>
      </c>
      <c r="C3" s="19" t="s">
        <v>425</v>
      </c>
      <c r="D3" s="42" t="s">
        <v>421</v>
      </c>
      <c r="E3" s="19" t="s">
        <v>426</v>
      </c>
      <c r="F3" s="231" t="s">
        <v>281</v>
      </c>
      <c r="G3" s="231" t="s">
        <v>504</v>
      </c>
      <c r="H3" s="231" t="s">
        <v>757</v>
      </c>
      <c r="I3" s="231" t="s">
        <v>758</v>
      </c>
      <c r="J3" s="231" t="s">
        <v>756</v>
      </c>
      <c r="K3" s="171" t="s">
        <v>684</v>
      </c>
      <c r="L3" s="19" t="s">
        <v>685</v>
      </c>
      <c r="M3" s="13"/>
    </row>
    <row r="4" spans="1:13" ht="24" customHeight="1">
      <c r="A4" s="19" t="s">
        <v>725</v>
      </c>
      <c r="B4" s="15" t="s">
        <v>726</v>
      </c>
      <c r="C4" s="19" t="s">
        <v>82</v>
      </c>
      <c r="D4" s="42">
        <v>36959</v>
      </c>
      <c r="E4" s="42">
        <v>37046</v>
      </c>
      <c r="F4" s="19">
        <v>15600000000</v>
      </c>
      <c r="G4" s="19">
        <v>16520015000</v>
      </c>
      <c r="H4" s="19">
        <v>15600000000</v>
      </c>
      <c r="I4" s="19">
        <f>+G4-H4</f>
        <v>920015000</v>
      </c>
      <c r="J4" s="19"/>
      <c r="K4" s="171">
        <f>+G4/F4</f>
        <v>1.0589753205128205</v>
      </c>
      <c r="L4" s="19" t="s">
        <v>25</v>
      </c>
      <c r="M4" s="13"/>
    </row>
    <row r="5" spans="1:13" ht="24" customHeight="1">
      <c r="A5" s="931" t="s">
        <v>727</v>
      </c>
      <c r="B5" s="931"/>
      <c r="C5" s="931"/>
      <c r="D5" s="931"/>
      <c r="E5" s="931"/>
      <c r="F5" s="19">
        <f>SUM(F4)</f>
        <v>15600000000</v>
      </c>
      <c r="G5" s="19">
        <f>SUM(G4)</f>
        <v>16520015000</v>
      </c>
      <c r="H5" s="19"/>
      <c r="I5" s="19"/>
      <c r="J5" s="19"/>
      <c r="K5" s="171">
        <f t="shared" ref="K5:K36" si="0">+G5/F5</f>
        <v>1.0589753205128205</v>
      </c>
      <c r="L5" s="19"/>
      <c r="M5" s="13"/>
    </row>
    <row r="6" spans="1:13" ht="24" customHeight="1">
      <c r="A6" s="931" t="s">
        <v>728</v>
      </c>
      <c r="B6" s="15" t="s">
        <v>729</v>
      </c>
      <c r="C6" s="19" t="s">
        <v>730</v>
      </c>
      <c r="D6" s="42">
        <v>37105</v>
      </c>
      <c r="E6" s="42">
        <v>37229</v>
      </c>
      <c r="F6" s="19">
        <v>11940083041</v>
      </c>
      <c r="G6" s="19">
        <v>11963804978</v>
      </c>
      <c r="H6" s="19"/>
      <c r="I6" s="19"/>
      <c r="J6" s="19"/>
      <c r="K6" s="171">
        <f t="shared" si="0"/>
        <v>1.0019867480752473</v>
      </c>
      <c r="L6" s="19" t="s">
        <v>306</v>
      </c>
      <c r="M6" s="13"/>
    </row>
    <row r="7" spans="1:13" s="26" customFormat="1" ht="24" customHeight="1">
      <c r="A7" s="931"/>
      <c r="B7" s="15" t="s">
        <v>729</v>
      </c>
      <c r="C7" s="19" t="s">
        <v>709</v>
      </c>
      <c r="D7" s="42">
        <v>37110</v>
      </c>
      <c r="E7" s="42">
        <v>39363</v>
      </c>
      <c r="F7" s="19">
        <v>18902703241</v>
      </c>
      <c r="G7" s="19">
        <v>28324700260</v>
      </c>
      <c r="H7" s="19"/>
      <c r="I7" s="19"/>
      <c r="J7" s="19"/>
      <c r="K7" s="171">
        <f t="shared" si="0"/>
        <v>1.4984470685951241</v>
      </c>
      <c r="L7" s="19" t="s">
        <v>731</v>
      </c>
      <c r="M7" s="13"/>
    </row>
    <row r="8" spans="1:13" s="26" customFormat="1" ht="24" customHeight="1">
      <c r="A8" s="931"/>
      <c r="B8" s="15" t="s">
        <v>732</v>
      </c>
      <c r="C8" s="19" t="s">
        <v>709</v>
      </c>
      <c r="D8" s="42">
        <v>37972</v>
      </c>
      <c r="E8" s="42">
        <v>39259</v>
      </c>
      <c r="F8" s="19">
        <v>35602601482</v>
      </c>
      <c r="G8" s="19">
        <v>44874900000</v>
      </c>
      <c r="H8" s="19"/>
      <c r="I8" s="19"/>
      <c r="J8" s="19"/>
      <c r="K8" s="171">
        <f t="shared" si="0"/>
        <v>1.2604387918868203</v>
      </c>
      <c r="L8" s="19" t="s">
        <v>731</v>
      </c>
      <c r="M8" s="13"/>
    </row>
    <row r="9" spans="1:13" s="26" customFormat="1" ht="24" customHeight="1">
      <c r="A9" s="931" t="s">
        <v>727</v>
      </c>
      <c r="B9" s="931"/>
      <c r="C9" s="931"/>
      <c r="D9" s="931"/>
      <c r="E9" s="931"/>
      <c r="F9" s="19">
        <f>SUM(F6:F8)</f>
        <v>66445387764</v>
      </c>
      <c r="G9" s="19">
        <f>SUM(G6:G8)</f>
        <v>85163405238</v>
      </c>
      <c r="H9" s="19"/>
      <c r="I9" s="19"/>
      <c r="J9" s="19"/>
      <c r="K9" s="171">
        <f t="shared" si="0"/>
        <v>1.2817052936839266</v>
      </c>
      <c r="L9" s="19"/>
      <c r="M9" s="13"/>
    </row>
    <row r="10" spans="1:13" ht="24" customHeight="1">
      <c r="A10" s="19" t="s">
        <v>733</v>
      </c>
      <c r="B10" s="15" t="s">
        <v>734</v>
      </c>
      <c r="C10" s="19" t="s">
        <v>350</v>
      </c>
      <c r="D10" s="42">
        <v>37340</v>
      </c>
      <c r="E10" s="42">
        <v>37741</v>
      </c>
      <c r="F10" s="19">
        <v>5000000000</v>
      </c>
      <c r="G10" s="19">
        <v>17865000000</v>
      </c>
      <c r="H10" s="19"/>
      <c r="I10" s="19"/>
      <c r="J10" s="19"/>
      <c r="K10" s="171">
        <f t="shared" si="0"/>
        <v>3.573</v>
      </c>
      <c r="L10" s="19" t="s">
        <v>735</v>
      </c>
      <c r="M10" s="13"/>
    </row>
    <row r="11" spans="1:13" ht="24" customHeight="1">
      <c r="A11" s="931" t="s">
        <v>727</v>
      </c>
      <c r="B11" s="931"/>
      <c r="C11" s="931"/>
      <c r="D11" s="931"/>
      <c r="E11" s="931"/>
      <c r="F11" s="19">
        <f>SUM(F10)</f>
        <v>5000000000</v>
      </c>
      <c r="G11" s="19">
        <f>SUM(G10)</f>
        <v>17865000000</v>
      </c>
      <c r="H11" s="19"/>
      <c r="I11" s="19"/>
      <c r="J11" s="19"/>
      <c r="K11" s="171">
        <f t="shared" si="0"/>
        <v>3.573</v>
      </c>
      <c r="L11" s="19"/>
      <c r="M11" s="13"/>
    </row>
    <row r="12" spans="1:13" s="26" customFormat="1" ht="24" customHeight="1">
      <c r="A12" s="931" t="s">
        <v>736</v>
      </c>
      <c r="B12" s="15" t="s">
        <v>737</v>
      </c>
      <c r="C12" s="19" t="s">
        <v>596</v>
      </c>
      <c r="D12" s="42">
        <v>37644</v>
      </c>
      <c r="E12" s="42">
        <v>38411</v>
      </c>
      <c r="F12" s="19">
        <v>6555858147</v>
      </c>
      <c r="G12" s="19">
        <v>7454717150</v>
      </c>
      <c r="H12" s="19"/>
      <c r="I12" s="19"/>
      <c r="J12" s="19"/>
      <c r="K12" s="171">
        <f t="shared" si="0"/>
        <v>1.1371077565812377</v>
      </c>
      <c r="L12" s="19" t="s">
        <v>25</v>
      </c>
      <c r="M12" s="13"/>
    </row>
    <row r="13" spans="1:13" s="26" customFormat="1" ht="24" customHeight="1">
      <c r="A13" s="931"/>
      <c r="B13" s="15" t="s">
        <v>738</v>
      </c>
      <c r="C13" s="19" t="s">
        <v>596</v>
      </c>
      <c r="D13" s="42">
        <v>37644</v>
      </c>
      <c r="E13" s="42">
        <v>38411</v>
      </c>
      <c r="F13" s="19">
        <v>3516457799</v>
      </c>
      <c r="G13" s="19">
        <v>4774777623</v>
      </c>
      <c r="H13" s="19"/>
      <c r="I13" s="19"/>
      <c r="J13" s="19"/>
      <c r="K13" s="171">
        <f t="shared" si="0"/>
        <v>1.3578373169607887</v>
      </c>
      <c r="L13" s="19" t="s">
        <v>25</v>
      </c>
      <c r="M13" s="13"/>
    </row>
    <row r="14" spans="1:13" s="26" customFormat="1" ht="24" customHeight="1">
      <c r="A14" s="931" t="s">
        <v>727</v>
      </c>
      <c r="B14" s="931"/>
      <c r="C14" s="931"/>
      <c r="D14" s="931"/>
      <c r="E14" s="931"/>
      <c r="F14" s="19">
        <f>SUM(F12:F13)</f>
        <v>10072315946</v>
      </c>
      <c r="G14" s="19">
        <f>SUM(G12:G13)</f>
        <v>12229494773</v>
      </c>
      <c r="H14" s="19"/>
      <c r="I14" s="19"/>
      <c r="J14" s="19"/>
      <c r="K14" s="171">
        <f t="shared" si="0"/>
        <v>1.2141690986030553</v>
      </c>
      <c r="L14" s="19"/>
      <c r="M14" s="13"/>
    </row>
    <row r="15" spans="1:13" s="26" customFormat="1" ht="24" customHeight="1">
      <c r="A15" s="19" t="s">
        <v>739</v>
      </c>
      <c r="B15" s="15" t="s">
        <v>737</v>
      </c>
      <c r="C15" s="19" t="s">
        <v>444</v>
      </c>
      <c r="D15" s="42">
        <v>37690</v>
      </c>
      <c r="E15" s="42">
        <v>37922</v>
      </c>
      <c r="F15" s="19">
        <v>6854685918</v>
      </c>
      <c r="G15" s="19">
        <v>9416723580</v>
      </c>
      <c r="H15" s="19"/>
      <c r="I15" s="19"/>
      <c r="J15" s="19"/>
      <c r="K15" s="171">
        <f t="shared" si="0"/>
        <v>1.3737644135192599</v>
      </c>
      <c r="L15" s="19" t="s">
        <v>306</v>
      </c>
      <c r="M15" s="13"/>
    </row>
    <row r="16" spans="1:13" s="26" customFormat="1" ht="24" customHeight="1">
      <c r="A16" s="931" t="s">
        <v>727</v>
      </c>
      <c r="B16" s="931"/>
      <c r="C16" s="931"/>
      <c r="D16" s="931"/>
      <c r="E16" s="931"/>
      <c r="F16" s="25">
        <f>SUM(F15)</f>
        <v>6854685918</v>
      </c>
      <c r="G16" s="25">
        <f>SUM(G15)</f>
        <v>9416723580</v>
      </c>
      <c r="H16" s="25"/>
      <c r="I16" s="25"/>
      <c r="J16" s="25"/>
      <c r="K16" s="171">
        <f t="shared" si="0"/>
        <v>1.3737644135192599</v>
      </c>
      <c r="L16" s="25"/>
      <c r="M16" s="13"/>
    </row>
    <row r="17" spans="1:13" s="26" customFormat="1" ht="24" customHeight="1">
      <c r="A17" s="931" t="s">
        <v>740</v>
      </c>
      <c r="B17" s="15" t="s">
        <v>741</v>
      </c>
      <c r="C17" s="19" t="s">
        <v>350</v>
      </c>
      <c r="D17" s="42">
        <v>37984</v>
      </c>
      <c r="E17" s="42">
        <v>38595</v>
      </c>
      <c r="F17" s="19">
        <v>4450000000</v>
      </c>
      <c r="G17" s="19">
        <v>10020978231</v>
      </c>
      <c r="H17" s="19"/>
      <c r="I17" s="19"/>
      <c r="J17" s="19"/>
      <c r="K17" s="171">
        <f t="shared" si="0"/>
        <v>2.2519052204494381</v>
      </c>
      <c r="L17" s="19" t="s">
        <v>735</v>
      </c>
      <c r="M17" s="13"/>
    </row>
    <row r="18" spans="1:13" s="26" customFormat="1" ht="24" customHeight="1">
      <c r="A18" s="931"/>
      <c r="B18" s="15" t="s">
        <v>741</v>
      </c>
      <c r="C18" s="19" t="s">
        <v>444</v>
      </c>
      <c r="D18" s="42">
        <v>37984</v>
      </c>
      <c r="E18" s="42">
        <v>38595</v>
      </c>
      <c r="F18" s="19">
        <v>4450000000</v>
      </c>
      <c r="G18" s="19">
        <v>4450000000</v>
      </c>
      <c r="H18" s="19"/>
      <c r="I18" s="19"/>
      <c r="J18" s="19"/>
      <c r="K18" s="171">
        <f t="shared" si="0"/>
        <v>1</v>
      </c>
      <c r="L18" s="19" t="s">
        <v>735</v>
      </c>
      <c r="M18" s="13"/>
    </row>
    <row r="19" spans="1:13" s="26" customFormat="1" ht="24" customHeight="1">
      <c r="A19" s="931" t="s">
        <v>727</v>
      </c>
      <c r="B19" s="931"/>
      <c r="C19" s="931"/>
      <c r="D19" s="931"/>
      <c r="E19" s="931"/>
      <c r="F19" s="19">
        <f>SUM(F17:F18)</f>
        <v>8900000000</v>
      </c>
      <c r="G19" s="19">
        <f>SUM(G17:G18)</f>
        <v>14470978231</v>
      </c>
      <c r="H19" s="19"/>
      <c r="I19" s="19"/>
      <c r="J19" s="19"/>
      <c r="K19" s="171">
        <f t="shared" si="0"/>
        <v>1.625952610224719</v>
      </c>
      <c r="L19" s="19"/>
      <c r="M19" s="13"/>
    </row>
    <row r="20" spans="1:13" s="26" customFormat="1" ht="24" customHeight="1">
      <c r="A20" s="931" t="s">
        <v>742</v>
      </c>
      <c r="B20" s="15" t="s">
        <v>743</v>
      </c>
      <c r="C20" s="19" t="s">
        <v>596</v>
      </c>
      <c r="D20" s="42">
        <v>38015</v>
      </c>
      <c r="E20" s="42">
        <v>38077</v>
      </c>
      <c r="F20" s="19">
        <v>7088610186</v>
      </c>
      <c r="G20" s="19">
        <v>10557786505</v>
      </c>
      <c r="H20" s="19"/>
      <c r="I20" s="19"/>
      <c r="J20" s="19"/>
      <c r="K20" s="171">
        <f t="shared" si="0"/>
        <v>1.4894014803990239</v>
      </c>
      <c r="L20" s="19" t="s">
        <v>25</v>
      </c>
      <c r="M20" s="13"/>
    </row>
    <row r="21" spans="1:13" s="26" customFormat="1" ht="24" customHeight="1">
      <c r="A21" s="931"/>
      <c r="B21" s="15" t="s">
        <v>744</v>
      </c>
      <c r="C21" s="19" t="s">
        <v>350</v>
      </c>
      <c r="D21" s="42">
        <v>38071</v>
      </c>
      <c r="E21" s="42">
        <v>38387</v>
      </c>
      <c r="F21" s="19">
        <v>2000000000</v>
      </c>
      <c r="G21" s="19">
        <v>2056237000</v>
      </c>
      <c r="H21" s="19"/>
      <c r="I21" s="19"/>
      <c r="J21" s="19"/>
      <c r="K21" s="171">
        <f t="shared" si="0"/>
        <v>1.0281184999999999</v>
      </c>
      <c r="L21" s="19" t="s">
        <v>306</v>
      </c>
      <c r="M21" s="13"/>
    </row>
    <row r="22" spans="1:13" s="26" customFormat="1" ht="24" customHeight="1">
      <c r="A22" s="931"/>
      <c r="B22" s="15" t="s">
        <v>744</v>
      </c>
      <c r="C22" s="19" t="s">
        <v>444</v>
      </c>
      <c r="D22" s="42">
        <v>38071</v>
      </c>
      <c r="E22" s="42">
        <v>38386</v>
      </c>
      <c r="F22" s="19">
        <v>2000000000</v>
      </c>
      <c r="G22" s="19">
        <v>2215565320</v>
      </c>
      <c r="H22" s="19"/>
      <c r="I22" s="19"/>
      <c r="J22" s="19"/>
      <c r="K22" s="171">
        <f t="shared" si="0"/>
        <v>1.10778266</v>
      </c>
      <c r="L22" s="19" t="s">
        <v>306</v>
      </c>
      <c r="M22" s="13"/>
    </row>
    <row r="23" spans="1:13" s="26" customFormat="1" ht="24" customHeight="1">
      <c r="A23" s="931"/>
      <c r="B23" s="15" t="s">
        <v>745</v>
      </c>
      <c r="C23" s="19" t="s">
        <v>350</v>
      </c>
      <c r="D23" s="42">
        <v>38091</v>
      </c>
      <c r="E23" s="42">
        <v>39167</v>
      </c>
      <c r="F23" s="19">
        <v>2500000000</v>
      </c>
      <c r="G23" s="19">
        <v>3774628555</v>
      </c>
      <c r="H23" s="19"/>
      <c r="I23" s="19"/>
      <c r="J23" s="19"/>
      <c r="K23" s="171">
        <f t="shared" si="0"/>
        <v>1.5098514220000001</v>
      </c>
      <c r="L23" s="19" t="s">
        <v>306</v>
      </c>
      <c r="M23" s="13"/>
    </row>
    <row r="24" spans="1:13" s="26" customFormat="1" ht="24" customHeight="1">
      <c r="A24" s="931"/>
      <c r="B24" s="15" t="s">
        <v>745</v>
      </c>
      <c r="C24" s="19" t="s">
        <v>444</v>
      </c>
      <c r="D24" s="42">
        <v>38091</v>
      </c>
      <c r="E24" s="42">
        <v>38488</v>
      </c>
      <c r="F24" s="19">
        <v>2500000000</v>
      </c>
      <c r="G24" s="19">
        <v>2724368587</v>
      </c>
      <c r="H24" s="19"/>
      <c r="I24" s="19"/>
      <c r="J24" s="19"/>
      <c r="K24" s="171">
        <f t="shared" si="0"/>
        <v>1.0897474348</v>
      </c>
      <c r="L24" s="19" t="s">
        <v>306</v>
      </c>
      <c r="M24" s="13"/>
    </row>
    <row r="25" spans="1:13" ht="24" customHeight="1">
      <c r="A25" s="931"/>
      <c r="B25" s="15" t="s">
        <v>746</v>
      </c>
      <c r="C25" s="19" t="s">
        <v>350</v>
      </c>
      <c r="D25" s="42">
        <v>38168</v>
      </c>
      <c r="E25" s="42">
        <v>39678</v>
      </c>
      <c r="F25" s="19">
        <v>10000005000</v>
      </c>
      <c r="G25" s="19">
        <v>14795435014</v>
      </c>
      <c r="H25" s="19"/>
      <c r="I25" s="19"/>
      <c r="J25" s="19"/>
      <c r="K25" s="171">
        <f t="shared" si="0"/>
        <v>1.4795427616286192</v>
      </c>
      <c r="L25" s="19" t="s">
        <v>306</v>
      </c>
      <c r="M25" s="13"/>
    </row>
    <row r="26" spans="1:13" ht="24" customHeight="1">
      <c r="A26" s="931" t="s">
        <v>727</v>
      </c>
      <c r="B26" s="931"/>
      <c r="C26" s="931"/>
      <c r="D26" s="931"/>
      <c r="E26" s="931"/>
      <c r="F26" s="19">
        <f>SUM(F20:F25)</f>
        <v>26088615186</v>
      </c>
      <c r="G26" s="19">
        <f>SUM(G20:G25)</f>
        <v>36124020981</v>
      </c>
      <c r="H26" s="19"/>
      <c r="I26" s="19"/>
      <c r="J26" s="19"/>
      <c r="K26" s="171">
        <f t="shared" si="0"/>
        <v>1.3846660975851768</v>
      </c>
      <c r="L26" s="19"/>
      <c r="M26" s="13"/>
    </row>
    <row r="27" spans="1:13" s="26" customFormat="1" ht="24" customHeight="1">
      <c r="A27" s="19" t="s">
        <v>747</v>
      </c>
      <c r="B27" s="15" t="s">
        <v>746</v>
      </c>
      <c r="C27" s="19" t="s">
        <v>350</v>
      </c>
      <c r="D27" s="42">
        <v>38187</v>
      </c>
      <c r="E27" s="42">
        <v>39678</v>
      </c>
      <c r="F27" s="19">
        <v>10000005000</v>
      </c>
      <c r="G27" s="19">
        <v>14713837784</v>
      </c>
      <c r="H27" s="19"/>
      <c r="I27" s="19"/>
      <c r="J27" s="19"/>
      <c r="K27" s="171">
        <f t="shared" si="0"/>
        <v>1.4713830427084786</v>
      </c>
      <c r="L27" s="19" t="s">
        <v>306</v>
      </c>
      <c r="M27" s="13"/>
    </row>
    <row r="28" spans="1:13" s="26" customFormat="1" ht="24" customHeight="1">
      <c r="A28" s="931" t="s">
        <v>727</v>
      </c>
      <c r="B28" s="931"/>
      <c r="C28" s="931"/>
      <c r="D28" s="931"/>
      <c r="E28" s="931"/>
      <c r="F28" s="19">
        <f>SUM(F27)</f>
        <v>10000005000</v>
      </c>
      <c r="G28" s="19">
        <f>SUM(G27)</f>
        <v>14713837784</v>
      </c>
      <c r="H28" s="19"/>
      <c r="I28" s="19"/>
      <c r="J28" s="19"/>
      <c r="K28" s="171">
        <f t="shared" si="0"/>
        <v>1.4713830427084786</v>
      </c>
      <c r="L28" s="19"/>
      <c r="M28" s="13"/>
    </row>
    <row r="29" spans="1:13" s="26" customFormat="1" ht="24" customHeight="1">
      <c r="A29" s="931" t="s">
        <v>748</v>
      </c>
      <c r="B29" s="15" t="s">
        <v>749</v>
      </c>
      <c r="C29" s="19" t="s">
        <v>341</v>
      </c>
      <c r="D29" s="42">
        <v>38551</v>
      </c>
      <c r="E29" s="42">
        <v>39021</v>
      </c>
      <c r="F29" s="19">
        <v>12000000000</v>
      </c>
      <c r="G29" s="19">
        <v>12000000000</v>
      </c>
      <c r="H29" s="19"/>
      <c r="I29" s="19"/>
      <c r="J29" s="19"/>
      <c r="K29" s="171">
        <f t="shared" si="0"/>
        <v>1</v>
      </c>
      <c r="L29" s="19" t="s">
        <v>306</v>
      </c>
      <c r="M29" s="13"/>
    </row>
    <row r="30" spans="1:13" ht="24" customHeight="1">
      <c r="A30" s="931"/>
      <c r="B30" s="15" t="s">
        <v>749</v>
      </c>
      <c r="C30" s="19" t="s">
        <v>444</v>
      </c>
      <c r="D30" s="42">
        <v>38558</v>
      </c>
      <c r="E30" s="42">
        <v>39021</v>
      </c>
      <c r="F30" s="19">
        <v>13000000000</v>
      </c>
      <c r="G30" s="19">
        <v>19125662751</v>
      </c>
      <c r="H30" s="19"/>
      <c r="I30" s="19"/>
      <c r="J30" s="19"/>
      <c r="K30" s="171">
        <f t="shared" si="0"/>
        <v>1.471204827</v>
      </c>
      <c r="L30" s="19" t="s">
        <v>306</v>
      </c>
      <c r="M30" s="13"/>
    </row>
    <row r="31" spans="1:13" ht="24" customHeight="1">
      <c r="A31" s="931" t="s">
        <v>727</v>
      </c>
      <c r="B31" s="931"/>
      <c r="C31" s="931"/>
      <c r="D31" s="931"/>
      <c r="E31" s="931"/>
      <c r="F31" s="19">
        <f>SUM(F29:F30)</f>
        <v>25000000000</v>
      </c>
      <c r="G31" s="19">
        <f>SUM(G29:G30)</f>
        <v>31125662751</v>
      </c>
      <c r="H31" s="19"/>
      <c r="I31" s="19"/>
      <c r="J31" s="19"/>
      <c r="K31" s="171">
        <f t="shared" si="0"/>
        <v>1.24502651004</v>
      </c>
      <c r="L31" s="19"/>
      <c r="M31" s="13"/>
    </row>
    <row r="32" spans="1:13" s="26" customFormat="1" ht="24" customHeight="1">
      <c r="A32" s="19" t="s">
        <v>750</v>
      </c>
      <c r="B32" s="15" t="s">
        <v>751</v>
      </c>
      <c r="C32" s="19" t="s">
        <v>444</v>
      </c>
      <c r="D32" s="42">
        <v>38861</v>
      </c>
      <c r="E32" s="116">
        <v>39560</v>
      </c>
      <c r="F32" s="19">
        <v>4000000000</v>
      </c>
      <c r="G32" s="19">
        <v>7162396165</v>
      </c>
      <c r="H32" s="19"/>
      <c r="I32" s="19"/>
      <c r="J32" s="19"/>
      <c r="K32" s="171">
        <f t="shared" si="0"/>
        <v>1.7905990412499999</v>
      </c>
      <c r="L32" s="19" t="s">
        <v>306</v>
      </c>
      <c r="M32" s="13"/>
    </row>
    <row r="33" spans="1:13" s="26" customFormat="1" ht="24" customHeight="1">
      <c r="A33" s="931" t="s">
        <v>727</v>
      </c>
      <c r="B33" s="931"/>
      <c r="C33" s="931"/>
      <c r="D33" s="931"/>
      <c r="E33" s="931"/>
      <c r="F33" s="19">
        <f>SUM(F32)</f>
        <v>4000000000</v>
      </c>
      <c r="G33" s="19">
        <f>SUM(G32)</f>
        <v>7162396165</v>
      </c>
      <c r="H33" s="19"/>
      <c r="I33" s="19"/>
      <c r="J33" s="19"/>
      <c r="K33" s="171">
        <f t="shared" si="0"/>
        <v>1.7905990412499999</v>
      </c>
      <c r="L33" s="19"/>
      <c r="M33" s="13"/>
    </row>
    <row r="34" spans="1:13" s="26" customFormat="1" ht="24" customHeight="1">
      <c r="A34" s="932" t="s">
        <v>752</v>
      </c>
      <c r="B34" s="15" t="s">
        <v>753</v>
      </c>
      <c r="C34" s="19" t="s">
        <v>350</v>
      </c>
      <c r="D34" s="42">
        <v>38812</v>
      </c>
      <c r="E34" s="42">
        <v>39388</v>
      </c>
      <c r="F34" s="19">
        <v>50000000</v>
      </c>
      <c r="G34" s="19">
        <v>50000000</v>
      </c>
      <c r="H34" s="19"/>
      <c r="I34" s="19"/>
      <c r="J34" s="19"/>
      <c r="K34" s="171">
        <f t="shared" si="0"/>
        <v>1</v>
      </c>
      <c r="L34" s="19" t="s">
        <v>306</v>
      </c>
      <c r="M34" s="13"/>
    </row>
    <row r="35" spans="1:13" s="26" customFormat="1" ht="24" customHeight="1">
      <c r="A35" s="932"/>
      <c r="B35" s="15" t="s">
        <v>753</v>
      </c>
      <c r="C35" s="19" t="s">
        <v>723</v>
      </c>
      <c r="D35" s="42">
        <v>38818</v>
      </c>
      <c r="E35" s="42">
        <v>39388</v>
      </c>
      <c r="F35" s="19">
        <v>9950000000</v>
      </c>
      <c r="G35" s="19">
        <v>11149652174</v>
      </c>
      <c r="H35" s="19"/>
      <c r="I35" s="19"/>
      <c r="J35" s="19"/>
      <c r="K35" s="171">
        <f t="shared" si="0"/>
        <v>1.1205680576884423</v>
      </c>
      <c r="L35" s="19" t="s">
        <v>306</v>
      </c>
      <c r="M35" s="13"/>
    </row>
    <row r="36" spans="1:13" ht="24" customHeight="1">
      <c r="A36" s="931" t="s">
        <v>727</v>
      </c>
      <c r="B36" s="931"/>
      <c r="C36" s="931"/>
      <c r="D36" s="931"/>
      <c r="E36" s="931"/>
      <c r="F36" s="19">
        <f>SUM(F34:F35)</f>
        <v>10000000000</v>
      </c>
      <c r="G36" s="19">
        <f>SUM(G34:G35)</f>
        <v>11199652174</v>
      </c>
      <c r="H36" s="19"/>
      <c r="I36" s="19"/>
      <c r="J36" s="19"/>
      <c r="K36" s="171">
        <f t="shared" si="0"/>
        <v>1.1199652174000001</v>
      </c>
      <c r="L36" s="19"/>
    </row>
  </sheetData>
  <mergeCells count="17">
    <mergeCell ref="A28:E28"/>
    <mergeCell ref="A5:E5"/>
    <mergeCell ref="A6:A8"/>
    <mergeCell ref="A9:E9"/>
    <mergeCell ref="A11:E11"/>
    <mergeCell ref="A12:A13"/>
    <mergeCell ref="A14:E14"/>
    <mergeCell ref="A16:E16"/>
    <mergeCell ref="A17:A18"/>
    <mergeCell ref="A19:E19"/>
    <mergeCell ref="A20:A25"/>
    <mergeCell ref="A26:E26"/>
    <mergeCell ref="A29:A30"/>
    <mergeCell ref="A31:E31"/>
    <mergeCell ref="A33:E33"/>
    <mergeCell ref="A34:A35"/>
    <mergeCell ref="A36:E36"/>
  </mergeCells>
  <phoneticPr fontId="2" type="noConversion"/>
  <pageMargins left="0.7" right="0.7" top="0.75" bottom="0.75" header="0.3" footer="0.3"/>
  <pageSetup paperSize="9" scale="73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46"/>
  <sheetViews>
    <sheetView zoomScale="75" zoomScaleNormal="75" workbookViewId="0">
      <selection activeCell="D38" sqref="D38"/>
    </sheetView>
  </sheetViews>
  <sheetFormatPr defaultRowHeight="13.5"/>
  <cols>
    <col min="1" max="1" width="11.75" style="4" customWidth="1"/>
    <col min="2" max="2" width="18.5" style="3" customWidth="1"/>
    <col min="3" max="3" width="14.375" style="3" customWidth="1"/>
    <col min="4" max="4" width="16" style="3" bestFit="1" customWidth="1"/>
    <col min="5" max="5" width="10.625" style="251" customWidth="1"/>
    <col min="6" max="6" width="16" style="3" bestFit="1" customWidth="1"/>
    <col min="7" max="7" width="16" style="4" bestFit="1" customWidth="1"/>
    <col min="8" max="9" width="9" style="4"/>
    <col min="10" max="10" width="9" style="93"/>
    <col min="11" max="11" width="9" style="55"/>
    <col min="12" max="16" width="9" style="4"/>
    <col min="17" max="17" width="9" style="5"/>
    <col min="18" max="19" width="9" style="4"/>
    <col min="20" max="23" width="9" style="3"/>
    <col min="24" max="16384" width="9" style="4"/>
  </cols>
  <sheetData>
    <row r="2" spans="1:17" s="3" customFormat="1">
      <c r="A2" s="19" t="s">
        <v>473</v>
      </c>
      <c r="B2" s="19" t="s">
        <v>474</v>
      </c>
      <c r="C2" s="19" t="s">
        <v>623</v>
      </c>
      <c r="D2" s="19" t="s">
        <v>624</v>
      </c>
      <c r="E2" s="244" t="s">
        <v>625</v>
      </c>
      <c r="J2" s="93"/>
      <c r="K2" s="55"/>
      <c r="Q2" s="170"/>
    </row>
    <row r="3" spans="1:17">
      <c r="A3" s="20" t="str">
        <f>+CRC해산!B4</f>
        <v>CRC1</v>
      </c>
      <c r="B3" s="25" t="s">
        <v>622</v>
      </c>
      <c r="C3" s="44">
        <f>+CRC해산!F4</f>
        <v>36959</v>
      </c>
      <c r="D3" s="25">
        <f>+-CRC해산!I4</f>
        <v>-15600000000</v>
      </c>
      <c r="E3" s="245"/>
    </row>
    <row r="4" spans="1:17">
      <c r="A4" s="14"/>
      <c r="B4" s="31"/>
      <c r="C4" s="45">
        <f>+CRC해산!K4</f>
        <v>36990</v>
      </c>
      <c r="D4" s="31">
        <f>+CRC해산!N4</f>
        <v>6400015000</v>
      </c>
      <c r="E4" s="246"/>
    </row>
    <row r="5" spans="1:17">
      <c r="A5" s="14"/>
      <c r="B5" s="31"/>
      <c r="C5" s="45">
        <f>+CRC해산!K5</f>
        <v>37044</v>
      </c>
      <c r="D5" s="31">
        <f>+CRC해산!N5</f>
        <v>7333331910</v>
      </c>
      <c r="E5" s="246"/>
    </row>
    <row r="6" spans="1:17">
      <c r="A6" s="11"/>
      <c r="B6" s="36"/>
      <c r="C6" s="46">
        <f>+CRC해산!K6</f>
        <v>37046</v>
      </c>
      <c r="D6" s="36">
        <f>+CRC해산!N6</f>
        <v>2786668090</v>
      </c>
      <c r="E6" s="247">
        <f>+XIRR(D3:D6,C3:C6)</f>
        <v>0.38581451773643494</v>
      </c>
      <c r="F6" s="3">
        <f>SUM(D3:D6)</f>
        <v>920015000</v>
      </c>
      <c r="G6" s="4">
        <f>+CRC해산!P7</f>
        <v>920015000</v>
      </c>
      <c r="H6" s="4">
        <f>+F6-G6</f>
        <v>0</v>
      </c>
    </row>
    <row r="7" spans="1:17">
      <c r="A7" s="14" t="str">
        <f>+CRC해산!B8</f>
        <v>CRC2</v>
      </c>
      <c r="B7" s="31" t="s">
        <v>626</v>
      </c>
      <c r="C7" s="45">
        <f>+CRC해산!F8</f>
        <v>37105</v>
      </c>
      <c r="D7" s="31">
        <f>+-CRC해산!I8</f>
        <v>-1880000000</v>
      </c>
      <c r="E7" s="246"/>
    </row>
    <row r="8" spans="1:17">
      <c r="A8" s="14"/>
      <c r="B8" s="31"/>
      <c r="C8" s="45">
        <f>+CRC해산!F9</f>
        <v>37106</v>
      </c>
      <c r="D8" s="31">
        <f>+-CRC해산!I9</f>
        <v>-2820000000</v>
      </c>
      <c r="E8" s="246"/>
    </row>
    <row r="9" spans="1:17">
      <c r="A9" s="14"/>
      <c r="B9" s="31"/>
      <c r="C9" s="45">
        <f>+CRC해산!F10</f>
        <v>37110</v>
      </c>
      <c r="D9" s="31">
        <f>+-CRC해산!I10</f>
        <v>-4699999000</v>
      </c>
      <c r="E9" s="246"/>
    </row>
    <row r="10" spans="1:17">
      <c r="A10" s="14"/>
      <c r="B10" s="31"/>
      <c r="C10" s="45">
        <f>+CRC해산!F11</f>
        <v>37125</v>
      </c>
      <c r="D10" s="31">
        <f>+-CRC해산!I11</f>
        <v>-300000000</v>
      </c>
      <c r="E10" s="246"/>
    </row>
    <row r="11" spans="1:17">
      <c r="A11" s="14"/>
      <c r="B11" s="31"/>
      <c r="C11" s="45">
        <f>+CRC해산!F12</f>
        <v>37134</v>
      </c>
      <c r="D11" s="31">
        <f>+-CRC해산!I12</f>
        <v>-2240084041</v>
      </c>
      <c r="E11" s="246"/>
    </row>
    <row r="12" spans="1:17">
      <c r="A12" s="14"/>
      <c r="B12" s="31"/>
      <c r="C12" s="45">
        <f>+CRC해산!K8</f>
        <v>37159</v>
      </c>
      <c r="D12" s="31">
        <f>+CRC해산!N8</f>
        <v>300000000</v>
      </c>
      <c r="E12" s="246"/>
    </row>
    <row r="13" spans="1:17">
      <c r="A13" s="14"/>
      <c r="B13" s="36"/>
      <c r="C13" s="46">
        <f>+CRC해산!K9</f>
        <v>37229</v>
      </c>
      <c r="D13" s="36">
        <f>+CRC해산!N9</f>
        <v>11663804978</v>
      </c>
      <c r="E13" s="247"/>
      <c r="F13" s="4"/>
    </row>
    <row r="14" spans="1:17">
      <c r="A14" s="14"/>
      <c r="B14" s="31" t="s">
        <v>627</v>
      </c>
      <c r="C14" s="45">
        <f>+CRC해산!F13</f>
        <v>37110</v>
      </c>
      <c r="D14" s="31">
        <f>-+CRC해산!I13</f>
        <v>-1000</v>
      </c>
      <c r="E14" s="246"/>
    </row>
    <row r="15" spans="1:17">
      <c r="A15" s="14"/>
      <c r="B15" s="31"/>
      <c r="C15" s="45">
        <f>+CRC해산!F15</f>
        <v>37229</v>
      </c>
      <c r="D15" s="31">
        <f>-+CRC해산!I15</f>
        <v>-4822709281</v>
      </c>
      <c r="E15" s="246"/>
    </row>
    <row r="16" spans="1:17">
      <c r="A16" s="14"/>
      <c r="B16" s="31"/>
      <c r="C16" s="45">
        <f>+CRC해산!F16</f>
        <v>37231</v>
      </c>
      <c r="D16" s="31">
        <f>-+CRC해산!I16</f>
        <v>-12000000000</v>
      </c>
      <c r="E16" s="246"/>
    </row>
    <row r="17" spans="1:5">
      <c r="A17" s="14"/>
      <c r="B17" s="31"/>
      <c r="C17" s="45">
        <f>+CRC해산!F18</f>
        <v>38239</v>
      </c>
      <c r="D17" s="31">
        <f>-+CRC해산!I18</f>
        <v>-1433040000</v>
      </c>
      <c r="E17" s="246"/>
    </row>
    <row r="18" spans="1:5">
      <c r="A18" s="14"/>
      <c r="B18" s="31"/>
      <c r="C18" s="45">
        <f>+CRC해산!F19</f>
        <v>38350</v>
      </c>
      <c r="D18" s="31">
        <f>-+CRC해산!I19</f>
        <v>-646952960</v>
      </c>
      <c r="E18" s="246"/>
    </row>
    <row r="19" spans="1:5">
      <c r="A19" s="14"/>
      <c r="B19" s="31"/>
      <c r="C19" s="45">
        <f>+CRC해산!K13</f>
        <v>37106</v>
      </c>
      <c r="D19" s="31">
        <f>+CRC해산!N13</f>
        <v>470000000</v>
      </c>
      <c r="E19" s="246"/>
    </row>
    <row r="20" spans="1:5">
      <c r="A20" s="14"/>
      <c r="B20" s="31"/>
      <c r="C20" s="45">
        <f>+CRC해산!K14</f>
        <v>37111</v>
      </c>
      <c r="D20" s="31">
        <f>+CRC해산!N14</f>
        <v>188179840</v>
      </c>
      <c r="E20" s="246"/>
    </row>
    <row r="21" spans="1:5">
      <c r="A21" s="14"/>
      <c r="B21" s="31"/>
      <c r="C21" s="45">
        <f>+CRC해산!K15</f>
        <v>37245</v>
      </c>
      <c r="D21" s="31">
        <f>+CRC해산!N15</f>
        <v>1681670000</v>
      </c>
      <c r="E21" s="246"/>
    </row>
    <row r="22" spans="1:5">
      <c r="A22" s="14"/>
      <c r="B22" s="31"/>
      <c r="C22" s="45">
        <f>+CRC해산!K16</f>
        <v>37334</v>
      </c>
      <c r="D22" s="31">
        <f>+CRC해산!N16</f>
        <v>4154740500</v>
      </c>
      <c r="E22" s="246"/>
    </row>
    <row r="23" spans="1:5">
      <c r="A23" s="14"/>
      <c r="B23" s="31"/>
      <c r="C23" s="45">
        <f>+CRC해산!K17</f>
        <v>37340</v>
      </c>
      <c r="D23" s="31">
        <f>+CRC해산!N17</f>
        <v>2707691850</v>
      </c>
      <c r="E23" s="246"/>
    </row>
    <row r="24" spans="1:5">
      <c r="A24" s="14"/>
      <c r="B24" s="31"/>
      <c r="C24" s="45">
        <f>+CRC해산!K18</f>
        <v>37361</v>
      </c>
      <c r="D24" s="31">
        <f>+CRC해산!N18</f>
        <v>2531066950</v>
      </c>
      <c r="E24" s="246"/>
    </row>
    <row r="25" spans="1:5">
      <c r="A25" s="14"/>
      <c r="B25" s="31"/>
      <c r="C25" s="45">
        <f>+CRC해산!K19</f>
        <v>37371</v>
      </c>
      <c r="D25" s="31">
        <f>+CRC해산!N19</f>
        <v>3381631400</v>
      </c>
      <c r="E25" s="246"/>
    </row>
    <row r="26" spans="1:5">
      <c r="A26" s="14"/>
      <c r="B26" s="31"/>
      <c r="C26" s="45">
        <f>+CRC해산!K20</f>
        <v>37656</v>
      </c>
      <c r="D26" s="31">
        <f>+CRC해산!N20</f>
        <v>1000000000</v>
      </c>
      <c r="E26" s="246"/>
    </row>
    <row r="27" spans="1:5">
      <c r="A27" s="14"/>
      <c r="B27" s="31"/>
      <c r="C27" s="45">
        <f>+CRC해산!K21</f>
        <v>37700</v>
      </c>
      <c r="D27" s="31">
        <f>+CRC해산!N21</f>
        <v>1000000000</v>
      </c>
      <c r="E27" s="246"/>
    </row>
    <row r="28" spans="1:5">
      <c r="A28" s="14"/>
      <c r="B28" s="31"/>
      <c r="C28" s="45">
        <f>+CRC해산!K22</f>
        <v>37714</v>
      </c>
      <c r="D28" s="31">
        <f>+CRC해산!N22</f>
        <v>1600000000</v>
      </c>
      <c r="E28" s="246"/>
    </row>
    <row r="29" spans="1:5">
      <c r="A29" s="14"/>
      <c r="B29" s="31"/>
      <c r="C29" s="45">
        <f>+CRC해산!K23</f>
        <v>37873</v>
      </c>
      <c r="D29" s="31">
        <f>+CRC해산!N23</f>
        <v>1933040000</v>
      </c>
      <c r="E29" s="246"/>
    </row>
    <row r="30" spans="1:5">
      <c r="A30" s="14"/>
      <c r="B30" s="31"/>
      <c r="C30" s="45">
        <f>+CRC해산!K24</f>
        <v>38313</v>
      </c>
      <c r="D30" s="31">
        <f>+CRC해산!N24</f>
        <v>842400000</v>
      </c>
      <c r="E30" s="246"/>
    </row>
    <row r="31" spans="1:5">
      <c r="A31" s="14"/>
      <c r="B31" s="31"/>
      <c r="C31" s="45">
        <f>+CRC해산!K25</f>
        <v>38499</v>
      </c>
      <c r="D31" s="31">
        <f>+CRC해산!N25</f>
        <v>3291194100</v>
      </c>
      <c r="E31" s="246"/>
    </row>
    <row r="32" spans="1:5">
      <c r="A32" s="14"/>
      <c r="B32" s="31"/>
      <c r="C32" s="45">
        <f>+CRC해산!K26</f>
        <v>38980</v>
      </c>
      <c r="D32" s="31">
        <f>+CRC해산!N26</f>
        <v>311306000</v>
      </c>
      <c r="E32" s="246"/>
    </row>
    <row r="33" spans="1:10">
      <c r="A33" s="14"/>
      <c r="B33" s="31"/>
      <c r="C33" s="45">
        <f>+CRC해산!K27</f>
        <v>39254</v>
      </c>
      <c r="D33" s="31">
        <f>+CRC해산!N27</f>
        <v>362042800</v>
      </c>
      <c r="E33" s="246"/>
    </row>
    <row r="34" spans="1:10">
      <c r="A34" s="14"/>
      <c r="B34" s="31"/>
      <c r="C34" s="45">
        <f>+CRC해산!K28</f>
        <v>39255</v>
      </c>
      <c r="D34" s="31">
        <f>+CRC해산!N28</f>
        <v>340507400</v>
      </c>
      <c r="E34" s="246"/>
    </row>
    <row r="35" spans="1:10">
      <c r="A35" s="14"/>
      <c r="B35" s="31"/>
      <c r="C35" s="45">
        <f>+CRC해산!K29</f>
        <v>39258</v>
      </c>
      <c r="D35" s="31">
        <f>+CRC해산!N29</f>
        <v>145043800</v>
      </c>
      <c r="E35" s="246"/>
    </row>
    <row r="36" spans="1:10">
      <c r="A36" s="14"/>
      <c r="B36" s="31"/>
      <c r="C36" s="45">
        <f>+CRC해산!K30</f>
        <v>39259</v>
      </c>
      <c r="D36" s="31">
        <f>+CRC해산!N30</f>
        <v>463853100</v>
      </c>
      <c r="E36" s="246"/>
    </row>
    <row r="37" spans="1:10">
      <c r="A37" s="14"/>
      <c r="B37" s="31"/>
      <c r="C37" s="45">
        <f>+CRC해산!K31</f>
        <v>39260</v>
      </c>
      <c r="D37" s="31">
        <f>+CRC해산!N31</f>
        <v>272976400</v>
      </c>
      <c r="E37" s="246"/>
    </row>
    <row r="38" spans="1:10">
      <c r="A38" s="14"/>
      <c r="B38" s="31"/>
      <c r="C38" s="45">
        <f>+CRC해산!K32</f>
        <v>39261</v>
      </c>
      <c r="D38" s="31">
        <f>+CRC해산!N32</f>
        <v>142184000</v>
      </c>
      <c r="E38" s="246"/>
    </row>
    <row r="39" spans="1:10">
      <c r="A39" s="14"/>
      <c r="B39" s="31"/>
      <c r="C39" s="45">
        <f>+CRC해산!K33</f>
        <v>39262</v>
      </c>
      <c r="D39" s="31">
        <f>+CRC해산!N33</f>
        <v>320724900</v>
      </c>
      <c r="E39" s="246"/>
    </row>
    <row r="40" spans="1:10">
      <c r="A40" s="14"/>
      <c r="B40" s="31"/>
      <c r="C40" s="45">
        <f>+CRC해산!K34</f>
        <v>39265</v>
      </c>
      <c r="D40" s="31">
        <f>+CRC해산!N34</f>
        <v>32583800</v>
      </c>
      <c r="E40" s="246"/>
    </row>
    <row r="41" spans="1:10">
      <c r="A41" s="14"/>
      <c r="B41" s="31"/>
      <c r="C41" s="45">
        <f>+CRC해산!K35</f>
        <v>39345</v>
      </c>
      <c r="D41" s="31">
        <f>+CRC해산!N35</f>
        <v>319889000</v>
      </c>
      <c r="E41" s="246"/>
    </row>
    <row r="42" spans="1:10">
      <c r="A42" s="14"/>
      <c r="B42" s="31"/>
      <c r="C42" s="45">
        <f>+CRC해산!K36</f>
        <v>39357</v>
      </c>
      <c r="D42" s="31">
        <f>+CRC해산!N36</f>
        <v>49228100</v>
      </c>
      <c r="E42" s="246"/>
    </row>
    <row r="43" spans="1:10">
      <c r="A43" s="14"/>
      <c r="B43" s="31"/>
      <c r="C43" s="45">
        <f>+CRC해산!K37</f>
        <v>39359</v>
      </c>
      <c r="D43" s="31">
        <f>+CRC해산!N37</f>
        <v>437895250</v>
      </c>
      <c r="E43" s="246"/>
    </row>
    <row r="44" spans="1:10">
      <c r="A44" s="14"/>
      <c r="B44" s="31"/>
      <c r="C44" s="45">
        <f>+CRC해산!K38</f>
        <v>39360</v>
      </c>
      <c r="D44" s="31">
        <f>+CRC해산!N38</f>
        <v>344822550</v>
      </c>
      <c r="E44" s="246"/>
    </row>
    <row r="45" spans="1:10">
      <c r="A45" s="14"/>
      <c r="B45" s="36"/>
      <c r="C45" s="46">
        <f>+CRC해산!K39</f>
        <v>39363</v>
      </c>
      <c r="D45" s="36">
        <f>+CRC해산!N39</f>
        <v>28520</v>
      </c>
      <c r="E45" s="247">
        <f>+XIRR(D7:D45,C7:C45)</f>
        <v>0.41655883193016052</v>
      </c>
      <c r="J45" s="187">
        <f>+XIRR(D7:D45,C7:C45)</f>
        <v>0.41655883193016052</v>
      </c>
    </row>
    <row r="46" spans="1:10">
      <c r="A46" s="14"/>
      <c r="B46" s="31" t="str">
        <f>+CRC해산!D40</f>
        <v>에이알디홀딩스</v>
      </c>
      <c r="C46" s="45">
        <f>+CRC해산!F40</f>
        <v>37972</v>
      </c>
      <c r="D46" s="31">
        <f>+-CRC해산!I40</f>
        <v>-35602601482</v>
      </c>
      <c r="E46" s="246"/>
    </row>
    <row r="47" spans="1:10">
      <c r="A47" s="14"/>
      <c r="B47" s="31"/>
      <c r="C47" s="45">
        <f>+CRC해산!K40</f>
        <v>38182</v>
      </c>
      <c r="D47" s="31">
        <f>+CRC해산!N40</f>
        <v>9291270000</v>
      </c>
      <c r="E47" s="246"/>
    </row>
    <row r="48" spans="1:10">
      <c r="A48" s="11"/>
      <c r="B48" s="36"/>
      <c r="C48" s="46">
        <f>+CRC해산!K41</f>
        <v>39259</v>
      </c>
      <c r="D48" s="36">
        <f>+CRC해산!N41</f>
        <v>35583630000</v>
      </c>
      <c r="E48" s="247">
        <f>+XIRR(D46:D48,C46:C48)</f>
        <v>8.4466162323951738E-2</v>
      </c>
      <c r="F48" s="3">
        <f>SUM(D7:D48)</f>
        <v>18718017474</v>
      </c>
      <c r="G48" s="4">
        <f>+CRC해산!P42</f>
        <v>18718017473.849037</v>
      </c>
      <c r="H48" s="4">
        <f>+F48-G48</f>
        <v>0.15096282958984375</v>
      </c>
    </row>
    <row r="49" spans="1:7">
      <c r="A49" s="14" t="str">
        <f>+CRC해산!B43</f>
        <v>CRC3</v>
      </c>
      <c r="B49" s="31" t="str">
        <f>+CRC해산!D43</f>
        <v>한국시멘트</v>
      </c>
      <c r="C49" s="45">
        <f>+CRC해산!F43</f>
        <v>37340</v>
      </c>
      <c r="D49" s="31">
        <f>+-CRC해산!I43</f>
        <v>-5000000000</v>
      </c>
      <c r="E49" s="246"/>
    </row>
    <row r="50" spans="1:7">
      <c r="A50" s="11"/>
      <c r="B50" s="36"/>
      <c r="C50" s="46">
        <f>+CRC해산!K43</f>
        <v>37741</v>
      </c>
      <c r="D50" s="36">
        <f>+CRC해산!N43</f>
        <v>17865000000</v>
      </c>
      <c r="E50" s="247">
        <f>+XIRR(D49:D50,C49:C50)</f>
        <v>2.1870154142379761</v>
      </c>
      <c r="F50" s="3">
        <f>SUM(D49:D50)</f>
        <v>12865000000</v>
      </c>
      <c r="G50" s="4">
        <f>+CRC해산!P43</f>
        <v>12865000000</v>
      </c>
    </row>
    <row r="51" spans="1:7">
      <c r="A51" s="137" t="str">
        <f>+CRC해산!B44</f>
        <v>CRC4</v>
      </c>
      <c r="B51" s="139" t="str">
        <f>+CRC해산!D44</f>
        <v>하이트주조</v>
      </c>
      <c r="C51" s="157">
        <f>+CRC해산!F44</f>
        <v>37644</v>
      </c>
      <c r="D51" s="139">
        <f>+-CRC해산!I44</f>
        <v>-6555858147</v>
      </c>
      <c r="E51" s="248"/>
    </row>
    <row r="52" spans="1:7">
      <c r="A52" s="137"/>
      <c r="B52" s="139"/>
      <c r="C52" s="157">
        <f>+CRC해산!K44</f>
        <v>37986</v>
      </c>
      <c r="D52" s="139">
        <f>+CRC해산!N44</f>
        <v>1556935560</v>
      </c>
      <c r="E52" s="248"/>
    </row>
    <row r="53" spans="1:7">
      <c r="A53" s="137"/>
      <c r="B53" s="139"/>
      <c r="C53" s="157">
        <f>+CRC해산!K45</f>
        <v>38352</v>
      </c>
      <c r="D53" s="139">
        <f>+CRC해산!N45</f>
        <v>1882187263</v>
      </c>
      <c r="E53" s="248"/>
    </row>
    <row r="54" spans="1:7">
      <c r="A54" s="137"/>
      <c r="B54" s="132"/>
      <c r="C54" s="153">
        <f>+CRC해산!K46</f>
        <v>38411</v>
      </c>
      <c r="D54" s="132">
        <f>+CRC해산!N46</f>
        <v>4015594327</v>
      </c>
      <c r="E54" s="249">
        <f>+XIRR(D51:D54,C51:C54)</f>
        <v>7.3574826121330275E-2</v>
      </c>
    </row>
    <row r="55" spans="1:7">
      <c r="A55" s="137"/>
      <c r="B55" s="139" t="str">
        <f>+CRC해산!D47</f>
        <v>하이트주정</v>
      </c>
      <c r="C55" s="157">
        <f>+CRC해산!F47</f>
        <v>37644</v>
      </c>
      <c r="D55" s="139">
        <f>+-CRC해산!I47</f>
        <v>-3516457799</v>
      </c>
      <c r="E55" s="248"/>
    </row>
    <row r="56" spans="1:7">
      <c r="A56" s="137"/>
      <c r="B56" s="139"/>
      <c r="C56" s="157">
        <f>+CRC해산!K47</f>
        <v>37986</v>
      </c>
      <c r="D56" s="139">
        <f>+CRC해산!N47</f>
        <v>1158205768</v>
      </c>
      <c r="E56" s="248"/>
    </row>
    <row r="57" spans="1:7">
      <c r="A57" s="137"/>
      <c r="B57" s="139"/>
      <c r="C57" s="157">
        <f>+CRC해산!K48</f>
        <v>38352</v>
      </c>
      <c r="D57" s="139">
        <f>+CRC해산!N48</f>
        <v>1618205768</v>
      </c>
      <c r="E57" s="248"/>
    </row>
    <row r="58" spans="1:7">
      <c r="A58" s="154"/>
      <c r="B58" s="132"/>
      <c r="C58" s="153">
        <f>+CRC해산!K49</f>
        <v>38411</v>
      </c>
      <c r="D58" s="132">
        <f>+CRC해산!N49</f>
        <v>1998366087</v>
      </c>
      <c r="E58" s="249">
        <f>+XIRR(D55:D58,C55:C58)</f>
        <v>0.19173228144645693</v>
      </c>
      <c r="F58" s="3">
        <f>SUM(D51:D58)</f>
        <v>2157178827</v>
      </c>
      <c r="G58" s="4">
        <f>+CRC해산!P50</f>
        <v>2157178827</v>
      </c>
    </row>
    <row r="59" spans="1:7">
      <c r="A59" s="137" t="str">
        <f>+CRC해산!B51</f>
        <v>CRC5</v>
      </c>
      <c r="B59" s="139" t="str">
        <f>+CRC해산!D51</f>
        <v>하이트주조</v>
      </c>
      <c r="C59" s="157">
        <f>+CRC해산!F51</f>
        <v>37690</v>
      </c>
      <c r="D59" s="139">
        <f>+-CRC해산!I51</f>
        <v>-6854685918</v>
      </c>
      <c r="E59" s="248"/>
    </row>
    <row r="60" spans="1:7">
      <c r="A60" s="154"/>
      <c r="B60" s="132"/>
      <c r="C60" s="153">
        <f>+CRC해산!K51</f>
        <v>37922</v>
      </c>
      <c r="D60" s="132">
        <f>+CRC해산!N51</f>
        <v>9416723580</v>
      </c>
      <c r="E60" s="249">
        <f>+XIRR(D59:D60,C59:C60)</f>
        <v>0.64806384444236775</v>
      </c>
      <c r="F60" s="3">
        <f>SUM(D59:D60)</f>
        <v>2562037662</v>
      </c>
      <c r="G60" s="4">
        <f>+CRC해산!P51</f>
        <v>2562037662</v>
      </c>
    </row>
    <row r="61" spans="1:7">
      <c r="A61" s="14" t="str">
        <f>+CRC해산!B52</f>
        <v>CRC6</v>
      </c>
      <c r="B61" s="31" t="s">
        <v>629</v>
      </c>
      <c r="C61" s="45">
        <f>+CRC해산!F52</f>
        <v>37984</v>
      </c>
      <c r="D61" s="31">
        <f>+-CRC해산!I52</f>
        <v>-4450000000</v>
      </c>
      <c r="E61" s="246"/>
    </row>
    <row r="62" spans="1:7">
      <c r="A62" s="14"/>
      <c r="B62" s="46"/>
      <c r="C62" s="46">
        <f>+CRC해산!K52</f>
        <v>38595</v>
      </c>
      <c r="D62" s="36">
        <f>+CRC해산!N52</f>
        <v>10020978231</v>
      </c>
      <c r="E62" s="247"/>
    </row>
    <row r="63" spans="1:7">
      <c r="A63" s="14"/>
      <c r="B63" s="31" t="s">
        <v>628</v>
      </c>
      <c r="C63" s="45">
        <f>+CRC해산!F52</f>
        <v>37984</v>
      </c>
      <c r="D63" s="31">
        <f>-+CRC해산!I53</f>
        <v>-4450000000</v>
      </c>
      <c r="E63" s="246"/>
    </row>
    <row r="64" spans="1:7">
      <c r="A64" s="11"/>
      <c r="B64" s="36"/>
      <c r="C64" s="46">
        <f>+CRC해산!K53</f>
        <v>38595</v>
      </c>
      <c r="D64" s="36">
        <f>+CRC해산!N53</f>
        <v>4450000000</v>
      </c>
      <c r="E64" s="247">
        <f>+XIRR(D61:D64,C61:C64)</f>
        <v>0.33693998456001273</v>
      </c>
      <c r="F64" s="3">
        <f>SUM(D61:D64)</f>
        <v>5570978231</v>
      </c>
      <c r="G64" s="4">
        <f>+CRC해산!P54</f>
        <v>5570978231</v>
      </c>
    </row>
    <row r="65" spans="1:5">
      <c r="A65" s="14" t="str">
        <f>+CRC해산!B55</f>
        <v>CRC7</v>
      </c>
      <c r="B65" s="31" t="str">
        <f>+CRC해산!D55</f>
        <v>모나리자</v>
      </c>
      <c r="C65" s="45">
        <f>+CRC해산!F55</f>
        <v>38015</v>
      </c>
      <c r="D65" s="31">
        <f>+-CRC해산!I55</f>
        <v>-6100000000</v>
      </c>
      <c r="E65" s="246"/>
    </row>
    <row r="66" spans="1:5">
      <c r="A66" s="14"/>
      <c r="B66" s="31"/>
      <c r="C66" s="45">
        <f>+CRC해산!F56</f>
        <v>38016</v>
      </c>
      <c r="D66" s="31">
        <f>+-CRC해산!I56</f>
        <v>-345496706</v>
      </c>
      <c r="E66" s="246"/>
    </row>
    <row r="67" spans="1:5">
      <c r="A67" s="14"/>
      <c r="B67" s="31"/>
      <c r="C67" s="45">
        <f>+CRC해산!F57</f>
        <v>38021</v>
      </c>
      <c r="D67" s="31">
        <f>+-CRC해산!I57</f>
        <v>-31913480</v>
      </c>
      <c r="E67" s="246"/>
    </row>
    <row r="68" spans="1:5">
      <c r="A68" s="14"/>
      <c r="B68" s="31"/>
      <c r="C68" s="45">
        <f>+CRC해산!F58</f>
        <v>38036</v>
      </c>
      <c r="D68" s="31">
        <f>+-CRC해산!I58</f>
        <v>-50000000</v>
      </c>
      <c r="E68" s="246"/>
    </row>
    <row r="69" spans="1:5">
      <c r="A69" s="14"/>
      <c r="B69" s="31"/>
      <c r="C69" s="45">
        <f>+CRC해산!F59</f>
        <v>38187</v>
      </c>
      <c r="D69" s="31">
        <f>+-CRC해산!I59</f>
        <v>-350000000</v>
      </c>
      <c r="E69" s="246"/>
    </row>
    <row r="70" spans="1:5">
      <c r="A70" s="14"/>
      <c r="B70" s="31"/>
      <c r="C70" s="45">
        <f>+CRC해산!F60</f>
        <v>38198</v>
      </c>
      <c r="D70" s="31">
        <f>+-CRC해산!I60</f>
        <v>-181200000</v>
      </c>
      <c r="E70" s="246"/>
    </row>
    <row r="71" spans="1:5">
      <c r="A71" s="14"/>
      <c r="B71" s="31"/>
      <c r="C71" s="45">
        <f>+CRC해산!F61</f>
        <v>38212</v>
      </c>
      <c r="D71" s="31">
        <f>+-CRC해산!I61</f>
        <v>-30000000</v>
      </c>
      <c r="E71" s="246"/>
    </row>
    <row r="72" spans="1:5">
      <c r="A72" s="14"/>
      <c r="B72" s="31"/>
      <c r="C72" s="45">
        <f>+CRC해산!K55</f>
        <v>38077</v>
      </c>
      <c r="D72" s="31">
        <f>+CRC해산!N55</f>
        <v>311667299</v>
      </c>
      <c r="E72" s="246"/>
    </row>
    <row r="73" spans="1:5">
      <c r="A73" s="14"/>
      <c r="B73" s="31"/>
      <c r="C73" s="45">
        <f>+CRC해산!K56</f>
        <v>38665</v>
      </c>
      <c r="D73" s="31">
        <f>+CRC해산!N56</f>
        <v>4473006601</v>
      </c>
      <c r="E73" s="246"/>
    </row>
    <row r="74" spans="1:5">
      <c r="A74" s="14"/>
      <c r="B74" s="36"/>
      <c r="C74" s="46">
        <f>+CRC해산!K57</f>
        <v>38776</v>
      </c>
      <c r="D74" s="36">
        <f>+CRC해산!N57</f>
        <v>5773112605</v>
      </c>
      <c r="E74" s="247">
        <f>+XIRR(D65:D74,C65:C74)</f>
        <v>0.24043567776679992</v>
      </c>
    </row>
    <row r="75" spans="1:5">
      <c r="A75" s="14"/>
      <c r="B75" s="31" t="s">
        <v>630</v>
      </c>
      <c r="C75" s="45">
        <f>+CRC해산!F62</f>
        <v>38071</v>
      </c>
      <c r="D75" s="31">
        <f>+-CRC해산!I62</f>
        <v>-2000000000</v>
      </c>
      <c r="E75" s="246"/>
    </row>
    <row r="76" spans="1:5">
      <c r="A76" s="14"/>
      <c r="B76" s="36"/>
      <c r="C76" s="46">
        <f>+CRC해산!K62</f>
        <v>38387</v>
      </c>
      <c r="D76" s="36">
        <f>+CRC해산!N62</f>
        <v>2056237000</v>
      </c>
      <c r="E76" s="247"/>
    </row>
    <row r="77" spans="1:5">
      <c r="A77" s="14"/>
      <c r="B77" s="31" t="s">
        <v>631</v>
      </c>
      <c r="C77" s="45">
        <f>+CRC해산!F63</f>
        <v>38071</v>
      </c>
      <c r="D77" s="31">
        <f>+-CRC해산!I63</f>
        <v>-2000000000</v>
      </c>
      <c r="E77" s="246"/>
    </row>
    <row r="78" spans="1:5">
      <c r="A78" s="14"/>
      <c r="B78" s="31"/>
      <c r="C78" s="45">
        <f>+CRC해산!K63</f>
        <v>38077</v>
      </c>
      <c r="D78" s="31">
        <f>+CRC해산!N63</f>
        <v>575342</v>
      </c>
      <c r="E78" s="246"/>
    </row>
    <row r="79" spans="1:5">
      <c r="A79" s="14"/>
      <c r="B79" s="31"/>
      <c r="C79" s="45">
        <f>+CRC해산!K64</f>
        <v>38168</v>
      </c>
      <c r="D79" s="31">
        <f>+CRC해산!N64</f>
        <v>7397260</v>
      </c>
      <c r="E79" s="246"/>
    </row>
    <row r="80" spans="1:5">
      <c r="A80" s="14"/>
      <c r="B80" s="31"/>
      <c r="C80" s="45">
        <f>+CRC해산!K65</f>
        <v>38265</v>
      </c>
      <c r="D80" s="31">
        <f>+CRC해산!N65</f>
        <v>7592718</v>
      </c>
      <c r="E80" s="246"/>
    </row>
    <row r="81" spans="1:5">
      <c r="A81" s="14"/>
      <c r="B81" s="31"/>
      <c r="C81" s="45">
        <f>+CRC해산!K66</f>
        <v>38321</v>
      </c>
      <c r="D81" s="31">
        <f>+CRC해산!N66</f>
        <v>500000000</v>
      </c>
      <c r="E81" s="246"/>
    </row>
    <row r="82" spans="1:5">
      <c r="A82" s="14"/>
      <c r="B82" s="31"/>
      <c r="C82" s="45">
        <f>+CRC해산!K67</f>
        <v>38327</v>
      </c>
      <c r="D82" s="31">
        <f>+CRC해산!N67</f>
        <v>500000000</v>
      </c>
      <c r="E82" s="246"/>
    </row>
    <row r="83" spans="1:5">
      <c r="A83" s="14"/>
      <c r="B83" s="31"/>
      <c r="C83" s="45">
        <f>+CRC해산!K68</f>
        <v>38371</v>
      </c>
      <c r="D83" s="31">
        <f>+CRC해산!N68</f>
        <v>1000000000</v>
      </c>
      <c r="E83" s="246"/>
    </row>
    <row r="84" spans="1:5">
      <c r="A84" s="14"/>
      <c r="B84" s="36"/>
      <c r="C84" s="46">
        <f>+CRC해산!K69</f>
        <v>38386</v>
      </c>
      <c r="D84" s="36">
        <f>+CRC해산!N69</f>
        <v>200000000</v>
      </c>
      <c r="E84" s="247">
        <f>+XIRR(D75:D84,C75:C84)</f>
        <v>8.422389328479768E-2</v>
      </c>
    </row>
    <row r="85" spans="1:5">
      <c r="A85" s="14"/>
      <c r="B85" s="139" t="s">
        <v>632</v>
      </c>
      <c r="C85" s="157">
        <f>+CRC해산!F70</f>
        <v>38091</v>
      </c>
      <c r="D85" s="139">
        <f>+-CRC해산!I70</f>
        <v>-2500000000</v>
      </c>
      <c r="E85" s="246"/>
    </row>
    <row r="86" spans="1:5">
      <c r="A86" s="14"/>
      <c r="B86" s="139"/>
      <c r="C86" s="157">
        <f>+CRC해산!K70</f>
        <v>38600</v>
      </c>
      <c r="D86" s="139">
        <f>+CRC해산!N70</f>
        <v>2650</v>
      </c>
      <c r="E86" s="246"/>
    </row>
    <row r="87" spans="1:5">
      <c r="A87" s="14"/>
      <c r="B87" s="139"/>
      <c r="C87" s="157">
        <f>+CRC해산!K71</f>
        <v>39157</v>
      </c>
      <c r="D87" s="139">
        <f>+CRC해산!N71</f>
        <v>2000000000</v>
      </c>
      <c r="E87" s="246"/>
    </row>
    <row r="88" spans="1:5">
      <c r="A88" s="14"/>
      <c r="B88" s="132"/>
      <c r="C88" s="153">
        <f>+CRC해산!K72</f>
        <v>39167</v>
      </c>
      <c r="D88" s="132">
        <f>+CRC해산!N72</f>
        <v>1774625905</v>
      </c>
      <c r="E88" s="247"/>
    </row>
    <row r="89" spans="1:5">
      <c r="A89" s="14"/>
      <c r="B89" s="139" t="s">
        <v>633</v>
      </c>
      <c r="C89" s="157">
        <f>+CRC해산!F73</f>
        <v>38091</v>
      </c>
      <c r="D89" s="139">
        <f>+-CRC해산!I73</f>
        <v>-2500000000</v>
      </c>
      <c r="E89" s="246"/>
    </row>
    <row r="90" spans="1:5">
      <c r="A90" s="14"/>
      <c r="B90" s="139"/>
      <c r="C90" s="157">
        <f>+CRC해산!K73</f>
        <v>38182</v>
      </c>
      <c r="D90" s="139">
        <f>+CRC해산!N73</f>
        <v>50410958</v>
      </c>
      <c r="E90" s="246"/>
    </row>
    <row r="91" spans="1:5">
      <c r="A91" s="14"/>
      <c r="B91" s="139"/>
      <c r="C91" s="157">
        <f>+CRC해산!K74</f>
        <v>38274</v>
      </c>
      <c r="D91" s="139">
        <f>+CRC해산!N74</f>
        <v>49863013</v>
      </c>
      <c r="E91" s="246"/>
    </row>
    <row r="92" spans="1:5">
      <c r="A92" s="14"/>
      <c r="B92" s="139"/>
      <c r="C92" s="157">
        <f>+CRC해산!K75</f>
        <v>38343</v>
      </c>
      <c r="D92" s="139">
        <f>+CRC해산!N75</f>
        <v>1026679000</v>
      </c>
      <c r="E92" s="246"/>
    </row>
    <row r="93" spans="1:5">
      <c r="A93" s="14"/>
      <c r="B93" s="139"/>
      <c r="C93" s="157">
        <f>+CRC해산!K76</f>
        <v>38366</v>
      </c>
      <c r="D93" s="139">
        <f>+CRC해산!N76</f>
        <v>30246575</v>
      </c>
      <c r="E93" s="246"/>
    </row>
    <row r="94" spans="1:5">
      <c r="A94" s="14"/>
      <c r="B94" s="139"/>
      <c r="C94" s="157">
        <f>+CRC해산!K77</f>
        <v>38456</v>
      </c>
      <c r="D94" s="139">
        <f>+CRC해산!N77</f>
        <v>29589041</v>
      </c>
      <c r="E94" s="246"/>
    </row>
    <row r="95" spans="1:5">
      <c r="A95" s="14"/>
      <c r="B95" s="132"/>
      <c r="C95" s="153">
        <f>+CRC해산!K78</f>
        <v>38488</v>
      </c>
      <c r="D95" s="132">
        <f>+CRC해산!N78</f>
        <v>1537580000</v>
      </c>
      <c r="E95" s="247">
        <f>+XIRR(D85:D95,C85:C95)</f>
        <v>0.13884814381599425</v>
      </c>
    </row>
    <row r="96" spans="1:5">
      <c r="A96" s="14"/>
      <c r="B96" s="139" t="str">
        <f>+CRC해산!D79</f>
        <v>스포츠토토</v>
      </c>
      <c r="C96" s="157">
        <f>+CRC해산!F79</f>
        <v>38168</v>
      </c>
      <c r="D96" s="139">
        <f>+-CRC해산!I83</f>
        <v>-10000005000</v>
      </c>
      <c r="E96" s="246"/>
    </row>
    <row r="97" spans="1:8">
      <c r="A97" s="14"/>
      <c r="B97" s="139"/>
      <c r="C97" s="157">
        <f>+CRC해산!K79</f>
        <v>39307</v>
      </c>
      <c r="D97" s="139">
        <f>+CRC해산!N79</f>
        <v>7353496040</v>
      </c>
      <c r="E97" s="246"/>
    </row>
    <row r="98" spans="1:8">
      <c r="A98" s="14"/>
      <c r="B98" s="139"/>
      <c r="C98" s="157">
        <f>+CRC해산!K80</f>
        <v>39678</v>
      </c>
      <c r="D98" s="139">
        <f>+CRC해산!N80</f>
        <v>7441938974</v>
      </c>
      <c r="E98" s="246"/>
      <c r="F98" s="4"/>
    </row>
    <row r="99" spans="1:8">
      <c r="A99" s="11"/>
      <c r="B99" s="132"/>
      <c r="C99" s="153">
        <v>40101</v>
      </c>
      <c r="D99" s="132">
        <v>565000000</v>
      </c>
      <c r="E99" s="247">
        <f>+XIRR(D96:D99,C96:C99)</f>
        <v>0.12395723462104799</v>
      </c>
      <c r="F99" s="3">
        <f>SUM(D65:D99)</f>
        <v>10600405795</v>
      </c>
      <c r="G99" s="4">
        <f>+CRC해산!P82</f>
        <v>10600405795</v>
      </c>
      <c r="H99" s="4">
        <f>+F99-G99</f>
        <v>0</v>
      </c>
    </row>
    <row r="100" spans="1:8">
      <c r="A100" s="14" t="str">
        <f>+CRC해산!B83</f>
        <v>CRC8</v>
      </c>
      <c r="B100" s="139" t="str">
        <f>+CRC해산!D83</f>
        <v>스포츠토토</v>
      </c>
      <c r="C100" s="157">
        <f>+CRC해산!F83</f>
        <v>38187</v>
      </c>
      <c r="D100" s="139">
        <f>+-CRC해산!I83</f>
        <v>-10000005000</v>
      </c>
      <c r="E100" s="246"/>
    </row>
    <row r="101" spans="1:8">
      <c r="A101" s="14"/>
      <c r="B101" s="139"/>
      <c r="C101" s="157">
        <f>+CRC해산!K83</f>
        <v>39307</v>
      </c>
      <c r="D101" s="139">
        <f>+CRC해산!N83</f>
        <v>7333824277</v>
      </c>
      <c r="E101" s="246"/>
    </row>
    <row r="102" spans="1:8">
      <c r="A102" s="14"/>
      <c r="B102" s="139"/>
      <c r="C102" s="157">
        <f>+CRC해산!K84</f>
        <v>39678</v>
      </c>
      <c r="D102" s="139">
        <f>+CRC해산!N84</f>
        <v>7380013507</v>
      </c>
      <c r="E102" s="246"/>
      <c r="F102" s="4"/>
    </row>
    <row r="103" spans="1:8">
      <c r="A103" s="11"/>
      <c r="B103" s="132"/>
      <c r="C103" s="153">
        <v>40101</v>
      </c>
      <c r="D103" s="132">
        <v>565000000</v>
      </c>
      <c r="E103" s="247">
        <f>+XIRR(D100:D103,C100:C103)</f>
        <v>0.12423345446586609</v>
      </c>
      <c r="F103" s="3">
        <f>SUM(D100:D103)</f>
        <v>5278832784</v>
      </c>
      <c r="G103" s="4">
        <f>+CRC해산!P86</f>
        <v>5278832784</v>
      </c>
      <c r="H103" s="4">
        <f>+F103-G103</f>
        <v>0</v>
      </c>
    </row>
    <row r="104" spans="1:8">
      <c r="A104" s="14" t="str">
        <f>+CRC해산!B87</f>
        <v>CRC9</v>
      </c>
      <c r="B104" s="31" t="s">
        <v>634</v>
      </c>
      <c r="C104" s="45">
        <f>+CRC해산!F87</f>
        <v>38551</v>
      </c>
      <c r="D104" s="31">
        <f>+-CRC해산!I87</f>
        <v>-7500000000</v>
      </c>
      <c r="E104" s="246"/>
    </row>
    <row r="105" spans="1:8">
      <c r="A105" s="14"/>
      <c r="B105" s="31"/>
      <c r="C105" s="45">
        <f>+CRC해산!F88</f>
        <v>38555</v>
      </c>
      <c r="D105" s="31">
        <f>+-CRC해산!I88</f>
        <v>-4500000000</v>
      </c>
      <c r="E105" s="246"/>
    </row>
    <row r="106" spans="1:8">
      <c r="A106" s="14"/>
      <c r="B106" s="31"/>
      <c r="C106" s="45">
        <f>+CRC해산!K87</f>
        <v>39021</v>
      </c>
      <c r="D106" s="31">
        <f>+CRC해산!N87</f>
        <v>7500000000</v>
      </c>
      <c r="E106" s="246"/>
    </row>
    <row r="107" spans="1:8">
      <c r="A107" s="14"/>
      <c r="B107" s="36"/>
      <c r="C107" s="46">
        <f>+CRC해산!K88</f>
        <v>39021</v>
      </c>
      <c r="D107" s="36">
        <f>+CRC해산!N88</f>
        <v>4500000000</v>
      </c>
      <c r="E107" s="247"/>
    </row>
    <row r="108" spans="1:8">
      <c r="A108" s="14"/>
      <c r="B108" s="31" t="s">
        <v>635</v>
      </c>
      <c r="C108" s="45">
        <f>+CRC해산!F89</f>
        <v>38558</v>
      </c>
      <c r="D108" s="31">
        <f>+-CRC해산!I89</f>
        <v>-13000000000</v>
      </c>
      <c r="E108" s="246"/>
    </row>
    <row r="109" spans="1:8">
      <c r="A109" s="14"/>
      <c r="B109" s="31"/>
      <c r="C109" s="45">
        <f>+CRC해산!K89</f>
        <v>38946</v>
      </c>
      <c r="D109" s="31">
        <f>+CRC해산!N89</f>
        <v>1249662751</v>
      </c>
      <c r="E109" s="246"/>
    </row>
    <row r="110" spans="1:8">
      <c r="A110" s="11"/>
      <c r="B110" s="36"/>
      <c r="C110" s="46">
        <f>+CRC해산!K90</f>
        <v>39021</v>
      </c>
      <c r="D110" s="36">
        <f>+CRC해산!N90</f>
        <v>17876000000</v>
      </c>
      <c r="E110" s="247">
        <f>+XIRR(D104:D110,C104:C110)</f>
        <v>0.18877885937690736</v>
      </c>
      <c r="F110" s="3">
        <f>SUM(D104:D110)</f>
        <v>6125662751</v>
      </c>
      <c r="G110" s="4">
        <f>+CRC해산!P91</f>
        <v>6125662751</v>
      </c>
    </row>
    <row r="111" spans="1:8">
      <c r="A111" s="14" t="str">
        <f>+CRC해산!B92</f>
        <v>CRC10</v>
      </c>
      <c r="B111" s="31" t="str">
        <f>+CRC해산!D92</f>
        <v>한국하이네트</v>
      </c>
      <c r="C111" s="45">
        <f>+CRC해산!F92</f>
        <v>38861</v>
      </c>
      <c r="D111" s="31">
        <f>+-CRC해산!I92</f>
        <v>-4000000000</v>
      </c>
      <c r="E111" s="246"/>
    </row>
    <row r="112" spans="1:8">
      <c r="A112" s="14"/>
      <c r="B112" s="31"/>
      <c r="C112" s="45">
        <f>+CRC해산!K92</f>
        <v>39275</v>
      </c>
      <c r="D112" s="31">
        <f>+CRC해산!N92</f>
        <v>4959680000</v>
      </c>
      <c r="E112" s="246"/>
    </row>
    <row r="113" spans="1:5">
      <c r="A113" s="14"/>
      <c r="B113" s="31"/>
      <c r="C113" s="45">
        <f>+CRC해산!K93</f>
        <v>39282</v>
      </c>
      <c r="D113" s="31">
        <f>+CRC해산!N93</f>
        <v>2000</v>
      </c>
      <c r="E113" s="246"/>
    </row>
    <row r="114" spans="1:5">
      <c r="A114" s="14"/>
      <c r="B114" s="31"/>
      <c r="C114" s="45">
        <f>+CRC해산!K94</f>
        <v>39282</v>
      </c>
      <c r="D114" s="31">
        <f>+CRC해산!N94</f>
        <v>127832191</v>
      </c>
      <c r="E114" s="246"/>
    </row>
    <row r="115" spans="1:5">
      <c r="A115" s="14"/>
      <c r="B115" s="31"/>
      <c r="C115" s="45">
        <f>+CRC해산!K95</f>
        <v>39283</v>
      </c>
      <c r="D115" s="31">
        <f>+CRC해산!N95</f>
        <v>170533783</v>
      </c>
      <c r="E115" s="246"/>
    </row>
    <row r="116" spans="1:5">
      <c r="A116" s="14"/>
      <c r="B116" s="31"/>
      <c r="C116" s="45">
        <f>+CRC해산!K96</f>
        <v>39288</v>
      </c>
      <c r="D116" s="31">
        <f>+CRC해산!N96</f>
        <v>38191664</v>
      </c>
      <c r="E116" s="246"/>
    </row>
    <row r="117" spans="1:5">
      <c r="A117" s="14"/>
      <c r="B117" s="31"/>
      <c r="C117" s="45">
        <f>+CRC해산!K97</f>
        <v>39289</v>
      </c>
      <c r="D117" s="31">
        <f>+CRC해산!N97</f>
        <v>724160</v>
      </c>
      <c r="E117" s="246"/>
    </row>
    <row r="118" spans="1:5">
      <c r="A118" s="14"/>
      <c r="B118" s="31"/>
      <c r="C118" s="45">
        <f>+CRC해산!K98</f>
        <v>39290</v>
      </c>
      <c r="D118" s="31">
        <f>+CRC해산!N98</f>
        <v>18346363</v>
      </c>
      <c r="E118" s="246"/>
    </row>
    <row r="119" spans="1:5">
      <c r="A119" s="14"/>
      <c r="B119" s="31"/>
      <c r="C119" s="45">
        <f>+CRC해산!K99</f>
        <v>39318</v>
      </c>
      <c r="D119" s="31">
        <f>+CRC해산!N99</f>
        <v>120833876</v>
      </c>
      <c r="E119" s="246"/>
    </row>
    <row r="120" spans="1:5">
      <c r="A120" s="14"/>
      <c r="B120" s="31"/>
      <c r="C120" s="45">
        <f>+CRC해산!K100</f>
        <v>39321</v>
      </c>
      <c r="D120" s="31">
        <f>+CRC해산!N100</f>
        <v>391598045</v>
      </c>
      <c r="E120" s="246"/>
    </row>
    <row r="121" spans="1:5">
      <c r="A121" s="14"/>
      <c r="B121" s="31"/>
      <c r="C121" s="45">
        <f>+CRC해산!K101</f>
        <v>39323</v>
      </c>
      <c r="D121" s="31">
        <f>+CRC해산!N101</f>
        <v>55630189</v>
      </c>
      <c r="E121" s="246"/>
    </row>
    <row r="122" spans="1:5">
      <c r="A122" s="14"/>
      <c r="B122" s="31"/>
      <c r="C122" s="45">
        <f>+CRC해산!K102</f>
        <v>39346</v>
      </c>
      <c r="D122" s="31">
        <f>+CRC해산!N102</f>
        <v>360659885</v>
      </c>
      <c r="E122" s="246"/>
    </row>
    <row r="123" spans="1:5">
      <c r="A123" s="14"/>
      <c r="B123" s="31"/>
      <c r="C123" s="45">
        <f>+CRC해산!K103</f>
        <v>39352</v>
      </c>
      <c r="D123" s="31">
        <f>+CRC해산!N103</f>
        <v>1000187</v>
      </c>
      <c r="E123" s="246"/>
    </row>
    <row r="124" spans="1:5">
      <c r="A124" s="14"/>
      <c r="B124" s="31"/>
      <c r="C124" s="45">
        <f>+CRC해산!K104</f>
        <v>39353</v>
      </c>
      <c r="D124" s="31">
        <f>+CRC해산!N104</f>
        <v>2833226</v>
      </c>
      <c r="E124" s="246"/>
    </row>
    <row r="125" spans="1:5">
      <c r="A125" s="14"/>
      <c r="B125" s="31"/>
      <c r="C125" s="45">
        <f>+CRC해산!K105</f>
        <v>39356</v>
      </c>
      <c r="D125" s="31">
        <f>+CRC해산!N105</f>
        <v>127299777</v>
      </c>
      <c r="E125" s="246"/>
    </row>
    <row r="126" spans="1:5">
      <c r="A126" s="14"/>
      <c r="B126" s="31"/>
      <c r="C126" s="45">
        <f>+CRC해산!K106</f>
        <v>39357</v>
      </c>
      <c r="D126" s="31">
        <f>+CRC해산!N106</f>
        <v>16294560</v>
      </c>
      <c r="E126" s="246"/>
    </row>
    <row r="127" spans="1:5">
      <c r="A127" s="14"/>
      <c r="B127" s="31"/>
      <c r="C127" s="45">
        <f>+CRC해산!K107</f>
        <v>39371</v>
      </c>
      <c r="D127" s="31">
        <f>+CRC해산!N107</f>
        <v>6448000</v>
      </c>
      <c r="E127" s="246"/>
    </row>
    <row r="128" spans="1:5">
      <c r="A128" s="14"/>
      <c r="B128" s="31"/>
      <c r="C128" s="45">
        <f>+CRC해산!K108</f>
        <v>39379</v>
      </c>
      <c r="D128" s="31">
        <f>+CRC해산!N108</f>
        <v>136848125</v>
      </c>
      <c r="E128" s="246"/>
    </row>
    <row r="129" spans="1:7">
      <c r="A129" s="14"/>
      <c r="B129" s="31"/>
      <c r="C129" s="45">
        <f>+CRC해산!K109</f>
        <v>39380</v>
      </c>
      <c r="D129" s="31">
        <f>+CRC해산!N109</f>
        <v>64914007</v>
      </c>
      <c r="E129" s="246"/>
    </row>
    <row r="130" spans="1:7">
      <c r="A130" s="14"/>
      <c r="B130" s="31"/>
      <c r="C130" s="45">
        <f>+CRC해산!K110</f>
        <v>39381</v>
      </c>
      <c r="D130" s="31">
        <f>+CRC해산!N110</f>
        <v>2648640</v>
      </c>
      <c r="E130" s="246"/>
    </row>
    <row r="131" spans="1:7">
      <c r="A131" s="14"/>
      <c r="B131" s="31"/>
      <c r="C131" s="45">
        <f>+CRC해산!K111</f>
        <v>39385</v>
      </c>
      <c r="D131" s="31">
        <f>+CRC해산!N111</f>
        <v>39884771</v>
      </c>
      <c r="E131" s="246"/>
    </row>
    <row r="132" spans="1:7">
      <c r="A132" s="14"/>
      <c r="B132" s="31"/>
      <c r="C132" s="45">
        <f>+CRC해산!K112</f>
        <v>39490</v>
      </c>
      <c r="D132" s="31">
        <f>+CRC해산!N112</f>
        <v>73014191</v>
      </c>
      <c r="E132" s="246"/>
    </row>
    <row r="133" spans="1:7">
      <c r="A133" s="14"/>
      <c r="B133" s="31"/>
      <c r="C133" s="45">
        <f>+CRC해산!K113</f>
        <v>39506</v>
      </c>
      <c r="D133" s="31">
        <f>+CRC해산!N113</f>
        <v>136586012</v>
      </c>
      <c r="E133" s="246"/>
    </row>
    <row r="134" spans="1:7">
      <c r="A134" s="11"/>
      <c r="B134" s="36"/>
      <c r="C134" s="46">
        <f>+CRC해산!K114</f>
        <v>39560</v>
      </c>
      <c r="D134" s="36">
        <f>+CRC해산!N114</f>
        <v>272933400</v>
      </c>
      <c r="E134" s="247">
        <f>+XIRR(D111:D134,C111:C134)</f>
        <v>0.61114360690116887</v>
      </c>
      <c r="F134" s="3">
        <f>SUM(D111:D134)</f>
        <v>3124737052</v>
      </c>
      <c r="G134" s="4">
        <f>+CRC해산!P115</f>
        <v>3124737052</v>
      </c>
    </row>
    <row r="135" spans="1:7">
      <c r="A135" s="14" t="str">
        <f>+CRC해산!B116</f>
        <v>CRC11</v>
      </c>
      <c r="B135" s="31" t="s">
        <v>636</v>
      </c>
      <c r="C135" s="45">
        <f>+CRC해산!F116</f>
        <v>38812</v>
      </c>
      <c r="D135" s="31">
        <f>+-CRC해산!I116</f>
        <v>-50000000</v>
      </c>
      <c r="E135" s="246"/>
    </row>
    <row r="136" spans="1:7">
      <c r="A136" s="14"/>
      <c r="B136" s="36"/>
      <c r="C136" s="46">
        <f>+CRC해산!K116</f>
        <v>39388</v>
      </c>
      <c r="D136" s="36">
        <f>+CRC해산!N116</f>
        <v>50000000</v>
      </c>
      <c r="E136" s="247"/>
    </row>
    <row r="137" spans="1:7">
      <c r="A137" s="14"/>
      <c r="B137" s="31" t="s">
        <v>637</v>
      </c>
      <c r="C137" s="45">
        <f>+CRC해산!F117</f>
        <v>38818</v>
      </c>
      <c r="D137" s="31">
        <f>+-CRC해산!I117</f>
        <v>-1254536986</v>
      </c>
      <c r="E137" s="246"/>
    </row>
    <row r="138" spans="1:7">
      <c r="A138" s="14"/>
      <c r="B138" s="31"/>
      <c r="C138" s="45">
        <f>+CRC해산!F118</f>
        <v>38897</v>
      </c>
      <c r="D138" s="31">
        <f>+-CRC해산!I118</f>
        <v>-1700000000</v>
      </c>
      <c r="E138" s="246"/>
    </row>
    <row r="139" spans="1:7">
      <c r="A139" s="14"/>
      <c r="B139" s="31"/>
      <c r="C139" s="45">
        <f>+CRC해산!F119</f>
        <v>38959</v>
      </c>
      <c r="D139" s="31">
        <f>+-CRC해산!I119</f>
        <v>-1200000000</v>
      </c>
      <c r="E139" s="246"/>
    </row>
    <row r="140" spans="1:7">
      <c r="A140" s="14"/>
      <c r="B140" s="31"/>
      <c r="C140" s="45">
        <f>+CRC해산!F120</f>
        <v>39059</v>
      </c>
      <c r="D140" s="31">
        <f>+-CRC해산!I120</f>
        <v>-30000000</v>
      </c>
      <c r="E140" s="246"/>
    </row>
    <row r="141" spans="1:7">
      <c r="A141" s="14"/>
      <c r="B141" s="31"/>
      <c r="C141" s="45">
        <f>+CRC해산!F121</f>
        <v>39072</v>
      </c>
      <c r="D141" s="31">
        <f>+-CRC해산!I121</f>
        <v>-970000000</v>
      </c>
      <c r="E141" s="246"/>
    </row>
    <row r="142" spans="1:7">
      <c r="A142" s="14"/>
      <c r="B142" s="31"/>
      <c r="C142" s="45">
        <f>+CRC해산!F122</f>
        <v>39141</v>
      </c>
      <c r="D142" s="31">
        <f>+-CRC해산!I122</f>
        <v>-2500000000</v>
      </c>
      <c r="E142" s="246"/>
    </row>
    <row r="143" spans="1:7">
      <c r="A143" s="14"/>
      <c r="B143" s="31"/>
      <c r="C143" s="45">
        <f>+CRC해산!F123</f>
        <v>39171</v>
      </c>
      <c r="D143" s="31">
        <f>+-CRC해산!I123</f>
        <v>-2000000000</v>
      </c>
      <c r="E143" s="246"/>
    </row>
    <row r="144" spans="1:7">
      <c r="A144" s="14"/>
      <c r="B144" s="31"/>
      <c r="C144" s="45">
        <f>+CRC해산!F124</f>
        <v>39231</v>
      </c>
      <c r="D144" s="31">
        <f>+-CRC해산!I124</f>
        <v>-295463014</v>
      </c>
      <c r="E144" s="246"/>
    </row>
    <row r="145" spans="1:7">
      <c r="A145" s="14"/>
      <c r="B145" s="31"/>
      <c r="C145" s="45">
        <f>+CRC해산!K117</f>
        <v>39252</v>
      </c>
      <c r="D145" s="31">
        <f>+CRC해산!N117</f>
        <v>10000000000</v>
      </c>
      <c r="E145" s="246"/>
    </row>
    <row r="146" spans="1:7">
      <c r="A146" s="11"/>
      <c r="B146" s="36"/>
      <c r="C146" s="46">
        <f>+CRC해산!K118</f>
        <v>39388</v>
      </c>
      <c r="D146" s="36">
        <f>+CRC해산!N118</f>
        <v>1149652174</v>
      </c>
      <c r="E146" s="247">
        <f>+XIRR(D135:D146,C135:C146)</f>
        <v>0.19395113587379459</v>
      </c>
      <c r="F146" s="3">
        <f>SUM(D135:D146)</f>
        <v>1199652174</v>
      </c>
      <c r="G146" s="4">
        <f>+CRC해산!P125</f>
        <v>1199652174</v>
      </c>
    </row>
    <row r="147" spans="1:7">
      <c r="A147" s="20" t="s">
        <v>759</v>
      </c>
      <c r="B147" s="242" t="s">
        <v>760</v>
      </c>
      <c r="C147" s="44">
        <v>39443</v>
      </c>
      <c r="D147" s="242">
        <v>-19980000000</v>
      </c>
      <c r="E147" s="245"/>
    </row>
    <row r="148" spans="1:7">
      <c r="A148" s="11"/>
      <c r="B148" s="243"/>
      <c r="C148" s="46">
        <v>40113</v>
      </c>
      <c r="D148" s="243">
        <v>33062960000</v>
      </c>
      <c r="E148" s="247">
        <f>+XIRR(D147:D148,C147:C148)</f>
        <v>0.31573289036750796</v>
      </c>
    </row>
    <row r="149" spans="1:7">
      <c r="A149" s="26"/>
      <c r="B149" s="13"/>
      <c r="C149" s="236"/>
      <c r="D149" s="13"/>
      <c r="E149" s="252"/>
    </row>
    <row r="150" spans="1:7">
      <c r="C150" s="3" t="s">
        <v>638</v>
      </c>
      <c r="D150" s="3">
        <f>SUM(D3:D146)</f>
        <v>69122517750</v>
      </c>
      <c r="E150" s="250"/>
      <c r="F150" s="3">
        <f>SUM(F3:F146)</f>
        <v>69122517750</v>
      </c>
      <c r="G150" s="3">
        <f>SUM(G3:G146)</f>
        <v>69122517749.84903</v>
      </c>
    </row>
    <row r="162" spans="2:5">
      <c r="B162" s="262" t="s">
        <v>626</v>
      </c>
      <c r="C162" s="45">
        <v>37105</v>
      </c>
      <c r="D162" s="262">
        <v>-1880000000</v>
      </c>
      <c r="E162" s="246"/>
    </row>
    <row r="163" spans="2:5">
      <c r="B163" s="262"/>
      <c r="C163" s="45">
        <v>37106</v>
      </c>
      <c r="D163" s="262">
        <v>-2820000000</v>
      </c>
      <c r="E163" s="246"/>
    </row>
    <row r="164" spans="2:5">
      <c r="B164" s="262"/>
      <c r="C164" s="45">
        <v>37110</v>
      </c>
      <c r="D164" s="262">
        <v>-4699999000</v>
      </c>
      <c r="E164" s="246"/>
    </row>
    <row r="165" spans="2:5">
      <c r="B165" s="262"/>
      <c r="C165" s="45">
        <v>37125</v>
      </c>
      <c r="D165" s="262">
        <v>-300000000</v>
      </c>
      <c r="E165" s="246"/>
    </row>
    <row r="166" spans="2:5">
      <c r="B166" s="262"/>
      <c r="C166" s="45">
        <v>37134</v>
      </c>
      <c r="D166" s="262">
        <v>-2240084041</v>
      </c>
      <c r="E166" s="246"/>
    </row>
    <row r="167" spans="2:5">
      <c r="B167" s="262"/>
      <c r="C167" s="45">
        <v>37159</v>
      </c>
      <c r="D167" s="262">
        <v>300000000</v>
      </c>
      <c r="E167" s="246"/>
    </row>
    <row r="168" spans="2:5">
      <c r="B168" s="263"/>
      <c r="C168" s="46">
        <v>37229</v>
      </c>
      <c r="D168" s="263">
        <v>11663804978</v>
      </c>
      <c r="E168" s="247"/>
    </row>
    <row r="169" spans="2:5">
      <c r="B169" s="262" t="s">
        <v>627</v>
      </c>
      <c r="C169" s="45">
        <v>37110</v>
      </c>
      <c r="D169" s="262">
        <v>-1000</v>
      </c>
      <c r="E169" s="246"/>
    </row>
    <row r="170" spans="2:5">
      <c r="B170" s="262"/>
      <c r="C170" s="45">
        <v>37229</v>
      </c>
      <c r="D170" s="262">
        <v>-4822709281</v>
      </c>
      <c r="E170" s="246"/>
    </row>
    <row r="171" spans="2:5">
      <c r="B171" s="262"/>
      <c r="C171" s="45">
        <v>37231</v>
      </c>
      <c r="D171" s="262">
        <v>-12000000000</v>
      </c>
      <c r="E171" s="246"/>
    </row>
    <row r="172" spans="2:5">
      <c r="B172" s="262"/>
      <c r="C172" s="45">
        <v>38239</v>
      </c>
      <c r="D172" s="262">
        <v>-1433040000</v>
      </c>
      <c r="E172" s="246"/>
    </row>
    <row r="173" spans="2:5">
      <c r="B173" s="262"/>
      <c r="C173" s="45">
        <v>38350</v>
      </c>
      <c r="D173" s="262">
        <v>-646952960</v>
      </c>
      <c r="E173" s="246"/>
    </row>
    <row r="174" spans="2:5">
      <c r="B174" s="262"/>
      <c r="C174" s="45">
        <v>37106</v>
      </c>
      <c r="D174" s="262">
        <v>470000000</v>
      </c>
      <c r="E174" s="246"/>
    </row>
    <row r="175" spans="2:5">
      <c r="B175" s="262"/>
      <c r="C175" s="45">
        <v>37111</v>
      </c>
      <c r="D175" s="262">
        <v>188179840</v>
      </c>
      <c r="E175" s="246"/>
    </row>
    <row r="176" spans="2:5">
      <c r="B176" s="262"/>
      <c r="C176" s="45">
        <v>37245</v>
      </c>
      <c r="D176" s="262">
        <v>1681670000</v>
      </c>
      <c r="E176" s="246"/>
    </row>
    <row r="177" spans="2:5">
      <c r="B177" s="262"/>
      <c r="C177" s="45">
        <v>37334</v>
      </c>
      <c r="D177" s="262">
        <v>4154740500</v>
      </c>
      <c r="E177" s="246"/>
    </row>
    <row r="178" spans="2:5">
      <c r="B178" s="262"/>
      <c r="C178" s="45">
        <v>37340</v>
      </c>
      <c r="D178" s="262">
        <v>2707691850</v>
      </c>
      <c r="E178" s="246"/>
    </row>
    <row r="179" spans="2:5">
      <c r="B179" s="262"/>
      <c r="C179" s="45">
        <v>37361</v>
      </c>
      <c r="D179" s="262">
        <v>2531066950</v>
      </c>
      <c r="E179" s="246"/>
    </row>
    <row r="180" spans="2:5">
      <c r="B180" s="262"/>
      <c r="C180" s="45">
        <v>37371</v>
      </c>
      <c r="D180" s="262">
        <v>3381631400</v>
      </c>
      <c r="E180" s="246"/>
    </row>
    <row r="181" spans="2:5">
      <c r="B181" s="262"/>
      <c r="C181" s="45">
        <v>37656</v>
      </c>
      <c r="D181" s="262">
        <v>1000000000</v>
      </c>
      <c r="E181" s="246"/>
    </row>
    <row r="182" spans="2:5">
      <c r="B182" s="262"/>
      <c r="C182" s="45">
        <v>37700</v>
      </c>
      <c r="D182" s="262">
        <v>1000000000</v>
      </c>
      <c r="E182" s="246"/>
    </row>
    <row r="183" spans="2:5">
      <c r="B183" s="262"/>
      <c r="C183" s="45">
        <v>37714</v>
      </c>
      <c r="D183" s="262">
        <v>1600000000</v>
      </c>
      <c r="E183" s="246"/>
    </row>
    <row r="184" spans="2:5">
      <c r="B184" s="262"/>
      <c r="C184" s="45">
        <v>37873</v>
      </c>
      <c r="D184" s="262">
        <v>1933040000</v>
      </c>
      <c r="E184" s="246"/>
    </row>
    <row r="185" spans="2:5">
      <c r="B185" s="262"/>
      <c r="C185" s="45">
        <v>38313</v>
      </c>
      <c r="D185" s="262">
        <v>842400000</v>
      </c>
      <c r="E185" s="246"/>
    </row>
    <row r="186" spans="2:5">
      <c r="B186" s="262"/>
      <c r="C186" s="45">
        <v>38499</v>
      </c>
      <c r="D186" s="262">
        <v>3291194100</v>
      </c>
      <c r="E186" s="246"/>
    </row>
    <row r="187" spans="2:5">
      <c r="B187" s="262"/>
      <c r="C187" s="45">
        <v>38980</v>
      </c>
      <c r="D187" s="262">
        <v>311306000</v>
      </c>
      <c r="E187" s="246"/>
    </row>
    <row r="188" spans="2:5">
      <c r="B188" s="262"/>
      <c r="C188" s="45">
        <v>39254</v>
      </c>
      <c r="D188" s="262">
        <v>362042800</v>
      </c>
      <c r="E188" s="246"/>
    </row>
    <row r="189" spans="2:5">
      <c r="B189" s="262"/>
      <c r="C189" s="45">
        <v>39255</v>
      </c>
      <c r="D189" s="262">
        <v>340507400</v>
      </c>
      <c r="E189" s="246"/>
    </row>
    <row r="190" spans="2:5">
      <c r="B190" s="262"/>
      <c r="C190" s="45">
        <v>39258</v>
      </c>
      <c r="D190" s="262">
        <v>145043800</v>
      </c>
      <c r="E190" s="246"/>
    </row>
    <row r="191" spans="2:5">
      <c r="B191" s="262"/>
      <c r="C191" s="45">
        <v>39259</v>
      </c>
      <c r="D191" s="262">
        <v>463853100</v>
      </c>
      <c r="E191" s="246"/>
    </row>
    <row r="192" spans="2:5">
      <c r="B192" s="262"/>
      <c r="C192" s="45">
        <v>39260</v>
      </c>
      <c r="D192" s="262">
        <v>272976400</v>
      </c>
      <c r="E192" s="246"/>
    </row>
    <row r="193" spans="2:5">
      <c r="B193" s="262"/>
      <c r="C193" s="45">
        <v>39261</v>
      </c>
      <c r="D193" s="262">
        <v>142184000</v>
      </c>
      <c r="E193" s="246"/>
    </row>
    <row r="194" spans="2:5">
      <c r="B194" s="262"/>
      <c r="C194" s="45">
        <v>39262</v>
      </c>
      <c r="D194" s="262">
        <v>320724900</v>
      </c>
      <c r="E194" s="246"/>
    </row>
    <row r="195" spans="2:5">
      <c r="B195" s="262"/>
      <c r="C195" s="45">
        <v>39265</v>
      </c>
      <c r="D195" s="262">
        <v>32583800</v>
      </c>
      <c r="E195" s="246"/>
    </row>
    <row r="196" spans="2:5">
      <c r="B196" s="262"/>
      <c r="C196" s="45">
        <v>39345</v>
      </c>
      <c r="D196" s="262">
        <v>319889000</v>
      </c>
      <c r="E196" s="246"/>
    </row>
    <row r="197" spans="2:5">
      <c r="B197" s="262"/>
      <c r="C197" s="45">
        <v>39357</v>
      </c>
      <c r="D197" s="262">
        <v>49228100</v>
      </c>
      <c r="E197" s="246"/>
    </row>
    <row r="198" spans="2:5">
      <c r="B198" s="262"/>
      <c r="C198" s="45">
        <v>39359</v>
      </c>
      <c r="D198" s="262">
        <v>437895250</v>
      </c>
      <c r="E198" s="246"/>
    </row>
    <row r="199" spans="2:5">
      <c r="B199" s="262"/>
      <c r="C199" s="45">
        <v>39360</v>
      </c>
      <c r="D199" s="262">
        <v>344822550</v>
      </c>
      <c r="E199" s="246"/>
    </row>
    <row r="200" spans="2:5">
      <c r="B200" s="263"/>
      <c r="C200" s="46">
        <v>39363</v>
      </c>
      <c r="D200" s="263">
        <v>28520</v>
      </c>
      <c r="E200" s="247">
        <f>+XIRR(D162:D200,C162:C200)</f>
        <v>0.41655883193016052</v>
      </c>
    </row>
    <row r="201" spans="2:5">
      <c r="C201" s="44">
        <v>37755</v>
      </c>
      <c r="D201" s="20">
        <v>-600000000</v>
      </c>
    </row>
    <row r="202" spans="2:5">
      <c r="C202" s="45">
        <v>38336</v>
      </c>
      <c r="D202" s="14">
        <v>-159619200</v>
      </c>
    </row>
    <row r="203" spans="2:5">
      <c r="C203" s="44">
        <v>37747</v>
      </c>
      <c r="D203" s="20">
        <v>-2400000000</v>
      </c>
    </row>
    <row r="204" spans="2:5">
      <c r="C204" s="45">
        <v>38336</v>
      </c>
      <c r="D204" s="14">
        <v>-638478080</v>
      </c>
    </row>
    <row r="205" spans="2:5">
      <c r="C205" s="45">
        <v>38379</v>
      </c>
      <c r="D205" s="3">
        <v>341742170</v>
      </c>
    </row>
    <row r="206" spans="2:5">
      <c r="C206" s="45">
        <v>38380</v>
      </c>
      <c r="D206" s="3">
        <v>20536100</v>
      </c>
    </row>
    <row r="207" spans="2:5">
      <c r="C207" s="45">
        <v>38384</v>
      </c>
      <c r="D207" s="3">
        <v>184917592</v>
      </c>
    </row>
    <row r="208" spans="2:5">
      <c r="C208" s="45">
        <v>38384</v>
      </c>
      <c r="D208" s="3">
        <v>27315540</v>
      </c>
    </row>
    <row r="209" spans="3:4">
      <c r="C209" s="45">
        <v>38397</v>
      </c>
      <c r="D209" s="3">
        <v>158669958</v>
      </c>
    </row>
    <row r="210" spans="3:4">
      <c r="C210" s="45">
        <v>38399</v>
      </c>
      <c r="D210" s="3">
        <v>61102454</v>
      </c>
    </row>
    <row r="211" spans="3:4">
      <c r="C211" s="45">
        <v>38400</v>
      </c>
      <c r="D211" s="3">
        <v>14760878</v>
      </c>
    </row>
    <row r="212" spans="3:4">
      <c r="C212" s="45">
        <v>38401</v>
      </c>
      <c r="D212" s="3">
        <v>151462140</v>
      </c>
    </row>
    <row r="213" spans="3:4">
      <c r="C213" s="45">
        <v>38404</v>
      </c>
      <c r="D213" s="3">
        <v>353107390</v>
      </c>
    </row>
    <row r="214" spans="3:4">
      <c r="C214" s="45">
        <v>39384</v>
      </c>
      <c r="D214" s="3">
        <v>254620850</v>
      </c>
    </row>
    <row r="215" spans="3:4">
      <c r="C215" s="45">
        <v>38352</v>
      </c>
      <c r="D215" s="3">
        <v>0</v>
      </c>
    </row>
    <row r="216" spans="3:4">
      <c r="C216" s="45">
        <v>38352</v>
      </c>
      <c r="D216" s="3">
        <v>0</v>
      </c>
    </row>
    <row r="217" spans="3:4">
      <c r="C217" s="45">
        <v>38380</v>
      </c>
      <c r="D217" s="3">
        <v>60951750</v>
      </c>
    </row>
    <row r="218" spans="3:4">
      <c r="C218" s="45">
        <v>38383</v>
      </c>
      <c r="D218" s="3">
        <v>459472650</v>
      </c>
    </row>
    <row r="219" spans="3:4">
      <c r="C219" s="45">
        <v>38384</v>
      </c>
      <c r="D219" s="3">
        <v>1215873750</v>
      </c>
    </row>
    <row r="220" spans="3:4">
      <c r="C220" s="45">
        <v>38385</v>
      </c>
      <c r="D220" s="3">
        <v>235557210</v>
      </c>
    </row>
    <row r="221" spans="3:4">
      <c r="C221" s="45">
        <v>38387</v>
      </c>
      <c r="D221" s="3">
        <v>145248200</v>
      </c>
    </row>
    <row r="222" spans="3:4">
      <c r="C222" s="45">
        <v>38523</v>
      </c>
      <c r="D222" s="3">
        <v>125633400</v>
      </c>
    </row>
    <row r="223" spans="3:4">
      <c r="C223" s="45">
        <v>38527</v>
      </c>
      <c r="D223" s="3">
        <v>577993700</v>
      </c>
    </row>
    <row r="224" spans="3:4">
      <c r="C224" s="45">
        <v>38530</v>
      </c>
      <c r="D224" s="3">
        <v>639276000</v>
      </c>
    </row>
    <row r="225" spans="3:4">
      <c r="C225" s="45">
        <v>38532</v>
      </c>
      <c r="D225" s="3">
        <v>752716800</v>
      </c>
    </row>
    <row r="226" spans="3:4">
      <c r="C226" s="45">
        <v>38621</v>
      </c>
      <c r="D226" s="3">
        <v>218360100</v>
      </c>
    </row>
    <row r="227" spans="3:4">
      <c r="C227" s="45">
        <v>38638</v>
      </c>
      <c r="D227" s="3">
        <v>331716700</v>
      </c>
    </row>
    <row r="228" spans="3:4">
      <c r="C228" s="45">
        <v>38666</v>
      </c>
      <c r="D228" s="3">
        <v>382772700</v>
      </c>
    </row>
    <row r="229" spans="3:4">
      <c r="C229" s="45">
        <v>38717</v>
      </c>
      <c r="D229" s="3">
        <v>0</v>
      </c>
    </row>
    <row r="230" spans="3:4">
      <c r="C230" s="45">
        <v>38980</v>
      </c>
      <c r="D230" s="3">
        <v>45245200</v>
      </c>
    </row>
    <row r="231" spans="3:4">
      <c r="C231" s="45">
        <v>38981</v>
      </c>
      <c r="D231" s="3">
        <v>166916600</v>
      </c>
    </row>
    <row r="232" spans="3:4">
      <c r="C232" s="45">
        <v>39082</v>
      </c>
      <c r="D232" s="3">
        <v>0</v>
      </c>
    </row>
    <row r="233" spans="3:4">
      <c r="C233" s="45">
        <v>39260</v>
      </c>
      <c r="D233" s="3">
        <v>132605100</v>
      </c>
    </row>
    <row r="234" spans="3:4">
      <c r="C234" s="45">
        <v>39261</v>
      </c>
      <c r="D234" s="3">
        <v>142065400</v>
      </c>
    </row>
    <row r="235" spans="3:4">
      <c r="C235" s="45">
        <v>39262</v>
      </c>
      <c r="D235" s="3">
        <v>257804600</v>
      </c>
    </row>
    <row r="236" spans="3:4">
      <c r="C236" s="45">
        <v>39265</v>
      </c>
      <c r="D236" s="3">
        <v>32579200</v>
      </c>
    </row>
    <row r="237" spans="3:4">
      <c r="C237" s="45">
        <v>39384</v>
      </c>
      <c r="D237" s="3">
        <v>193819450</v>
      </c>
    </row>
    <row r="238" spans="3:4">
      <c r="C238" s="45">
        <v>39385</v>
      </c>
      <c r="D238" s="3">
        <v>38713950</v>
      </c>
    </row>
    <row r="239" spans="3:4">
      <c r="C239" s="45">
        <v>39386</v>
      </c>
      <c r="D239" s="3">
        <v>147724300</v>
      </c>
    </row>
    <row r="240" spans="3:4">
      <c r="C240" s="45">
        <v>39387</v>
      </c>
      <c r="D240" s="3">
        <v>18034150</v>
      </c>
    </row>
    <row r="241" spans="3:5">
      <c r="C241" s="45">
        <v>39398</v>
      </c>
      <c r="D241" s="3">
        <v>655925450</v>
      </c>
    </row>
    <row r="242" spans="3:5">
      <c r="C242" s="45">
        <v>39399</v>
      </c>
      <c r="D242" s="3">
        <v>127943850</v>
      </c>
    </row>
    <row r="243" spans="3:5">
      <c r="C243" s="45">
        <v>39400</v>
      </c>
      <c r="D243" s="3">
        <v>71521400</v>
      </c>
    </row>
    <row r="244" spans="3:5">
      <c r="C244" s="45">
        <v>39405</v>
      </c>
      <c r="D244" s="3">
        <v>80384550</v>
      </c>
    </row>
    <row r="245" spans="3:5">
      <c r="C245" s="45">
        <v>39447</v>
      </c>
      <c r="D245" s="3">
        <v>0</v>
      </c>
    </row>
    <row r="246" spans="3:5">
      <c r="C246" s="45">
        <v>39464</v>
      </c>
      <c r="D246" s="3">
        <v>315888000</v>
      </c>
      <c r="E246" s="251">
        <f>+XIRR(D162:D246,C162:C246)</f>
        <v>0.43172329068183901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8"/>
  <sheetViews>
    <sheetView view="pageBreakPreview" zoomScaleSheetLayoutView="100" workbookViewId="0">
      <selection activeCell="D38" sqref="D38"/>
    </sheetView>
  </sheetViews>
  <sheetFormatPr defaultRowHeight="13.5"/>
  <cols>
    <col min="1" max="1" width="11.875" style="176" customWidth="1"/>
    <col min="2" max="2" width="16" style="176" customWidth="1"/>
    <col min="3" max="4" width="13" style="176" customWidth="1"/>
    <col min="5" max="7" width="14.75" style="176" customWidth="1"/>
    <col min="8" max="9" width="13" style="176" customWidth="1"/>
    <col min="10" max="16384" width="9" style="176"/>
  </cols>
  <sheetData>
    <row r="1" spans="1:9" ht="27" customHeight="1">
      <c r="A1" s="933" t="s">
        <v>674</v>
      </c>
      <c r="B1" s="933"/>
      <c r="C1" s="933"/>
      <c r="D1" s="933"/>
      <c r="E1" s="933"/>
      <c r="F1" s="933"/>
      <c r="G1" s="933"/>
      <c r="H1" s="933"/>
      <c r="I1" s="933"/>
    </row>
    <row r="3" spans="1:9" ht="18" customHeight="1">
      <c r="A3" s="197" t="s">
        <v>639</v>
      </c>
      <c r="B3" s="197" t="s">
        <v>640</v>
      </c>
      <c r="C3" s="197" t="s">
        <v>641</v>
      </c>
      <c r="D3" s="197" t="s">
        <v>642</v>
      </c>
      <c r="E3" s="197" t="s">
        <v>643</v>
      </c>
      <c r="F3" s="197" t="s">
        <v>644</v>
      </c>
      <c r="G3" s="197" t="s">
        <v>645</v>
      </c>
      <c r="H3" s="197" t="s">
        <v>646</v>
      </c>
      <c r="I3" s="197" t="s">
        <v>647</v>
      </c>
    </row>
    <row r="4" spans="1:9" ht="18" customHeight="1">
      <c r="A4" s="189" t="s">
        <v>650</v>
      </c>
      <c r="B4" s="190" t="s">
        <v>340</v>
      </c>
      <c r="C4" s="191">
        <f>+Sheet1!C7</f>
        <v>37105</v>
      </c>
      <c r="D4" s="191">
        <f>+Sheet1!C45</f>
        <v>39363</v>
      </c>
      <c r="E4" s="192">
        <f>+-Sheet1!D7-Sheet1!D8-Sheet1!D9-Sheet1!D10-Sheet1!D11-Sheet1!D14-Sheet1!D15-Sheet1!D16-Sheet1!D17-Sheet1!D18</f>
        <v>30842786282</v>
      </c>
      <c r="F4" s="192">
        <f>+Sheet1!D12+Sheet1!D13+Sheet1!D19+Sheet1!D20+Sheet1!D21+Sheet1!D22+Sheet1!D23+Sheet1!D24+Sheet1!D25+Sheet1!D26+Sheet1!D27+Sheet1!D28+Sheet1!D29+Sheet1!D30+Sheet1!D31+Sheet1!D32+Sheet1!D33+Sheet1!D34+Sheet1!D35+Sheet1!D36+Sheet1!D37+Sheet1!D38+Sheet1!D39+Sheet1!D40+Sheet1!D41+Sheet1!D42+Sheet1!D43+Sheet1!D44+Sheet1!D45</f>
        <v>40288505238</v>
      </c>
      <c r="G4" s="193">
        <f>+F4-E4</f>
        <v>9445718956</v>
      </c>
      <c r="H4" s="194">
        <f>+G4/E4</f>
        <v>0.30625374989264725</v>
      </c>
      <c r="I4" s="195">
        <f>+F63</f>
        <v>0.41655883193016052</v>
      </c>
    </row>
    <row r="5" spans="1:9" ht="18" customHeight="1">
      <c r="A5" s="19" t="s">
        <v>653</v>
      </c>
      <c r="B5" s="190" t="s">
        <v>595</v>
      </c>
      <c r="C5" s="42">
        <v>37644</v>
      </c>
      <c r="D5" s="42">
        <v>38411</v>
      </c>
      <c r="E5" s="19">
        <f>6555858147+6854685918</f>
        <v>13410544065</v>
      </c>
      <c r="F5" s="193">
        <f>7454717150+9416723580</f>
        <v>16871440730</v>
      </c>
      <c r="G5" s="193">
        <f>+F5-E5</f>
        <v>3460896665</v>
      </c>
      <c r="H5" s="194">
        <f>+G5/E5</f>
        <v>0.25807280064293203</v>
      </c>
      <c r="I5" s="195">
        <f>+F70</f>
        <v>0.22577423453330989</v>
      </c>
    </row>
    <row r="6" spans="1:9" ht="18" customHeight="1">
      <c r="A6" s="19" t="s">
        <v>594</v>
      </c>
      <c r="B6" s="190" t="s">
        <v>597</v>
      </c>
      <c r="C6" s="191">
        <f>+Sheet1!C55</f>
        <v>37644</v>
      </c>
      <c r="D6" s="191">
        <f>+Sheet1!C58</f>
        <v>38411</v>
      </c>
      <c r="E6" s="193">
        <v>3516457799</v>
      </c>
      <c r="F6" s="193">
        <v>4774777623</v>
      </c>
      <c r="G6" s="193">
        <f t="shared" ref="G6:G14" si="0">+F6-E6</f>
        <v>1258319824</v>
      </c>
      <c r="H6" s="194">
        <f t="shared" ref="H6:H14" si="1">+G6/E6</f>
        <v>0.35783731696078858</v>
      </c>
      <c r="I6" s="195">
        <f>+F75</f>
        <v>0.19173228144645693</v>
      </c>
    </row>
    <row r="7" spans="1:9" ht="18" customHeight="1">
      <c r="A7" s="198" t="s">
        <v>604</v>
      </c>
      <c r="B7" s="190" t="s">
        <v>608</v>
      </c>
      <c r="C7" s="191">
        <f>+Sheet1!C89</f>
        <v>38091</v>
      </c>
      <c r="D7" s="191">
        <f>+Sheet1!C88</f>
        <v>39167</v>
      </c>
      <c r="E7" s="192">
        <f>+-Sheet1!D85-Sheet1!D89</f>
        <v>5000000000</v>
      </c>
      <c r="F7" s="193">
        <f>+Sheet1!D86+Sheet1!D87+Sheet1!D88+Sheet1!D90+Sheet1!D91+Sheet1!D92+Sheet1!D93+Sheet1!D94+Sheet1!D95</f>
        <v>6498997142</v>
      </c>
      <c r="G7" s="193">
        <f t="shared" si="0"/>
        <v>1498997142</v>
      </c>
      <c r="H7" s="194">
        <f t="shared" si="1"/>
        <v>0.29979942840000001</v>
      </c>
      <c r="I7" s="195">
        <f>+F88</f>
        <v>0.13884814381599425</v>
      </c>
    </row>
    <row r="8" spans="1:9" ht="18" customHeight="1">
      <c r="A8" s="198" t="s">
        <v>604</v>
      </c>
      <c r="B8" s="190" t="s">
        <v>605</v>
      </c>
      <c r="C8" s="191">
        <f>+C197</f>
        <v>38015</v>
      </c>
      <c r="D8" s="191">
        <f>+C206</f>
        <v>38776</v>
      </c>
      <c r="E8" s="192">
        <f>+-SUM(D197:D203)</f>
        <v>7088610186</v>
      </c>
      <c r="F8" s="193">
        <f>+D204+D205+D206</f>
        <v>10557786505</v>
      </c>
      <c r="G8" s="193">
        <f>+F8-E8</f>
        <v>3469176319</v>
      </c>
      <c r="H8" s="194">
        <f>+G8/E8</f>
        <v>0.48940148039902387</v>
      </c>
      <c r="I8" s="195">
        <f>+F206</f>
        <v>0.24043567776679992</v>
      </c>
    </row>
    <row r="9" spans="1:9" ht="18" customHeight="1">
      <c r="A9" s="189" t="s">
        <v>654</v>
      </c>
      <c r="B9" s="190" t="s">
        <v>612</v>
      </c>
      <c r="C9" s="191">
        <f>+Sheet1!C96</f>
        <v>38168</v>
      </c>
      <c r="D9" s="191">
        <f>+Sheet1!C98</f>
        <v>39678</v>
      </c>
      <c r="E9" s="193">
        <f>+-Sheet1!D96+10000005000</f>
        <v>20000010000</v>
      </c>
      <c r="F9" s="193">
        <f>+Sheet1!D97+Sheet1!D98+14713837784</f>
        <v>29509272798</v>
      </c>
      <c r="G9" s="193">
        <f t="shared" si="0"/>
        <v>9509262798</v>
      </c>
      <c r="H9" s="194">
        <f t="shared" si="1"/>
        <v>0.47546290216854892</v>
      </c>
      <c r="I9" s="195">
        <f>+F95</f>
        <v>0.11439887881278993</v>
      </c>
    </row>
    <row r="10" spans="1:9" ht="18" customHeight="1">
      <c r="A10" s="189" t="s">
        <v>614</v>
      </c>
      <c r="B10" s="190" t="s">
        <v>615</v>
      </c>
      <c r="C10" s="191">
        <f>+C163</f>
        <v>38551</v>
      </c>
      <c r="D10" s="191">
        <f>+C169</f>
        <v>39021</v>
      </c>
      <c r="E10" s="193">
        <f>+-D163-D164-D167</f>
        <v>25000000000</v>
      </c>
      <c r="F10" s="193">
        <f>+D165+D166+D168+D169</f>
        <v>31125662751</v>
      </c>
      <c r="G10" s="193">
        <f>+F10-E10</f>
        <v>6125662751</v>
      </c>
      <c r="H10" s="194">
        <f>+G10/E10</f>
        <v>0.24502651004000001</v>
      </c>
      <c r="I10" s="195">
        <f>+F169</f>
        <v>0.18877885937690736</v>
      </c>
    </row>
    <row r="11" spans="1:9" ht="18" customHeight="1">
      <c r="A11" s="189" t="s">
        <v>549</v>
      </c>
      <c r="B11" s="190" t="s">
        <v>617</v>
      </c>
      <c r="C11" s="191">
        <f>+C171</f>
        <v>38861</v>
      </c>
      <c r="D11" s="191">
        <f>+C194</f>
        <v>39560</v>
      </c>
      <c r="E11" s="193">
        <f>+-D171</f>
        <v>4000000000</v>
      </c>
      <c r="F11" s="193">
        <f>+SUM(D172:D194)</f>
        <v>7162396165</v>
      </c>
      <c r="G11" s="193">
        <f>+F11-E11</f>
        <v>3162396165</v>
      </c>
      <c r="H11" s="194">
        <f>+G11/E11</f>
        <v>0.79059904125000002</v>
      </c>
      <c r="I11" s="195">
        <f>+F194</f>
        <v>0.61662984490394612</v>
      </c>
    </row>
    <row r="12" spans="1:9" ht="18" customHeight="1">
      <c r="A12" s="189" t="s">
        <v>677</v>
      </c>
      <c r="B12" s="190" t="s">
        <v>620</v>
      </c>
      <c r="C12" s="191">
        <f>+C209</f>
        <v>38812</v>
      </c>
      <c r="D12" s="191">
        <f>+C220</f>
        <v>39388</v>
      </c>
      <c r="E12" s="193">
        <f>+-D209-D211-D212-D213-D214-D215-D216-D217-D218</f>
        <v>10000000000</v>
      </c>
      <c r="F12" s="193">
        <f>+D210+D219+D220</f>
        <v>11199652174</v>
      </c>
      <c r="G12" s="193">
        <f>+F12-E12</f>
        <v>1199652174</v>
      </c>
      <c r="H12" s="194">
        <f>+G12/E12</f>
        <v>0.1199652174</v>
      </c>
      <c r="I12" s="195">
        <f>+F220</f>
        <v>0.19395113587379459</v>
      </c>
    </row>
    <row r="13" spans="1:9" ht="18" customHeight="1">
      <c r="A13" s="189" t="s">
        <v>655</v>
      </c>
      <c r="B13" s="190" t="s">
        <v>651</v>
      </c>
      <c r="C13" s="191">
        <f>+CRC조합!D4</f>
        <v>39583</v>
      </c>
      <c r="D13" s="191">
        <f>+CRC조합!I37</f>
        <v>40002</v>
      </c>
      <c r="E13" s="193">
        <f>+CRC조합!M4+CRC조합!G15+1000000000</f>
        <v>3000000000</v>
      </c>
      <c r="F13" s="193">
        <f>+CRC조합!L4+SUM(CRC조합!L15:L37)+3281862716</f>
        <v>9399825234</v>
      </c>
      <c r="G13" s="193">
        <f t="shared" si="0"/>
        <v>6399825234</v>
      </c>
      <c r="H13" s="194">
        <f t="shared" si="1"/>
        <v>2.133275078</v>
      </c>
      <c r="I13" s="195">
        <f>+F147</f>
        <v>7.712694215774536</v>
      </c>
    </row>
    <row r="14" spans="1:9" ht="18" customHeight="1">
      <c r="A14" s="189" t="s">
        <v>652</v>
      </c>
      <c r="B14" s="190" t="s">
        <v>512</v>
      </c>
      <c r="C14" s="191" t="e">
        <f>+CRC조합!#REF!</f>
        <v>#REF!</v>
      </c>
      <c r="D14" s="191">
        <v>40101</v>
      </c>
      <c r="E14" s="193" t="e">
        <f>+CRC조합!#REF!</f>
        <v>#REF!</v>
      </c>
      <c r="F14" s="193">
        <v>33062960000</v>
      </c>
      <c r="G14" s="193" t="e">
        <f t="shared" si="0"/>
        <v>#REF!</v>
      </c>
      <c r="H14" s="194" t="e">
        <f t="shared" si="1"/>
        <v>#REF!</v>
      </c>
      <c r="I14" s="195" t="e">
        <f>+F151</f>
        <v>#REF!</v>
      </c>
    </row>
    <row r="15" spans="1:9" ht="18" customHeight="1">
      <c r="A15" s="189" t="s">
        <v>661</v>
      </c>
      <c r="B15" s="190" t="s">
        <v>659</v>
      </c>
      <c r="C15" s="191">
        <f>+C154</f>
        <v>39337</v>
      </c>
      <c r="D15" s="191" t="s">
        <v>663</v>
      </c>
      <c r="E15" s="193">
        <f>+SUM(D154:D156)</f>
        <v>14000000000</v>
      </c>
      <c r="F15" s="196" t="s">
        <v>663</v>
      </c>
      <c r="G15" s="196" t="s">
        <v>663</v>
      </c>
      <c r="H15" s="196" t="s">
        <v>663</v>
      </c>
      <c r="I15" s="196" t="s">
        <v>663</v>
      </c>
    </row>
    <row r="16" spans="1:9" ht="18" customHeight="1">
      <c r="A16" s="189" t="s">
        <v>661</v>
      </c>
      <c r="B16" s="190" t="s">
        <v>514</v>
      </c>
      <c r="C16" s="191">
        <f>+C160</f>
        <v>39443</v>
      </c>
      <c r="D16" s="191" t="s">
        <v>663</v>
      </c>
      <c r="E16" s="193">
        <f>+SUM(D159:D160)</f>
        <v>20000000000</v>
      </c>
      <c r="F16" s="196" t="s">
        <v>663</v>
      </c>
      <c r="G16" s="196" t="s">
        <v>663</v>
      </c>
      <c r="H16" s="196" t="s">
        <v>663</v>
      </c>
      <c r="I16" s="196" t="s">
        <v>663</v>
      </c>
    </row>
    <row r="17" spans="1:10" ht="18" customHeight="1">
      <c r="A17" s="189" t="s">
        <v>680</v>
      </c>
      <c r="B17" s="190" t="s">
        <v>517</v>
      </c>
      <c r="C17" s="191" t="e">
        <f>+VC조합!#REF!</f>
        <v>#REF!</v>
      </c>
      <c r="D17" s="191" t="s">
        <v>663</v>
      </c>
      <c r="E17" s="193" t="e">
        <f>+VC조합!#REF!</f>
        <v>#REF!</v>
      </c>
      <c r="F17" s="196" t="s">
        <v>663</v>
      </c>
      <c r="G17" s="196" t="s">
        <v>663</v>
      </c>
      <c r="H17" s="196" t="s">
        <v>663</v>
      </c>
      <c r="I17" s="196" t="s">
        <v>663</v>
      </c>
    </row>
    <row r="18" spans="1:10" ht="18" customHeight="1">
      <c r="A18" s="189" t="s">
        <v>671</v>
      </c>
      <c r="B18" s="190" t="s">
        <v>664</v>
      </c>
      <c r="C18" s="191">
        <v>39990</v>
      </c>
      <c r="D18" s="191" t="s">
        <v>663</v>
      </c>
      <c r="E18" s="193">
        <v>64000000000</v>
      </c>
      <c r="F18" s="196" t="s">
        <v>663</v>
      </c>
      <c r="G18" s="196" t="s">
        <v>663</v>
      </c>
      <c r="H18" s="196" t="s">
        <v>663</v>
      </c>
      <c r="I18" s="196" t="s">
        <v>663</v>
      </c>
      <c r="J18" s="176" t="s">
        <v>668</v>
      </c>
    </row>
    <row r="19" spans="1:10" ht="18" customHeight="1">
      <c r="A19" s="189" t="s">
        <v>671</v>
      </c>
      <c r="B19" s="190" t="s">
        <v>665</v>
      </c>
      <c r="C19" s="191">
        <v>39990</v>
      </c>
      <c r="D19" s="191" t="s">
        <v>663</v>
      </c>
      <c r="E19" s="193">
        <v>28117505207</v>
      </c>
      <c r="F19" s="196" t="s">
        <v>663</v>
      </c>
      <c r="G19" s="196" t="s">
        <v>663</v>
      </c>
      <c r="H19" s="196" t="s">
        <v>663</v>
      </c>
      <c r="I19" s="196" t="s">
        <v>663</v>
      </c>
      <c r="J19" s="176" t="s">
        <v>669</v>
      </c>
    </row>
    <row r="20" spans="1:10" ht="18" customHeight="1">
      <c r="A20" s="189" t="s">
        <v>671</v>
      </c>
      <c r="B20" s="190" t="s">
        <v>666</v>
      </c>
      <c r="C20" s="191">
        <v>40057</v>
      </c>
      <c r="D20" s="191" t="s">
        <v>663</v>
      </c>
      <c r="E20" s="193">
        <v>6235660260</v>
      </c>
      <c r="F20" s="196" t="s">
        <v>663</v>
      </c>
      <c r="G20" s="196" t="s">
        <v>663</v>
      </c>
      <c r="H20" s="196" t="s">
        <v>663</v>
      </c>
      <c r="I20" s="196" t="s">
        <v>663</v>
      </c>
      <c r="J20" s="176" t="s">
        <v>670</v>
      </c>
    </row>
    <row r="21" spans="1:10" ht="18" customHeight="1" thickBot="1">
      <c r="A21" s="200" t="s">
        <v>671</v>
      </c>
      <c r="B21" s="201" t="s">
        <v>667</v>
      </c>
      <c r="C21" s="202">
        <v>39993</v>
      </c>
      <c r="D21" s="202" t="s">
        <v>663</v>
      </c>
      <c r="E21" s="203">
        <v>16000000000</v>
      </c>
      <c r="F21" s="204" t="s">
        <v>663</v>
      </c>
      <c r="G21" s="204" t="s">
        <v>663</v>
      </c>
      <c r="H21" s="204" t="s">
        <v>663</v>
      </c>
      <c r="I21" s="204" t="s">
        <v>663</v>
      </c>
      <c r="J21" s="176" t="s">
        <v>672</v>
      </c>
    </row>
    <row r="22" spans="1:10" ht="20.25" customHeight="1" thickTop="1">
      <c r="A22" s="934" t="s">
        <v>673</v>
      </c>
      <c r="B22" s="934"/>
      <c r="C22" s="934"/>
      <c r="D22" s="934"/>
      <c r="E22" s="199" t="e">
        <f>SUM(E4:E21)</f>
        <v>#REF!</v>
      </c>
      <c r="F22" s="205" t="s">
        <v>662</v>
      </c>
      <c r="G22" s="205" t="s">
        <v>662</v>
      </c>
      <c r="H22" s="206" t="s">
        <v>662</v>
      </c>
      <c r="I22" s="207" t="s">
        <v>662</v>
      </c>
    </row>
    <row r="23" spans="1:10">
      <c r="C23" s="182"/>
      <c r="D23" s="182"/>
      <c r="E23" s="178"/>
      <c r="F23" s="178"/>
      <c r="G23" s="178"/>
      <c r="H23" s="185"/>
      <c r="I23" s="186"/>
    </row>
    <row r="24" spans="1:10">
      <c r="E24" s="178"/>
      <c r="F24" s="178"/>
      <c r="G24" s="178"/>
    </row>
    <row r="25" spans="1:10">
      <c r="A25" s="137" t="str">
        <f>+CRC해산!B17</f>
        <v>CRC2</v>
      </c>
      <c r="B25" s="139" t="s">
        <v>626</v>
      </c>
      <c r="C25" s="157">
        <v>37105</v>
      </c>
      <c r="D25" s="139">
        <v>-1880000000</v>
      </c>
      <c r="E25" s="178"/>
      <c r="F25" s="178"/>
      <c r="G25" s="178"/>
    </row>
    <row r="26" spans="1:10">
      <c r="A26" s="137"/>
      <c r="B26" s="139"/>
      <c r="C26" s="157">
        <v>37106</v>
      </c>
      <c r="D26" s="139">
        <v>-2820000000</v>
      </c>
      <c r="E26" s="178"/>
      <c r="F26" s="178"/>
      <c r="G26" s="178"/>
    </row>
    <row r="27" spans="1:10">
      <c r="A27" s="137"/>
      <c r="B27" s="139"/>
      <c r="C27" s="157">
        <v>37110</v>
      </c>
      <c r="D27" s="139">
        <v>-4699999000</v>
      </c>
      <c r="E27" s="178"/>
      <c r="F27" s="178"/>
      <c r="G27" s="178"/>
    </row>
    <row r="28" spans="1:10">
      <c r="A28" s="137"/>
      <c r="B28" s="139"/>
      <c r="C28" s="157">
        <v>37125</v>
      </c>
      <c r="D28" s="139">
        <v>-300000000</v>
      </c>
      <c r="E28" s="178"/>
      <c r="F28" s="178"/>
      <c r="G28" s="178"/>
    </row>
    <row r="29" spans="1:10">
      <c r="A29" s="137"/>
      <c r="B29" s="139"/>
      <c r="C29" s="157">
        <v>37134</v>
      </c>
      <c r="D29" s="139">
        <v>-2240084041</v>
      </c>
      <c r="E29" s="178"/>
      <c r="F29" s="178"/>
      <c r="G29" s="178"/>
    </row>
    <row r="30" spans="1:10">
      <c r="A30" s="137"/>
      <c r="B30" s="139"/>
      <c r="C30" s="157">
        <v>37159</v>
      </c>
      <c r="D30" s="139">
        <v>300000000</v>
      </c>
      <c r="E30" s="178"/>
      <c r="F30" s="178"/>
      <c r="G30" s="178"/>
    </row>
    <row r="31" spans="1:10">
      <c r="A31" s="137"/>
      <c r="B31" s="132"/>
      <c r="C31" s="153">
        <v>37229</v>
      </c>
      <c r="D31" s="132">
        <v>11663804978</v>
      </c>
      <c r="E31" s="178"/>
      <c r="F31" s="178"/>
      <c r="G31" s="178"/>
    </row>
    <row r="32" spans="1:10">
      <c r="A32" s="137"/>
      <c r="B32" s="139" t="s">
        <v>627</v>
      </c>
      <c r="C32" s="157">
        <v>37110</v>
      </c>
      <c r="D32" s="139">
        <v>-1000</v>
      </c>
      <c r="E32" s="178"/>
      <c r="F32" s="178"/>
      <c r="G32" s="178"/>
    </row>
    <row r="33" spans="1:7">
      <c r="A33" s="137"/>
      <c r="B33" s="139"/>
      <c r="C33" s="157">
        <v>37229</v>
      </c>
      <c r="D33" s="139">
        <v>-4822709281</v>
      </c>
      <c r="E33" s="178"/>
      <c r="F33" s="178"/>
      <c r="G33" s="178"/>
    </row>
    <row r="34" spans="1:7">
      <c r="A34" s="137"/>
      <c r="B34" s="139"/>
      <c r="C34" s="157">
        <v>37231</v>
      </c>
      <c r="D34" s="139">
        <v>-12000000000</v>
      </c>
      <c r="E34" s="178"/>
      <c r="F34" s="178"/>
      <c r="G34" s="178"/>
    </row>
    <row r="35" spans="1:7">
      <c r="A35" s="137"/>
      <c r="B35" s="139"/>
      <c r="C35" s="157">
        <v>38239</v>
      </c>
      <c r="D35" s="139">
        <v>-1433040000</v>
      </c>
      <c r="E35" s="178"/>
      <c r="F35" s="178"/>
      <c r="G35" s="178"/>
    </row>
    <row r="36" spans="1:7">
      <c r="A36" s="137"/>
      <c r="B36" s="139"/>
      <c r="C36" s="157">
        <v>38350</v>
      </c>
      <c r="D36" s="139">
        <v>-646952960</v>
      </c>
      <c r="E36" s="178"/>
      <c r="F36" s="178"/>
      <c r="G36" s="178"/>
    </row>
    <row r="37" spans="1:7">
      <c r="A37" s="137"/>
      <c r="B37" s="139"/>
      <c r="C37" s="157">
        <v>37106</v>
      </c>
      <c r="D37" s="139">
        <v>470000000</v>
      </c>
      <c r="E37" s="178"/>
      <c r="F37" s="178"/>
      <c r="G37" s="178"/>
    </row>
    <row r="38" spans="1:7">
      <c r="A38" s="137"/>
      <c r="B38" s="139"/>
      <c r="C38" s="157">
        <v>37111</v>
      </c>
      <c r="D38" s="139">
        <v>188179840</v>
      </c>
      <c r="E38" s="178"/>
      <c r="F38" s="178"/>
      <c r="G38" s="178"/>
    </row>
    <row r="39" spans="1:7">
      <c r="A39" s="137"/>
      <c r="B39" s="139"/>
      <c r="C39" s="157">
        <v>37245</v>
      </c>
      <c r="D39" s="139">
        <v>1681670000</v>
      </c>
      <c r="E39" s="178"/>
      <c r="F39" s="178"/>
      <c r="G39" s="178"/>
    </row>
    <row r="40" spans="1:7">
      <c r="A40" s="137"/>
      <c r="B40" s="139"/>
      <c r="C40" s="157">
        <v>37334</v>
      </c>
      <c r="D40" s="139">
        <v>4154740500</v>
      </c>
      <c r="E40" s="178"/>
      <c r="F40" s="178"/>
      <c r="G40" s="178"/>
    </row>
    <row r="41" spans="1:7">
      <c r="A41" s="137"/>
      <c r="B41" s="139"/>
      <c r="C41" s="157">
        <v>37340</v>
      </c>
      <c r="D41" s="139">
        <v>2707691850</v>
      </c>
      <c r="E41" s="178"/>
      <c r="F41" s="178"/>
      <c r="G41" s="178"/>
    </row>
    <row r="42" spans="1:7">
      <c r="A42" s="137"/>
      <c r="B42" s="139"/>
      <c r="C42" s="157">
        <v>37361</v>
      </c>
      <c r="D42" s="139">
        <v>2531066950</v>
      </c>
      <c r="E42" s="178"/>
      <c r="F42" s="178"/>
      <c r="G42" s="178"/>
    </row>
    <row r="43" spans="1:7">
      <c r="A43" s="137"/>
      <c r="B43" s="139"/>
      <c r="C43" s="157">
        <v>37371</v>
      </c>
      <c r="D43" s="139">
        <v>3381631400</v>
      </c>
      <c r="E43" s="178"/>
      <c r="F43" s="178"/>
      <c r="G43" s="178"/>
    </row>
    <row r="44" spans="1:7">
      <c r="A44" s="137"/>
      <c r="B44" s="139"/>
      <c r="C44" s="157">
        <v>37656</v>
      </c>
      <c r="D44" s="139">
        <v>1000000000</v>
      </c>
      <c r="E44" s="178"/>
      <c r="F44" s="178"/>
      <c r="G44" s="178"/>
    </row>
    <row r="45" spans="1:7">
      <c r="A45" s="137"/>
      <c r="B45" s="139"/>
      <c r="C45" s="157">
        <v>37700</v>
      </c>
      <c r="D45" s="139">
        <v>1000000000</v>
      </c>
      <c r="E45" s="178"/>
      <c r="F45" s="178"/>
      <c r="G45" s="178"/>
    </row>
    <row r="46" spans="1:7">
      <c r="A46" s="137"/>
      <c r="B46" s="139"/>
      <c r="C46" s="157">
        <v>37714</v>
      </c>
      <c r="D46" s="139">
        <v>1600000000</v>
      </c>
      <c r="E46" s="178"/>
      <c r="F46" s="178"/>
      <c r="G46" s="178"/>
    </row>
    <row r="47" spans="1:7">
      <c r="A47" s="137"/>
      <c r="B47" s="139"/>
      <c r="C47" s="157">
        <v>37873</v>
      </c>
      <c r="D47" s="139">
        <v>1933040000</v>
      </c>
      <c r="E47" s="178"/>
      <c r="F47" s="178"/>
      <c r="G47" s="178"/>
    </row>
    <row r="48" spans="1:7">
      <c r="A48" s="137"/>
      <c r="B48" s="139"/>
      <c r="C48" s="157">
        <v>38313</v>
      </c>
      <c r="D48" s="139">
        <v>842400000</v>
      </c>
      <c r="E48" s="178"/>
      <c r="F48" s="178"/>
      <c r="G48" s="178"/>
    </row>
    <row r="49" spans="1:6">
      <c r="A49" s="137"/>
      <c r="B49" s="139"/>
      <c r="C49" s="157">
        <v>38499</v>
      </c>
      <c r="D49" s="139">
        <v>3291194100</v>
      </c>
    </row>
    <row r="50" spans="1:6">
      <c r="A50" s="137"/>
      <c r="B50" s="139"/>
      <c r="C50" s="157">
        <v>38980</v>
      </c>
      <c r="D50" s="139">
        <v>311306000</v>
      </c>
    </row>
    <row r="51" spans="1:6">
      <c r="A51" s="137"/>
      <c r="B51" s="139"/>
      <c r="C51" s="157">
        <v>39254</v>
      </c>
      <c r="D51" s="139">
        <v>362042800</v>
      </c>
    </row>
    <row r="52" spans="1:6">
      <c r="A52" s="137"/>
      <c r="B52" s="139"/>
      <c r="C52" s="157">
        <v>39255</v>
      </c>
      <c r="D52" s="139">
        <v>340507400</v>
      </c>
    </row>
    <row r="53" spans="1:6">
      <c r="A53" s="137"/>
      <c r="B53" s="139"/>
      <c r="C53" s="157">
        <v>39258</v>
      </c>
      <c r="D53" s="139">
        <v>145043800</v>
      </c>
    </row>
    <row r="54" spans="1:6">
      <c r="A54" s="137"/>
      <c r="B54" s="139"/>
      <c r="C54" s="157">
        <v>39259</v>
      </c>
      <c r="D54" s="139">
        <v>463853100</v>
      </c>
    </row>
    <row r="55" spans="1:6">
      <c r="A55" s="137"/>
      <c r="B55" s="139"/>
      <c r="C55" s="157">
        <v>39260</v>
      </c>
      <c r="D55" s="139">
        <v>272976400</v>
      </c>
    </row>
    <row r="56" spans="1:6">
      <c r="A56" s="137"/>
      <c r="B56" s="139"/>
      <c r="C56" s="157">
        <v>39261</v>
      </c>
      <c r="D56" s="139">
        <v>142184000</v>
      </c>
    </row>
    <row r="57" spans="1:6">
      <c r="A57" s="137"/>
      <c r="B57" s="139"/>
      <c r="C57" s="157">
        <v>39262</v>
      </c>
      <c r="D57" s="139">
        <v>320724900</v>
      </c>
    </row>
    <row r="58" spans="1:6">
      <c r="A58" s="137"/>
      <c r="B58" s="139"/>
      <c r="C58" s="157">
        <v>39265</v>
      </c>
      <c r="D58" s="139">
        <v>32583800</v>
      </c>
    </row>
    <row r="59" spans="1:6">
      <c r="A59" s="137"/>
      <c r="B59" s="139"/>
      <c r="C59" s="157">
        <v>39345</v>
      </c>
      <c r="D59" s="139">
        <v>319889000</v>
      </c>
    </row>
    <row r="60" spans="1:6">
      <c r="A60" s="137"/>
      <c r="B60" s="139"/>
      <c r="C60" s="157">
        <v>39357</v>
      </c>
      <c r="D60" s="139">
        <v>49228100</v>
      </c>
    </row>
    <row r="61" spans="1:6">
      <c r="A61" s="137"/>
      <c r="B61" s="139"/>
      <c r="C61" s="157">
        <v>39359</v>
      </c>
      <c r="D61" s="139">
        <v>437895250</v>
      </c>
    </row>
    <row r="62" spans="1:6">
      <c r="A62" s="137"/>
      <c r="B62" s="139"/>
      <c r="C62" s="157">
        <v>39360</v>
      </c>
      <c r="D62" s="139">
        <v>344822550</v>
      </c>
      <c r="E62" s="178"/>
    </row>
    <row r="63" spans="1:6">
      <c r="A63" s="137"/>
      <c r="B63" s="132"/>
      <c r="C63" s="153">
        <v>39363</v>
      </c>
      <c r="D63" s="132">
        <v>28520</v>
      </c>
      <c r="E63" s="178">
        <f>SUM(D25:D63)</f>
        <v>9445718956</v>
      </c>
      <c r="F63" s="185">
        <f>+XIRR(D25:D63,C25:C63)</f>
        <v>0.41655883193016052</v>
      </c>
    </row>
    <row r="64" spans="1:6">
      <c r="E64" s="178"/>
    </row>
    <row r="65" spans="1:6">
      <c r="A65" s="133" t="s">
        <v>544</v>
      </c>
      <c r="B65" s="138" t="s">
        <v>648</v>
      </c>
      <c r="C65" s="144">
        <v>37644</v>
      </c>
      <c r="D65" s="138">
        <v>-6555858147</v>
      </c>
      <c r="E65" s="26"/>
    </row>
    <row r="66" spans="1:6">
      <c r="A66" s="137"/>
      <c r="B66" s="139"/>
      <c r="C66" s="157">
        <v>37986</v>
      </c>
      <c r="D66" s="139">
        <v>1556935560</v>
      </c>
      <c r="E66" s="26"/>
    </row>
    <row r="67" spans="1:6">
      <c r="A67" s="137"/>
      <c r="B67" s="139"/>
      <c r="C67" s="157">
        <v>38352</v>
      </c>
      <c r="D67" s="139">
        <v>1882187263</v>
      </c>
      <c r="E67" s="26"/>
    </row>
    <row r="68" spans="1:6">
      <c r="A68" s="137"/>
      <c r="B68" s="132"/>
      <c r="C68" s="153">
        <v>38411</v>
      </c>
      <c r="D68" s="132">
        <v>4015594327</v>
      </c>
      <c r="E68" s="26"/>
    </row>
    <row r="69" spans="1:6">
      <c r="A69" s="137" t="s">
        <v>656</v>
      </c>
      <c r="B69" s="139" t="s">
        <v>648</v>
      </c>
      <c r="C69" s="157">
        <v>37690</v>
      </c>
      <c r="D69" s="139">
        <v>-6854685918</v>
      </c>
      <c r="E69" s="26"/>
    </row>
    <row r="70" spans="1:6">
      <c r="A70" s="154"/>
      <c r="B70" s="132"/>
      <c r="C70" s="153">
        <v>37922</v>
      </c>
      <c r="D70" s="132">
        <v>9416723580</v>
      </c>
      <c r="E70" s="26">
        <f>SUM(D65:D70)</f>
        <v>3460896665</v>
      </c>
      <c r="F70" s="185">
        <f>+XIRR(D65:D70,C65:C70)</f>
        <v>0.22577423453330989</v>
      </c>
    </row>
    <row r="71" spans="1:6">
      <c r="A71" s="137"/>
      <c r="B71" s="139"/>
      <c r="C71" s="157"/>
      <c r="D71" s="139"/>
      <c r="E71" s="26"/>
    </row>
    <row r="72" spans="1:6">
      <c r="A72" s="137" t="s">
        <v>544</v>
      </c>
      <c r="B72" s="139" t="s">
        <v>649</v>
      </c>
      <c r="C72" s="157">
        <v>37644</v>
      </c>
      <c r="D72" s="139">
        <v>-3516457799</v>
      </c>
      <c r="E72" s="26"/>
    </row>
    <row r="73" spans="1:6">
      <c r="A73" s="137"/>
      <c r="B73" s="139"/>
      <c r="C73" s="157">
        <v>37986</v>
      </c>
      <c r="D73" s="139">
        <v>1158205768</v>
      </c>
      <c r="E73" s="26"/>
    </row>
    <row r="74" spans="1:6">
      <c r="A74" s="137"/>
      <c r="B74" s="139"/>
      <c r="C74" s="157">
        <v>38352</v>
      </c>
      <c r="D74" s="139">
        <v>1618205768</v>
      </c>
      <c r="E74" s="26"/>
    </row>
    <row r="75" spans="1:6" ht="14.25" customHeight="1">
      <c r="A75" s="154"/>
      <c r="B75" s="132"/>
      <c r="C75" s="153">
        <v>38411</v>
      </c>
      <c r="D75" s="132">
        <v>1998366087</v>
      </c>
      <c r="E75" s="26">
        <f>SUM(D72:D75)</f>
        <v>1258319824</v>
      </c>
      <c r="F75" s="185">
        <f>+XIRR(D72:D75,C72:C75)</f>
        <v>0.19173228144645693</v>
      </c>
    </row>
    <row r="76" spans="1:6">
      <c r="E76" s="188"/>
    </row>
    <row r="77" spans="1:6">
      <c r="E77" s="178"/>
    </row>
    <row r="78" spans="1:6">
      <c r="A78" s="211" t="s">
        <v>604</v>
      </c>
      <c r="B78" s="138" t="s">
        <v>657</v>
      </c>
      <c r="C78" s="144">
        <v>38091</v>
      </c>
      <c r="D78" s="138">
        <v>-2500000000</v>
      </c>
      <c r="E78" s="178"/>
    </row>
    <row r="79" spans="1:6">
      <c r="A79" s="212"/>
      <c r="B79" s="139"/>
      <c r="C79" s="157">
        <v>38600</v>
      </c>
      <c r="D79" s="139">
        <v>2650</v>
      </c>
      <c r="E79" s="178"/>
    </row>
    <row r="80" spans="1:6">
      <c r="A80" s="212"/>
      <c r="B80" s="139"/>
      <c r="C80" s="157">
        <v>39157</v>
      </c>
      <c r="D80" s="139">
        <v>2000000000</v>
      </c>
      <c r="E80" s="178"/>
    </row>
    <row r="81" spans="1:6">
      <c r="A81" s="212"/>
      <c r="B81" s="132"/>
      <c r="C81" s="153">
        <v>39167</v>
      </c>
      <c r="D81" s="132">
        <v>1774625905</v>
      </c>
      <c r="E81" s="178"/>
    </row>
    <row r="82" spans="1:6">
      <c r="A82" s="212"/>
      <c r="B82" s="139" t="s">
        <v>658</v>
      </c>
      <c r="C82" s="157">
        <v>38091</v>
      </c>
      <c r="D82" s="139">
        <v>-2500000000</v>
      </c>
      <c r="E82" s="178"/>
    </row>
    <row r="83" spans="1:6">
      <c r="A83" s="212"/>
      <c r="B83" s="139"/>
      <c r="C83" s="157">
        <v>38182</v>
      </c>
      <c r="D83" s="139">
        <v>50410958</v>
      </c>
      <c r="E83" s="178"/>
    </row>
    <row r="84" spans="1:6">
      <c r="A84" s="212"/>
      <c r="B84" s="139"/>
      <c r="C84" s="157">
        <v>38274</v>
      </c>
      <c r="D84" s="139">
        <v>49863013</v>
      </c>
      <c r="E84" s="178"/>
    </row>
    <row r="85" spans="1:6">
      <c r="A85" s="212"/>
      <c r="B85" s="139"/>
      <c r="C85" s="157">
        <v>38343</v>
      </c>
      <c r="D85" s="139">
        <v>1026679000</v>
      </c>
      <c r="E85" s="178"/>
    </row>
    <row r="86" spans="1:6">
      <c r="A86" s="212"/>
      <c r="B86" s="139"/>
      <c r="C86" s="157">
        <v>38366</v>
      </c>
      <c r="D86" s="139">
        <v>30246575</v>
      </c>
      <c r="E86" s="178"/>
    </row>
    <row r="87" spans="1:6">
      <c r="A87" s="212"/>
      <c r="B87" s="139"/>
      <c r="C87" s="157">
        <v>38456</v>
      </c>
      <c r="D87" s="139">
        <v>29589041</v>
      </c>
      <c r="E87" s="178"/>
    </row>
    <row r="88" spans="1:6">
      <c r="A88" s="213"/>
      <c r="B88" s="132"/>
      <c r="C88" s="153">
        <v>38488</v>
      </c>
      <c r="D88" s="132">
        <v>1537580000</v>
      </c>
      <c r="E88" s="178">
        <f>SUM(D78:D88)</f>
        <v>1498997142</v>
      </c>
      <c r="F88" s="185">
        <f>+XIRR(D78:D88,C78:C88)</f>
        <v>0.13884814381599425</v>
      </c>
    </row>
    <row r="89" spans="1:6">
      <c r="E89" s="178"/>
    </row>
    <row r="90" spans="1:6">
      <c r="A90" s="211" t="s">
        <v>654</v>
      </c>
      <c r="B90" s="138" t="s">
        <v>286</v>
      </c>
      <c r="C90" s="144">
        <v>38168</v>
      </c>
      <c r="D90" s="138">
        <v>-10000005000</v>
      </c>
      <c r="E90" s="178"/>
    </row>
    <row r="91" spans="1:6">
      <c r="A91" s="212"/>
      <c r="B91" s="139"/>
      <c r="C91" s="157">
        <v>39307</v>
      </c>
      <c r="D91" s="139">
        <v>7353496040</v>
      </c>
      <c r="E91" s="178"/>
    </row>
    <row r="92" spans="1:6">
      <c r="A92" s="212"/>
      <c r="B92" s="132"/>
      <c r="C92" s="153">
        <v>39678</v>
      </c>
      <c r="D92" s="132">
        <v>7441938974</v>
      </c>
      <c r="E92" s="178"/>
    </row>
    <row r="93" spans="1:6">
      <c r="A93" s="212"/>
      <c r="B93" s="139" t="s">
        <v>286</v>
      </c>
      <c r="C93" s="157">
        <v>38187</v>
      </c>
      <c r="D93" s="139">
        <v>-10000005000</v>
      </c>
      <c r="E93" s="178"/>
    </row>
    <row r="94" spans="1:6">
      <c r="A94" s="212"/>
      <c r="B94" s="139"/>
      <c r="C94" s="157">
        <v>39307</v>
      </c>
      <c r="D94" s="139">
        <v>7333824277</v>
      </c>
      <c r="E94" s="178"/>
    </row>
    <row r="95" spans="1:6">
      <c r="A95" s="213"/>
      <c r="B95" s="132"/>
      <c r="C95" s="153">
        <v>39678</v>
      </c>
      <c r="D95" s="132">
        <v>7380013507</v>
      </c>
      <c r="E95" s="178">
        <f>SUM(D90:D95)</f>
        <v>9509262798</v>
      </c>
      <c r="F95" s="185">
        <f>+XIRR(D90:D95,C90:C95)</f>
        <v>0.11439887881278993</v>
      </c>
    </row>
    <row r="96" spans="1:6">
      <c r="E96" s="178"/>
    </row>
    <row r="97" spans="1:5">
      <c r="A97" s="183" t="s">
        <v>655</v>
      </c>
      <c r="B97" s="183" t="s">
        <v>651</v>
      </c>
      <c r="C97" s="184">
        <f>+CRC조합!D4</f>
        <v>39583</v>
      </c>
      <c r="D97" s="180">
        <f>+-CRC조합!M4</f>
        <v>-1100000000</v>
      </c>
      <c r="E97" s="178"/>
    </row>
    <row r="98" spans="1:5">
      <c r="A98" s="183"/>
      <c r="B98" s="183"/>
      <c r="C98" s="184">
        <f>+CRC조합!I4</f>
        <v>39708</v>
      </c>
      <c r="D98" s="180">
        <f>+CRC조합!L4</f>
        <v>1128253425</v>
      </c>
      <c r="E98" s="178"/>
    </row>
    <row r="99" spans="1:5">
      <c r="A99" s="183"/>
      <c r="B99" s="183"/>
      <c r="C99" s="184">
        <f>+CRC조합!D15</f>
        <v>39958</v>
      </c>
      <c r="D99" s="180">
        <f>+-CRC조합!G15</f>
        <v>-900000000</v>
      </c>
      <c r="E99" s="178"/>
    </row>
    <row r="100" spans="1:5">
      <c r="A100" s="183"/>
      <c r="B100" s="183"/>
      <c r="C100" s="184">
        <f>+CRC조합!I15</f>
        <v>39972</v>
      </c>
      <c r="D100" s="180">
        <f>+CRC조합!L15</f>
        <v>247834312</v>
      </c>
      <c r="E100" s="178"/>
    </row>
    <row r="101" spans="1:5">
      <c r="A101" s="183"/>
      <c r="B101" s="183"/>
      <c r="C101" s="184">
        <f>+CRC조합!I16</f>
        <v>39973</v>
      </c>
      <c r="D101" s="180">
        <f>+CRC조합!L16</f>
        <v>240969375</v>
      </c>
      <c r="E101" s="178"/>
    </row>
    <row r="102" spans="1:5">
      <c r="A102" s="183"/>
      <c r="B102" s="183"/>
      <c r="C102" s="184">
        <f>+CRC조합!I17</f>
        <v>39974</v>
      </c>
      <c r="D102" s="180">
        <f>+CRC조합!L17</f>
        <v>121165110</v>
      </c>
      <c r="E102" s="178"/>
    </row>
    <row r="103" spans="1:5">
      <c r="A103" s="183"/>
      <c r="B103" s="183"/>
      <c r="C103" s="184">
        <f>+CRC조합!I18</f>
        <v>39975</v>
      </c>
      <c r="D103" s="180">
        <f>+CRC조합!L18</f>
        <v>232343108</v>
      </c>
      <c r="E103" s="178"/>
    </row>
    <row r="104" spans="1:5">
      <c r="A104" s="183"/>
      <c r="B104" s="183"/>
      <c r="C104" s="184">
        <f>+CRC조합!I19</f>
        <v>39976</v>
      </c>
      <c r="D104" s="180">
        <f>+CRC조합!L19</f>
        <v>269523002</v>
      </c>
      <c r="E104" s="178"/>
    </row>
    <row r="105" spans="1:5">
      <c r="A105" s="183"/>
      <c r="B105" s="183"/>
      <c r="C105" s="184">
        <f>+CRC조합!I20</f>
        <v>39979</v>
      </c>
      <c r="D105" s="180">
        <f>+CRC조합!L20</f>
        <v>238901223</v>
      </c>
      <c r="E105" s="178"/>
    </row>
    <row r="106" spans="1:5">
      <c r="A106" s="183"/>
      <c r="B106" s="183"/>
      <c r="C106" s="184">
        <f>+CRC조합!I21</f>
        <v>39980</v>
      </c>
      <c r="D106" s="180">
        <f>+CRC조합!L21</f>
        <v>240799011</v>
      </c>
      <c r="E106" s="178"/>
    </row>
    <row r="107" spans="1:5">
      <c r="A107" s="183"/>
      <c r="B107" s="183"/>
      <c r="C107" s="184">
        <f>+CRC조합!I22</f>
        <v>39981</v>
      </c>
      <c r="D107" s="180">
        <f>+CRC조합!L22</f>
        <v>234636403</v>
      </c>
      <c r="E107" s="178"/>
    </row>
    <row r="108" spans="1:5">
      <c r="A108" s="183"/>
      <c r="B108" s="183"/>
      <c r="C108" s="184">
        <f>+CRC조합!I23</f>
        <v>39982</v>
      </c>
      <c r="D108" s="180">
        <f>+CRC조합!L23</f>
        <v>230401274</v>
      </c>
      <c r="E108" s="178"/>
    </row>
    <row r="109" spans="1:5">
      <c r="A109" s="183"/>
      <c r="B109" s="183"/>
      <c r="C109" s="184">
        <f>+CRC조합!I24</f>
        <v>39983</v>
      </c>
      <c r="D109" s="180">
        <f>+CRC조합!L24</f>
        <v>111925170</v>
      </c>
      <c r="E109" s="178"/>
    </row>
    <row r="110" spans="1:5">
      <c r="A110" s="183"/>
      <c r="B110" s="183"/>
      <c r="C110" s="184">
        <f>+CRC조합!I25</f>
        <v>39986</v>
      </c>
      <c r="D110" s="180">
        <f>+CRC조합!L25</f>
        <v>230246070</v>
      </c>
      <c r="E110" s="178"/>
    </row>
    <row r="111" spans="1:5">
      <c r="A111" s="183"/>
      <c r="B111" s="183"/>
      <c r="C111" s="184">
        <f>+CRC조합!I26</f>
        <v>39987</v>
      </c>
      <c r="D111" s="180">
        <f>+CRC조합!L26</f>
        <v>229606507</v>
      </c>
      <c r="E111" s="178"/>
    </row>
    <row r="112" spans="1:5">
      <c r="A112" s="183"/>
      <c r="B112" s="183"/>
      <c r="C112" s="184">
        <f>+CRC조합!I27</f>
        <v>39988</v>
      </c>
      <c r="D112" s="180">
        <f>+CRC조합!L27</f>
        <v>228647142</v>
      </c>
      <c r="E112" s="178"/>
    </row>
    <row r="113" spans="1:5">
      <c r="A113" s="183"/>
      <c r="B113" s="183"/>
      <c r="C113" s="184">
        <f>+CRC조합!I28</f>
        <v>39989</v>
      </c>
      <c r="D113" s="180">
        <f>+CRC조합!L28</f>
        <v>111285608</v>
      </c>
      <c r="E113" s="178"/>
    </row>
    <row r="114" spans="1:5">
      <c r="A114" s="183"/>
      <c r="B114" s="183"/>
      <c r="C114" s="184">
        <f>+CRC조합!I29</f>
        <v>39990</v>
      </c>
      <c r="D114" s="180">
        <f>+CRC조합!L29</f>
        <v>217269318</v>
      </c>
      <c r="E114" s="178"/>
    </row>
    <row r="115" spans="1:5">
      <c r="A115" s="183"/>
      <c r="B115" s="183"/>
      <c r="C115" s="184">
        <f>+CRC조합!I30</f>
        <v>39993</v>
      </c>
      <c r="D115" s="180">
        <f>+CRC조합!L30</f>
        <v>217454620</v>
      </c>
      <c r="E115" s="178"/>
    </row>
    <row r="116" spans="1:5">
      <c r="A116" s="183"/>
      <c r="B116" s="183"/>
      <c r="C116" s="184">
        <f>+CRC조합!I31</f>
        <v>39994</v>
      </c>
      <c r="D116" s="180">
        <f>+CRC조합!L31</f>
        <v>221931630</v>
      </c>
      <c r="E116" s="178"/>
    </row>
    <row r="117" spans="1:5">
      <c r="A117" s="183"/>
      <c r="B117" s="183"/>
      <c r="C117" s="184">
        <f>+CRC조합!I32</f>
        <v>39995</v>
      </c>
      <c r="D117" s="180">
        <f>+CRC조합!L32</f>
        <v>219338424</v>
      </c>
      <c r="E117" s="178"/>
    </row>
    <row r="118" spans="1:5">
      <c r="A118" s="183"/>
      <c r="B118" s="183"/>
      <c r="C118" s="184">
        <f>+CRC조합!I33</f>
        <v>39996</v>
      </c>
      <c r="D118" s="180">
        <f>+CRC조합!L33</f>
        <v>211757154</v>
      </c>
      <c r="E118" s="178"/>
    </row>
    <row r="119" spans="1:5">
      <c r="A119" s="183"/>
      <c r="B119" s="183"/>
      <c r="C119" s="184">
        <f>+CRC조합!I34</f>
        <v>39997</v>
      </c>
      <c r="D119" s="180">
        <f>+CRC조합!L34</f>
        <v>215675469</v>
      </c>
      <c r="E119" s="178"/>
    </row>
    <row r="120" spans="1:5">
      <c r="A120" s="183"/>
      <c r="B120" s="183"/>
      <c r="C120" s="184">
        <f>+CRC조합!I35</f>
        <v>40000</v>
      </c>
      <c r="D120" s="180">
        <f>+CRC조합!L35</f>
        <v>107448164</v>
      </c>
      <c r="E120" s="178"/>
    </row>
    <row r="121" spans="1:5">
      <c r="A121" s="183"/>
      <c r="B121" s="183"/>
      <c r="C121" s="184">
        <f>+CRC조합!I36</f>
        <v>40001</v>
      </c>
      <c r="D121" s="180">
        <f>+CRC조합!L36</f>
        <v>326677499</v>
      </c>
      <c r="E121" s="178"/>
    </row>
    <row r="122" spans="1:5">
      <c r="A122" s="183"/>
      <c r="B122" s="183"/>
      <c r="C122" s="184">
        <f>+CRC조합!I37</f>
        <v>40002</v>
      </c>
      <c r="D122" s="180">
        <f>+CRC조합!L37</f>
        <v>283873500</v>
      </c>
      <c r="E122" s="178"/>
    </row>
    <row r="123" spans="1:5">
      <c r="A123" s="183"/>
      <c r="B123" s="183" t="s">
        <v>651</v>
      </c>
      <c r="C123" s="184">
        <f>+CRC조합!I88</f>
        <v>39708</v>
      </c>
      <c r="D123" s="180">
        <f>+-CRC조합!M88</f>
        <v>-500000000</v>
      </c>
      <c r="E123" s="178"/>
    </row>
    <row r="124" spans="1:5">
      <c r="A124" s="183"/>
      <c r="B124" s="183"/>
      <c r="C124" s="184">
        <f>+CRC조합!I88</f>
        <v>39708</v>
      </c>
      <c r="D124" s="180">
        <f>+CRC조합!L88</f>
        <v>512842466</v>
      </c>
      <c r="E124" s="178"/>
    </row>
    <row r="125" spans="1:5">
      <c r="A125" s="183"/>
      <c r="B125" s="183"/>
      <c r="C125" s="184">
        <f>+CRC조합!D93</f>
        <v>39958</v>
      </c>
      <c r="D125" s="180">
        <f>+-CRC조합!G93</f>
        <v>-500000000</v>
      </c>
      <c r="E125" s="178"/>
    </row>
    <row r="126" spans="1:5">
      <c r="A126" s="183"/>
      <c r="B126" s="183"/>
      <c r="C126" s="184">
        <f>+CRC조합!I93</f>
        <v>39972</v>
      </c>
      <c r="D126" s="180">
        <f>+CRC조합!L93</f>
        <v>138080951</v>
      </c>
      <c r="E126" s="178"/>
    </row>
    <row r="127" spans="1:5">
      <c r="A127" s="183"/>
      <c r="B127" s="183"/>
      <c r="C127" s="184">
        <f>+CRC조합!I94</f>
        <v>39973</v>
      </c>
      <c r="D127" s="180">
        <f>+CRC조합!L94</f>
        <v>134277335</v>
      </c>
      <c r="E127" s="178"/>
    </row>
    <row r="128" spans="1:5">
      <c r="A128" s="183"/>
      <c r="B128" s="183"/>
      <c r="C128" s="184">
        <f>+CRC조합!I95</f>
        <v>39975</v>
      </c>
      <c r="D128" s="180">
        <f>+CRC조합!L95</f>
        <v>171441779</v>
      </c>
      <c r="E128" s="178"/>
    </row>
    <row r="129" spans="1:5">
      <c r="A129" s="183"/>
      <c r="B129" s="183"/>
      <c r="C129" s="184">
        <f>+CRC조합!I96</f>
        <v>39976</v>
      </c>
      <c r="D129" s="180">
        <f>+CRC조합!L96</f>
        <v>148481671</v>
      </c>
      <c r="E129" s="178"/>
    </row>
    <row r="130" spans="1:5">
      <c r="A130" s="183"/>
      <c r="B130" s="183"/>
      <c r="C130" s="184">
        <f>+CRC조합!I97</f>
        <v>39979</v>
      </c>
      <c r="D130" s="180">
        <f>+CRC조합!L97</f>
        <v>133339355</v>
      </c>
      <c r="E130" s="178"/>
    </row>
    <row r="131" spans="1:5">
      <c r="A131" s="183"/>
      <c r="B131" s="183"/>
      <c r="C131" s="184">
        <f>+CRC조합!I98</f>
        <v>39980</v>
      </c>
      <c r="D131" s="180">
        <f>+CRC조합!L98</f>
        <v>134277329</v>
      </c>
      <c r="E131" s="178"/>
    </row>
    <row r="132" spans="1:5">
      <c r="A132" s="183"/>
      <c r="B132" s="183"/>
      <c r="C132" s="184">
        <f>+CRC조합!I99</f>
        <v>39981</v>
      </c>
      <c r="D132" s="180">
        <f>+CRC조합!L99</f>
        <v>130698916</v>
      </c>
      <c r="E132" s="178"/>
    </row>
    <row r="133" spans="1:5">
      <c r="A133" s="183"/>
      <c r="B133" s="183"/>
      <c r="C133" s="184">
        <f>+CRC조합!I100</f>
        <v>39982</v>
      </c>
      <c r="D133" s="180">
        <f>+CRC조합!L100</f>
        <v>137433355</v>
      </c>
      <c r="E133" s="178"/>
    </row>
    <row r="134" spans="1:5">
      <c r="A134" s="183"/>
      <c r="B134" s="183"/>
      <c r="C134" s="184">
        <f>+CRC조합!I101</f>
        <v>39983</v>
      </c>
      <c r="D134" s="180">
        <f>+CRC조합!L101</f>
        <v>62400580</v>
      </c>
      <c r="E134" s="178"/>
    </row>
    <row r="135" spans="1:5">
      <c r="A135" s="183"/>
      <c r="B135" s="183"/>
      <c r="C135" s="184">
        <f>+CRC조합!I102</f>
        <v>39986</v>
      </c>
      <c r="D135" s="180">
        <f>+CRC조합!L102</f>
        <v>128392676</v>
      </c>
      <c r="E135" s="178"/>
    </row>
    <row r="136" spans="1:5">
      <c r="A136" s="183"/>
      <c r="B136" s="183"/>
      <c r="C136" s="184">
        <f>+CRC조합!I103</f>
        <v>39987</v>
      </c>
      <c r="D136" s="180">
        <f>+CRC조합!L103</f>
        <v>128036027</v>
      </c>
      <c r="E136" s="178"/>
    </row>
    <row r="137" spans="1:5">
      <c r="A137" s="183"/>
      <c r="B137" s="183"/>
      <c r="C137" s="184">
        <f>+CRC조합!I104</f>
        <v>39988</v>
      </c>
      <c r="D137" s="180">
        <f>+CRC조합!L104</f>
        <v>63826875</v>
      </c>
      <c r="E137" s="178"/>
    </row>
    <row r="138" spans="1:5">
      <c r="A138" s="183"/>
      <c r="B138" s="183"/>
      <c r="C138" s="184">
        <f>+CRC조합!I105</f>
        <v>39989</v>
      </c>
      <c r="D138" s="180">
        <f>+CRC조합!L105</f>
        <v>62044004</v>
      </c>
      <c r="E138" s="178"/>
    </row>
    <row r="139" spans="1:5">
      <c r="A139" s="183"/>
      <c r="B139" s="183"/>
      <c r="C139" s="184">
        <f>+CRC조합!I106</f>
        <v>39990</v>
      </c>
      <c r="D139" s="180">
        <f>+CRC조합!L106</f>
        <v>120368125</v>
      </c>
      <c r="E139" s="178"/>
    </row>
    <row r="140" spans="1:5">
      <c r="A140" s="183"/>
      <c r="B140" s="183"/>
      <c r="C140" s="184">
        <f>+CRC조합!I107</f>
        <v>39993</v>
      </c>
      <c r="D140" s="180">
        <f>+CRC조합!L107</f>
        <v>121337098</v>
      </c>
      <c r="E140" s="178"/>
    </row>
    <row r="141" spans="1:5">
      <c r="A141" s="183"/>
      <c r="B141" s="183"/>
      <c r="C141" s="184">
        <f>+CRC조합!I108</f>
        <v>39994</v>
      </c>
      <c r="D141" s="180">
        <f>+CRC조합!L108</f>
        <v>123911376</v>
      </c>
      <c r="E141" s="178"/>
    </row>
    <row r="142" spans="1:5">
      <c r="A142" s="183"/>
      <c r="B142" s="183"/>
      <c r="C142" s="184">
        <f>+CRC조합!I109</f>
        <v>39995</v>
      </c>
      <c r="D142" s="180">
        <f>+CRC조합!L109</f>
        <v>122456500</v>
      </c>
      <c r="E142" s="178"/>
    </row>
    <row r="143" spans="1:5">
      <c r="A143" s="183"/>
      <c r="B143" s="183"/>
      <c r="C143" s="184">
        <f>+CRC조합!I110</f>
        <v>39996</v>
      </c>
      <c r="D143" s="180">
        <f>+CRC조합!L110</f>
        <v>283820720</v>
      </c>
      <c r="E143" s="178"/>
    </row>
    <row r="144" spans="1:5">
      <c r="A144" s="183"/>
      <c r="B144" s="183"/>
      <c r="C144" s="184">
        <f>+CRC조합!I111</f>
        <v>39997</v>
      </c>
      <c r="D144" s="180">
        <f>+CRC조합!L111</f>
        <v>120189816</v>
      </c>
      <c r="E144" s="178"/>
    </row>
    <row r="145" spans="1:6">
      <c r="A145" s="183"/>
      <c r="B145" s="183"/>
      <c r="C145" s="184">
        <f>+CRC조합!I112</f>
        <v>40000</v>
      </c>
      <c r="D145" s="180">
        <f>+CRC조합!L112</f>
        <v>120724772</v>
      </c>
      <c r="E145" s="178"/>
    </row>
    <row r="146" spans="1:6">
      <c r="A146" s="183"/>
      <c r="B146" s="183"/>
      <c r="C146" s="184">
        <f>+CRC조합!I113</f>
        <v>40001</v>
      </c>
      <c r="D146" s="180">
        <f>+CRC조합!L113</f>
        <v>121382630</v>
      </c>
      <c r="E146" s="178"/>
    </row>
    <row r="147" spans="1:6">
      <c r="A147" s="183"/>
      <c r="B147" s="183"/>
      <c r="C147" s="184">
        <f>+CRC조합!I114</f>
        <v>40002</v>
      </c>
      <c r="D147" s="180">
        <f>+CRC조합!L114</f>
        <v>51527072</v>
      </c>
      <c r="E147" s="178">
        <f>SUM(D97:D147)</f>
        <v>6389253946</v>
      </c>
      <c r="F147" s="185">
        <f>+XIRR(D97:D147,C97:C147)</f>
        <v>7.712694215774536</v>
      </c>
    </row>
    <row r="148" spans="1:6">
      <c r="E148" s="178"/>
    </row>
    <row r="149" spans="1:6">
      <c r="E149" s="178"/>
    </row>
    <row r="150" spans="1:6">
      <c r="C150" s="182">
        <v>39443</v>
      </c>
      <c r="D150" s="177" t="e">
        <f>-+E14</f>
        <v>#REF!</v>
      </c>
      <c r="E150" s="178"/>
    </row>
    <row r="151" spans="1:6">
      <c r="C151" s="182">
        <v>40101</v>
      </c>
      <c r="D151" s="177">
        <f>F14</f>
        <v>33062960000</v>
      </c>
      <c r="E151" s="177" t="e">
        <f>SUM(D150:D151)</f>
        <v>#REF!</v>
      </c>
      <c r="F151" s="185" t="e">
        <f>+XIRR(D150:D151,C150:C151)</f>
        <v>#REF!</v>
      </c>
    </row>
    <row r="154" spans="1:6">
      <c r="A154" s="176" t="s">
        <v>661</v>
      </c>
      <c r="B154" s="176" t="s">
        <v>660</v>
      </c>
      <c r="C154" s="184">
        <v>39337</v>
      </c>
      <c r="D154" s="178">
        <v>4200000000</v>
      </c>
    </row>
    <row r="155" spans="1:6">
      <c r="B155" s="176" t="s">
        <v>660</v>
      </c>
      <c r="C155" s="184">
        <v>39337</v>
      </c>
      <c r="D155" s="178">
        <v>4480000000</v>
      </c>
    </row>
    <row r="156" spans="1:6">
      <c r="B156" s="176" t="s">
        <v>660</v>
      </c>
      <c r="C156" s="184">
        <v>39337</v>
      </c>
      <c r="D156" s="178">
        <v>5320000000</v>
      </c>
    </row>
    <row r="157" spans="1:6">
      <c r="C157" s="184"/>
      <c r="D157" s="178"/>
    </row>
    <row r="158" spans="1:6">
      <c r="C158" s="184"/>
      <c r="D158" s="178"/>
    </row>
    <row r="159" spans="1:6">
      <c r="A159" s="176" t="s">
        <v>661</v>
      </c>
      <c r="B159" s="176" t="s">
        <v>299</v>
      </c>
      <c r="C159" s="184">
        <v>39444</v>
      </c>
      <c r="D159" s="178">
        <v>11330000000</v>
      </c>
    </row>
    <row r="160" spans="1:6">
      <c r="B160" s="176" t="s">
        <v>299</v>
      </c>
      <c r="C160" s="184">
        <v>39443</v>
      </c>
      <c r="D160" s="178">
        <v>8670000000</v>
      </c>
    </row>
    <row r="161" spans="1:6">
      <c r="C161" s="184"/>
      <c r="D161" s="178"/>
    </row>
    <row r="162" spans="1:6">
      <c r="C162" s="184"/>
      <c r="D162" s="178"/>
    </row>
    <row r="163" spans="1:6">
      <c r="A163" s="211" t="s">
        <v>548</v>
      </c>
      <c r="B163" s="214" t="s">
        <v>675</v>
      </c>
      <c r="C163" s="215">
        <v>38551</v>
      </c>
      <c r="D163" s="218">
        <v>-7500000000</v>
      </c>
    </row>
    <row r="164" spans="1:6">
      <c r="A164" s="212"/>
      <c r="B164" s="179"/>
      <c r="C164" s="181">
        <v>38555</v>
      </c>
      <c r="D164" s="219">
        <v>-4500000000</v>
      </c>
    </row>
    <row r="165" spans="1:6">
      <c r="A165" s="212"/>
      <c r="B165" s="179"/>
      <c r="C165" s="181">
        <v>39021</v>
      </c>
      <c r="D165" s="219">
        <v>7500000000</v>
      </c>
    </row>
    <row r="166" spans="1:6">
      <c r="A166" s="212"/>
      <c r="B166" s="179"/>
      <c r="C166" s="181">
        <v>39021</v>
      </c>
      <c r="D166" s="219">
        <v>4500000000</v>
      </c>
    </row>
    <row r="167" spans="1:6">
      <c r="A167" s="212"/>
      <c r="B167" s="179" t="s">
        <v>676</v>
      </c>
      <c r="C167" s="181">
        <v>38558</v>
      </c>
      <c r="D167" s="219">
        <v>-13000000000</v>
      </c>
    </row>
    <row r="168" spans="1:6">
      <c r="A168" s="212"/>
      <c r="B168" s="179"/>
      <c r="C168" s="181">
        <v>38946</v>
      </c>
      <c r="D168" s="219">
        <v>1249662751</v>
      </c>
    </row>
    <row r="169" spans="1:6">
      <c r="A169" s="213"/>
      <c r="B169" s="216"/>
      <c r="C169" s="217">
        <v>39021</v>
      </c>
      <c r="D169" s="220">
        <v>17876000000</v>
      </c>
      <c r="E169" s="177">
        <f>SUM(D163:D169)</f>
        <v>6125662751</v>
      </c>
      <c r="F169" s="185">
        <f>+XIRR(D163:D169,C163:C169)</f>
        <v>0.18877885937690736</v>
      </c>
    </row>
    <row r="170" spans="1:6">
      <c r="C170" s="184"/>
    </row>
    <row r="171" spans="1:6">
      <c r="A171" s="176" t="s">
        <v>549</v>
      </c>
      <c r="B171" s="176" t="s">
        <v>295</v>
      </c>
      <c r="C171" s="184">
        <v>38861</v>
      </c>
      <c r="D171" s="178">
        <v>-4000000000</v>
      </c>
    </row>
    <row r="172" spans="1:6">
      <c r="C172" s="184">
        <v>39275</v>
      </c>
      <c r="D172" s="178">
        <v>4959680000</v>
      </c>
    </row>
    <row r="173" spans="1:6">
      <c r="C173" s="184">
        <v>39282</v>
      </c>
      <c r="D173" s="178">
        <v>2000</v>
      </c>
    </row>
    <row r="174" spans="1:6">
      <c r="C174" s="184">
        <v>39282</v>
      </c>
      <c r="D174" s="178">
        <v>128863090</v>
      </c>
    </row>
    <row r="175" spans="1:6">
      <c r="C175" s="184">
        <v>39283</v>
      </c>
      <c r="D175" s="178">
        <v>171909050</v>
      </c>
    </row>
    <row r="176" spans="1:6">
      <c r="C176" s="184">
        <v>39288</v>
      </c>
      <c r="D176" s="178">
        <v>38358600</v>
      </c>
    </row>
    <row r="177" spans="3:4">
      <c r="C177" s="184">
        <v>39289</v>
      </c>
      <c r="D177" s="178">
        <v>730000</v>
      </c>
    </row>
    <row r="178" spans="3:4">
      <c r="C178" s="184">
        <v>39290</v>
      </c>
      <c r="D178" s="178">
        <v>18428950</v>
      </c>
    </row>
    <row r="179" spans="3:4">
      <c r="C179" s="184">
        <v>39318</v>
      </c>
      <c r="D179" s="178">
        <v>121294790</v>
      </c>
    </row>
    <row r="180" spans="3:4">
      <c r="C180" s="184">
        <v>39321</v>
      </c>
      <c r="D180" s="178">
        <v>393091790</v>
      </c>
    </row>
    <row r="181" spans="3:4">
      <c r="C181" s="184">
        <v>39323</v>
      </c>
      <c r="D181" s="178">
        <v>55853600</v>
      </c>
    </row>
    <row r="182" spans="3:4">
      <c r="C182" s="184">
        <v>39346</v>
      </c>
      <c r="D182" s="178">
        <v>362108310</v>
      </c>
    </row>
    <row r="183" spans="3:4">
      <c r="C183" s="184">
        <v>39352</v>
      </c>
      <c r="D183" s="178">
        <v>1004200</v>
      </c>
    </row>
    <row r="184" spans="3:4">
      <c r="C184" s="184">
        <v>39353</v>
      </c>
      <c r="D184" s="178">
        <v>2844600</v>
      </c>
    </row>
    <row r="185" spans="3:4">
      <c r="C185" s="184">
        <v>39356</v>
      </c>
      <c r="D185" s="178">
        <v>127811020</v>
      </c>
    </row>
    <row r="186" spans="3:4">
      <c r="C186" s="184">
        <v>39357</v>
      </c>
      <c r="D186" s="178">
        <v>16360000</v>
      </c>
    </row>
    <row r="187" spans="3:4">
      <c r="C187" s="184">
        <v>39371</v>
      </c>
      <c r="D187" s="178">
        <v>6500000</v>
      </c>
    </row>
    <row r="188" spans="3:4">
      <c r="C188" s="184">
        <v>39379</v>
      </c>
      <c r="D188" s="178">
        <v>137951730</v>
      </c>
    </row>
    <row r="189" spans="3:4">
      <c r="C189" s="184">
        <v>39380</v>
      </c>
      <c r="D189" s="178">
        <v>65437500</v>
      </c>
    </row>
    <row r="190" spans="3:4">
      <c r="C190" s="184">
        <v>39381</v>
      </c>
      <c r="D190" s="178">
        <v>2670000</v>
      </c>
    </row>
    <row r="191" spans="3:4">
      <c r="C191" s="184">
        <v>39385</v>
      </c>
      <c r="D191" s="178">
        <v>40206420</v>
      </c>
    </row>
    <row r="192" spans="3:4">
      <c r="C192" s="184">
        <v>39490</v>
      </c>
      <c r="D192" s="178">
        <v>73603010</v>
      </c>
    </row>
    <row r="193" spans="1:6">
      <c r="C193" s="184">
        <v>39506</v>
      </c>
      <c r="D193" s="178">
        <v>137687505</v>
      </c>
    </row>
    <row r="194" spans="1:6">
      <c r="C194" s="184">
        <v>39560</v>
      </c>
      <c r="D194" s="178">
        <v>300000000</v>
      </c>
      <c r="E194" s="177">
        <f>SUM(D171:D194)</f>
        <v>3162396165</v>
      </c>
      <c r="F194" s="185">
        <f>+XIRR(D171:D194,C171:C194)</f>
        <v>0.61662984490394612</v>
      </c>
    </row>
    <row r="195" spans="1:6">
      <c r="C195" s="184"/>
    </row>
    <row r="196" spans="1:6">
      <c r="C196" s="184"/>
    </row>
    <row r="197" spans="1:6">
      <c r="A197" s="20" t="s">
        <v>546</v>
      </c>
      <c r="B197" s="25" t="s">
        <v>285</v>
      </c>
      <c r="C197" s="44">
        <v>38015</v>
      </c>
      <c r="D197" s="25">
        <v>-6100000000</v>
      </c>
      <c r="E197" s="172"/>
    </row>
    <row r="198" spans="1:6">
      <c r="A198" s="14"/>
      <c r="B198" s="31"/>
      <c r="C198" s="45">
        <v>38016</v>
      </c>
      <c r="D198" s="31">
        <v>-345496706</v>
      </c>
      <c r="E198" s="173"/>
    </row>
    <row r="199" spans="1:6">
      <c r="A199" s="14"/>
      <c r="B199" s="31"/>
      <c r="C199" s="45">
        <v>38021</v>
      </c>
      <c r="D199" s="31">
        <v>-31913480</v>
      </c>
      <c r="E199" s="173"/>
    </row>
    <row r="200" spans="1:6">
      <c r="A200" s="14"/>
      <c r="B200" s="31"/>
      <c r="C200" s="45">
        <v>38036</v>
      </c>
      <c r="D200" s="31">
        <v>-50000000</v>
      </c>
      <c r="E200" s="173"/>
    </row>
    <row r="201" spans="1:6">
      <c r="A201" s="14"/>
      <c r="B201" s="31"/>
      <c r="C201" s="45">
        <v>38187</v>
      </c>
      <c r="D201" s="31">
        <v>-350000000</v>
      </c>
      <c r="E201" s="173"/>
    </row>
    <row r="202" spans="1:6">
      <c r="A202" s="14"/>
      <c r="B202" s="31"/>
      <c r="C202" s="45">
        <v>38198</v>
      </c>
      <c r="D202" s="31">
        <v>-181200000</v>
      </c>
      <c r="E202" s="173"/>
    </row>
    <row r="203" spans="1:6">
      <c r="A203" s="14"/>
      <c r="B203" s="31"/>
      <c r="C203" s="45">
        <v>38212</v>
      </c>
      <c r="D203" s="31">
        <v>-30000000</v>
      </c>
      <c r="E203" s="173"/>
    </row>
    <row r="204" spans="1:6">
      <c r="A204" s="14"/>
      <c r="B204" s="31"/>
      <c r="C204" s="45">
        <v>38077</v>
      </c>
      <c r="D204" s="31">
        <v>311667299</v>
      </c>
      <c r="E204" s="173"/>
    </row>
    <row r="205" spans="1:6">
      <c r="A205" s="14"/>
      <c r="B205" s="31"/>
      <c r="C205" s="45">
        <v>38665</v>
      </c>
      <c r="D205" s="31">
        <v>4473006601</v>
      </c>
      <c r="E205" s="173"/>
    </row>
    <row r="206" spans="1:6">
      <c r="A206" s="11"/>
      <c r="B206" s="36"/>
      <c r="C206" s="46">
        <v>38776</v>
      </c>
      <c r="D206" s="36">
        <v>5773112605</v>
      </c>
      <c r="E206" s="11">
        <f>SUM(D197:D206)</f>
        <v>3469176319</v>
      </c>
      <c r="F206" s="185">
        <f>+XIRR(D197:D206,C197:C206)</f>
        <v>0.24043567776679992</v>
      </c>
    </row>
    <row r="207" spans="1:6">
      <c r="C207" s="184"/>
    </row>
    <row r="208" spans="1:6">
      <c r="C208" s="184"/>
    </row>
    <row r="209" spans="1:6">
      <c r="A209" s="221" t="s">
        <v>677</v>
      </c>
      <c r="B209" s="221" t="s">
        <v>678</v>
      </c>
      <c r="C209" s="222">
        <v>38812</v>
      </c>
      <c r="D209" s="223">
        <v>-50000000</v>
      </c>
      <c r="E209" s="221"/>
    </row>
    <row r="210" spans="1:6">
      <c r="A210" s="224"/>
      <c r="B210" s="224"/>
      <c r="C210" s="225">
        <v>39388</v>
      </c>
      <c r="D210" s="226">
        <v>50000000</v>
      </c>
      <c r="E210" s="224"/>
    </row>
    <row r="211" spans="1:6">
      <c r="A211" s="224"/>
      <c r="B211" s="224" t="s">
        <v>679</v>
      </c>
      <c r="C211" s="225">
        <v>38818</v>
      </c>
      <c r="D211" s="226">
        <v>-1254536986</v>
      </c>
      <c r="E211" s="224"/>
    </row>
    <row r="212" spans="1:6">
      <c r="A212" s="224"/>
      <c r="B212" s="224"/>
      <c r="C212" s="225">
        <v>38897</v>
      </c>
      <c r="D212" s="226">
        <v>-1700000000</v>
      </c>
      <c r="E212" s="224"/>
    </row>
    <row r="213" spans="1:6">
      <c r="A213" s="224"/>
      <c r="B213" s="224"/>
      <c r="C213" s="225">
        <v>38959</v>
      </c>
      <c r="D213" s="226">
        <v>-1200000000</v>
      </c>
      <c r="E213" s="224"/>
    </row>
    <row r="214" spans="1:6">
      <c r="A214" s="224"/>
      <c r="B214" s="224"/>
      <c r="C214" s="225">
        <v>39059</v>
      </c>
      <c r="D214" s="226">
        <v>-30000000</v>
      </c>
      <c r="E214" s="224"/>
    </row>
    <row r="215" spans="1:6">
      <c r="A215" s="224"/>
      <c r="B215" s="224"/>
      <c r="C215" s="225">
        <v>39072</v>
      </c>
      <c r="D215" s="226">
        <v>-970000000</v>
      </c>
      <c r="E215" s="224"/>
    </row>
    <row r="216" spans="1:6">
      <c r="A216" s="224"/>
      <c r="B216" s="224"/>
      <c r="C216" s="225">
        <v>39141</v>
      </c>
      <c r="D216" s="226">
        <v>-2500000000</v>
      </c>
      <c r="E216" s="224"/>
    </row>
    <row r="217" spans="1:6">
      <c r="A217" s="224"/>
      <c r="B217" s="224"/>
      <c r="C217" s="225">
        <v>39171</v>
      </c>
      <c r="D217" s="226">
        <v>-2000000000</v>
      </c>
      <c r="E217" s="224"/>
    </row>
    <row r="218" spans="1:6">
      <c r="A218" s="224"/>
      <c r="B218" s="224"/>
      <c r="C218" s="225">
        <v>39231</v>
      </c>
      <c r="D218" s="226">
        <v>-295463014</v>
      </c>
      <c r="E218" s="224"/>
    </row>
    <row r="219" spans="1:6">
      <c r="A219" s="224"/>
      <c r="B219" s="224"/>
      <c r="C219" s="225">
        <v>39252</v>
      </c>
      <c r="D219" s="226">
        <v>10000000000</v>
      </c>
      <c r="E219" s="224"/>
    </row>
    <row r="220" spans="1:6">
      <c r="A220" s="227"/>
      <c r="B220" s="227"/>
      <c r="C220" s="228">
        <v>39388</v>
      </c>
      <c r="D220" s="199">
        <v>1149652174</v>
      </c>
      <c r="E220" s="229">
        <f>SUM(D209:D220)</f>
        <v>1199652174</v>
      </c>
      <c r="F220" s="185">
        <f>+XIRR(D209:D220,C209:C220)</f>
        <v>0.19395113587379459</v>
      </c>
    </row>
    <row r="221" spans="1:6">
      <c r="C221" s="184"/>
    </row>
    <row r="222" spans="1:6">
      <c r="C222" s="184"/>
    </row>
    <row r="223" spans="1:6">
      <c r="C223" s="184"/>
    </row>
    <row r="224" spans="1:6">
      <c r="C224" s="184"/>
    </row>
    <row r="225" spans="3:3">
      <c r="C225" s="184"/>
    </row>
    <row r="226" spans="3:3">
      <c r="C226" s="184"/>
    </row>
    <row r="227" spans="3:3">
      <c r="C227" s="184"/>
    </row>
    <row r="228" spans="3:3">
      <c r="C228" s="184"/>
    </row>
  </sheetData>
  <mergeCells count="2">
    <mergeCell ref="A1:I1"/>
    <mergeCell ref="A22:D22"/>
  </mergeCells>
  <phoneticPr fontId="2" type="noConversion"/>
  <pageMargins left="0.70866141732283472" right="0.32" top="0.68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23"/>
  <sheetViews>
    <sheetView workbookViewId="0">
      <selection activeCell="D38" sqref="D38"/>
    </sheetView>
  </sheetViews>
  <sheetFormatPr defaultRowHeight="16.5"/>
  <cols>
    <col min="4" max="4" width="11.125" bestFit="1" customWidth="1"/>
    <col min="5" max="5" width="9.375" bestFit="1" customWidth="1"/>
    <col min="7" max="7" width="12.875" bestFit="1" customWidth="1"/>
    <col min="12" max="13" width="12.875" bestFit="1" customWidth="1"/>
    <col min="14" max="14" width="10.5" bestFit="1" customWidth="1"/>
  </cols>
  <sheetData>
    <row r="6" spans="1:18" s="325" customFormat="1" ht="13.5">
      <c r="A6" s="344" t="s">
        <v>815</v>
      </c>
      <c r="B6" s="327" t="s">
        <v>812</v>
      </c>
      <c r="C6" s="327" t="s">
        <v>808</v>
      </c>
      <c r="D6" s="339">
        <v>40175</v>
      </c>
      <c r="E6" s="327"/>
      <c r="F6" s="327"/>
      <c r="G6" s="340">
        <v>1700000000</v>
      </c>
      <c r="H6" s="345" t="s">
        <v>807</v>
      </c>
      <c r="I6" s="339">
        <v>40289</v>
      </c>
      <c r="J6" s="327"/>
      <c r="K6" s="327"/>
      <c r="L6" s="340">
        <v>206246575</v>
      </c>
      <c r="M6" s="340">
        <v>200000000</v>
      </c>
      <c r="N6" s="340">
        <f t="shared" ref="N6:N12" si="0">+L6-M6</f>
        <v>6246575</v>
      </c>
      <c r="O6" s="328" t="s">
        <v>816</v>
      </c>
      <c r="P6" s="340"/>
      <c r="Q6" s="340"/>
      <c r="R6" s="346"/>
    </row>
    <row r="7" spans="1:18" s="325" customFormat="1" ht="13.5">
      <c r="A7" s="344" t="s">
        <v>815</v>
      </c>
      <c r="B7" s="329" t="s">
        <v>812</v>
      </c>
      <c r="C7" s="329" t="s">
        <v>808</v>
      </c>
      <c r="D7" s="332"/>
      <c r="E7" s="329"/>
      <c r="F7" s="329"/>
      <c r="G7" s="333"/>
      <c r="H7" s="347"/>
      <c r="I7" s="332">
        <v>40297</v>
      </c>
      <c r="J7" s="329"/>
      <c r="K7" s="329"/>
      <c r="L7" s="333">
        <v>1500000000</v>
      </c>
      <c r="M7" s="333">
        <v>1500000000</v>
      </c>
      <c r="N7" s="333">
        <f t="shared" si="0"/>
        <v>0</v>
      </c>
      <c r="O7" s="330" t="s">
        <v>813</v>
      </c>
      <c r="P7" s="333"/>
      <c r="Q7" s="333"/>
      <c r="R7" s="345"/>
    </row>
    <row r="8" spans="1:18" s="325" customFormat="1" ht="13.5">
      <c r="A8" s="344" t="s">
        <v>815</v>
      </c>
      <c r="B8" s="334" t="s">
        <v>812</v>
      </c>
      <c r="C8" s="334" t="s">
        <v>808</v>
      </c>
      <c r="D8" s="335"/>
      <c r="E8" s="334"/>
      <c r="F8" s="334"/>
      <c r="G8" s="336"/>
      <c r="H8" s="348"/>
      <c r="I8" s="335">
        <v>40653</v>
      </c>
      <c r="J8" s="334"/>
      <c r="K8" s="334"/>
      <c r="L8" s="336">
        <v>50136986</v>
      </c>
      <c r="M8" s="336">
        <v>0</v>
      </c>
      <c r="N8" s="336">
        <f t="shared" si="0"/>
        <v>50136986</v>
      </c>
      <c r="O8" s="337" t="s">
        <v>814</v>
      </c>
      <c r="P8" s="336">
        <f>+G6-SUM(M6:M8)</f>
        <v>0</v>
      </c>
      <c r="Q8" s="336"/>
      <c r="R8" s="348"/>
    </row>
    <row r="9" spans="1:18" s="325" customFormat="1" ht="13.5">
      <c r="A9" s="326" t="s">
        <v>505</v>
      </c>
      <c r="B9" s="327" t="s">
        <v>812</v>
      </c>
      <c r="C9" s="327" t="s">
        <v>808</v>
      </c>
      <c r="D9" s="339">
        <v>40175</v>
      </c>
      <c r="E9" s="340"/>
      <c r="F9" s="340"/>
      <c r="G9" s="340">
        <v>800000000</v>
      </c>
      <c r="H9" s="328" t="s">
        <v>807</v>
      </c>
      <c r="I9" s="342">
        <v>40297</v>
      </c>
      <c r="J9" s="340"/>
      <c r="K9" s="340"/>
      <c r="L9" s="340">
        <v>1000000000</v>
      </c>
      <c r="M9" s="340">
        <v>1000000000</v>
      </c>
      <c r="N9" s="340">
        <f t="shared" si="0"/>
        <v>0</v>
      </c>
      <c r="O9" s="328" t="s">
        <v>813</v>
      </c>
      <c r="P9" s="340"/>
      <c r="Q9" s="338"/>
      <c r="R9" s="343"/>
    </row>
    <row r="10" spans="1:18" s="325" customFormat="1" ht="13.5">
      <c r="A10" s="326" t="s">
        <v>505</v>
      </c>
      <c r="B10" s="334" t="s">
        <v>812</v>
      </c>
      <c r="C10" s="334" t="s">
        <v>808</v>
      </c>
      <c r="D10" s="335">
        <v>40289</v>
      </c>
      <c r="E10" s="336"/>
      <c r="F10" s="336"/>
      <c r="G10" s="336">
        <v>200000000</v>
      </c>
      <c r="H10" s="337" t="s">
        <v>807</v>
      </c>
      <c r="I10" s="335">
        <v>40653</v>
      </c>
      <c r="J10" s="336"/>
      <c r="K10" s="336"/>
      <c r="L10" s="336">
        <v>27178082</v>
      </c>
      <c r="M10" s="336"/>
      <c r="N10" s="336">
        <f t="shared" si="0"/>
        <v>27178082</v>
      </c>
      <c r="O10" s="337" t="s">
        <v>814</v>
      </c>
      <c r="P10" s="336">
        <f>+G9+G10-M9</f>
        <v>0</v>
      </c>
      <c r="Q10" s="323"/>
      <c r="R10" s="324"/>
    </row>
    <row r="11" spans="1:18" s="285" customFormat="1" ht="13.5">
      <c r="A11" s="290" t="s">
        <v>509</v>
      </c>
      <c r="B11" s="327" t="s">
        <v>807</v>
      </c>
      <c r="C11" s="327" t="s">
        <v>808</v>
      </c>
      <c r="D11" s="339">
        <v>40175</v>
      </c>
      <c r="E11" s="340"/>
      <c r="F11" s="340"/>
      <c r="G11" s="340">
        <v>2500000000</v>
      </c>
      <c r="H11" s="328" t="s">
        <v>809</v>
      </c>
      <c r="I11" s="108">
        <v>40294</v>
      </c>
      <c r="J11" s="288"/>
      <c r="K11" s="288"/>
      <c r="L11" s="288">
        <v>2500000000</v>
      </c>
      <c r="M11" s="288">
        <v>2500000000</v>
      </c>
      <c r="N11" s="288">
        <f t="shared" si="0"/>
        <v>0</v>
      </c>
      <c r="O11" s="300" t="s">
        <v>797</v>
      </c>
      <c r="P11" s="288"/>
      <c r="Q11" s="287"/>
      <c r="R11" s="286"/>
    </row>
    <row r="12" spans="1:18" s="285" customFormat="1" ht="13.5">
      <c r="A12" s="290" t="s">
        <v>509</v>
      </c>
      <c r="B12" s="334" t="s">
        <v>809</v>
      </c>
      <c r="C12" s="334" t="s">
        <v>810</v>
      </c>
      <c r="D12" s="335"/>
      <c r="E12" s="336"/>
      <c r="F12" s="336"/>
      <c r="G12" s="336"/>
      <c r="H12" s="337"/>
      <c r="I12" s="112">
        <v>40653</v>
      </c>
      <c r="J12" s="302"/>
      <c r="K12" s="302"/>
      <c r="L12" s="302">
        <v>81506849</v>
      </c>
      <c r="M12" s="302">
        <v>0</v>
      </c>
      <c r="N12" s="302">
        <f t="shared" si="0"/>
        <v>81506849</v>
      </c>
      <c r="O12" s="301" t="s">
        <v>792</v>
      </c>
      <c r="P12" s="302">
        <f>+G11-M11</f>
        <v>0</v>
      </c>
      <c r="Q12" s="287"/>
      <c r="R12" s="286"/>
    </row>
    <row r="15" spans="1:18" s="349" customFormat="1">
      <c r="A15" s="349" t="s">
        <v>818</v>
      </c>
      <c r="B15" s="350" t="s">
        <v>819</v>
      </c>
      <c r="C15" s="331" t="s">
        <v>820</v>
      </c>
      <c r="D15" s="349" t="s">
        <v>823</v>
      </c>
      <c r="E15" s="351" t="s">
        <v>824</v>
      </c>
      <c r="F15" s="349" t="s">
        <v>820</v>
      </c>
      <c r="G15" s="349" t="s">
        <v>825</v>
      </c>
    </row>
    <row r="16" spans="1:18">
      <c r="A16" t="s">
        <v>817</v>
      </c>
      <c r="B16" t="s">
        <v>811</v>
      </c>
      <c r="C16">
        <v>332743</v>
      </c>
      <c r="D16" s="341"/>
      <c r="E16" s="341"/>
      <c r="F16" s="341"/>
      <c r="G16" s="341" t="s">
        <v>826</v>
      </c>
    </row>
    <row r="17" spans="1:7">
      <c r="A17" t="s">
        <v>821</v>
      </c>
      <c r="B17" t="s">
        <v>811</v>
      </c>
      <c r="C17">
        <v>106478</v>
      </c>
      <c r="D17" s="341"/>
      <c r="E17" s="341"/>
      <c r="F17" s="341"/>
      <c r="G17" s="341"/>
    </row>
    <row r="18" spans="1:7">
      <c r="A18" t="s">
        <v>822</v>
      </c>
      <c r="B18" t="s">
        <v>811</v>
      </c>
      <c r="C18">
        <v>226265</v>
      </c>
      <c r="D18" s="341"/>
      <c r="E18" s="341"/>
      <c r="F18" s="341"/>
      <c r="G18" s="341"/>
    </row>
    <row r="19" spans="1:7">
      <c r="C19">
        <f>SUM(C16:C18)</f>
        <v>665486</v>
      </c>
      <c r="D19" s="341">
        <v>670000</v>
      </c>
      <c r="E19" s="341">
        <v>10000</v>
      </c>
      <c r="F19" s="341">
        <f>+D19/E19</f>
        <v>67</v>
      </c>
      <c r="G19" s="341"/>
    </row>
    <row r="20" spans="1:7">
      <c r="D20" s="341"/>
      <c r="E20" s="341"/>
      <c r="F20" s="341"/>
      <c r="G20" s="341"/>
    </row>
    <row r="21" spans="1:7">
      <c r="D21" s="341"/>
      <c r="E21" s="341"/>
      <c r="F21" s="341"/>
      <c r="G21" s="341"/>
    </row>
    <row r="22" spans="1:7">
      <c r="D22" s="341"/>
      <c r="E22" s="341"/>
      <c r="F22" s="341"/>
      <c r="G22" s="341"/>
    </row>
    <row r="23" spans="1:7">
      <c r="D23" s="341"/>
      <c r="E23" s="341"/>
      <c r="F23" s="341"/>
      <c r="G23" s="341"/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7"/>
  <sheetViews>
    <sheetView showGridLines="0" workbookViewId="0">
      <selection activeCell="L7" sqref="L7:L30"/>
    </sheetView>
  </sheetViews>
  <sheetFormatPr defaultRowHeight="13.5"/>
  <cols>
    <col min="1" max="1" width="9" style="176"/>
    <col min="2" max="2" width="13.375" style="176" customWidth="1"/>
    <col min="3" max="3" width="10.375" style="178" customWidth="1"/>
    <col min="4" max="4" width="11.875" style="593" customWidth="1"/>
    <col min="5" max="5" width="8.125" style="176" customWidth="1"/>
    <col min="6" max="6" width="12.125" style="176" customWidth="1"/>
    <col min="7" max="7" width="9.75" style="176" bestFit="1" customWidth="1"/>
    <col min="8" max="8" width="8.75" style="176" bestFit="1" customWidth="1"/>
    <col min="9" max="9" width="11.5" style="176" bestFit="1" customWidth="1"/>
    <col min="10" max="16384" width="9" style="176"/>
  </cols>
  <sheetData>
    <row r="2" spans="2:12">
      <c r="B2" s="592"/>
    </row>
    <row r="3" spans="2:12">
      <c r="B3" s="596" t="s">
        <v>1331</v>
      </c>
      <c r="C3" s="597" t="s">
        <v>644</v>
      </c>
      <c r="D3" s="598" t="s">
        <v>825</v>
      </c>
    </row>
    <row r="4" spans="2:12">
      <c r="B4" s="191">
        <v>39538</v>
      </c>
      <c r="C4" s="193">
        <v>117956164</v>
      </c>
      <c r="D4" s="189" t="s">
        <v>493</v>
      </c>
    </row>
    <row r="5" spans="2:12">
      <c r="B5" s="191">
        <v>39629</v>
      </c>
      <c r="C5" s="193">
        <v>112989589</v>
      </c>
      <c r="D5" s="189" t="s">
        <v>493</v>
      </c>
    </row>
    <row r="6" spans="2:12">
      <c r="B6" s="191">
        <v>39721</v>
      </c>
      <c r="C6" s="193">
        <v>114231232</v>
      </c>
      <c r="D6" s="189" t="s">
        <v>493</v>
      </c>
      <c r="E6" s="176" t="s">
        <v>446</v>
      </c>
    </row>
    <row r="7" spans="2:12">
      <c r="B7" s="191">
        <v>39813</v>
      </c>
      <c r="C7" s="193">
        <v>114231232</v>
      </c>
      <c r="D7" s="189" t="s">
        <v>493</v>
      </c>
      <c r="L7" s="718">
        <v>5242</v>
      </c>
    </row>
    <row r="8" spans="2:12">
      <c r="B8" s="191">
        <v>39903</v>
      </c>
      <c r="C8" s="193">
        <v>111747945</v>
      </c>
      <c r="D8" s="189" t="s">
        <v>493</v>
      </c>
      <c r="L8" s="718">
        <v>12026</v>
      </c>
    </row>
    <row r="9" spans="2:12">
      <c r="B9" s="191">
        <v>39994</v>
      </c>
      <c r="C9" s="193">
        <v>112989589</v>
      </c>
      <c r="D9" s="189" t="s">
        <v>493</v>
      </c>
      <c r="L9" s="718">
        <v>13363</v>
      </c>
    </row>
    <row r="10" spans="2:12">
      <c r="B10" s="191">
        <v>40086</v>
      </c>
      <c r="C10" s="193">
        <v>114231232</v>
      </c>
      <c r="D10" s="189" t="s">
        <v>493</v>
      </c>
      <c r="L10" s="718">
        <v>38796</v>
      </c>
    </row>
    <row r="11" spans="2:12">
      <c r="B11" s="191">
        <v>40178</v>
      </c>
      <c r="C11" s="193">
        <v>114231234</v>
      </c>
      <c r="D11" s="189" t="s">
        <v>493</v>
      </c>
      <c r="L11" s="718">
        <v>15164</v>
      </c>
    </row>
    <row r="12" spans="2:12">
      <c r="B12" s="191">
        <v>40268</v>
      </c>
      <c r="C12" s="193">
        <v>111747945</v>
      </c>
      <c r="D12" s="189" t="s">
        <v>493</v>
      </c>
      <c r="L12" s="718">
        <v>24300</v>
      </c>
    </row>
    <row r="13" spans="2:12">
      <c r="B13" s="191">
        <v>40274</v>
      </c>
      <c r="C13" s="193">
        <v>3083862437</v>
      </c>
      <c r="D13" s="189" t="s">
        <v>1333</v>
      </c>
      <c r="L13" s="718">
        <v>12847</v>
      </c>
    </row>
    <row r="14" spans="2:12">
      <c r="B14" s="191">
        <v>40274</v>
      </c>
      <c r="C14" s="193">
        <v>343562570</v>
      </c>
      <c r="D14" s="189" t="s">
        <v>1332</v>
      </c>
      <c r="L14" s="718">
        <v>5000</v>
      </c>
    </row>
    <row r="15" spans="2:12">
      <c r="B15" s="191">
        <v>40359</v>
      </c>
      <c r="C15" s="193">
        <v>86063562</v>
      </c>
      <c r="D15" s="189" t="s">
        <v>493</v>
      </c>
      <c r="L15" s="718">
        <v>10300</v>
      </c>
    </row>
    <row r="16" spans="2:12">
      <c r="B16" s="191">
        <v>40451</v>
      </c>
      <c r="C16" s="193">
        <v>80657534</v>
      </c>
      <c r="D16" s="189" t="s">
        <v>493</v>
      </c>
      <c r="L16" s="718">
        <v>9208</v>
      </c>
    </row>
    <row r="17" spans="2:12">
      <c r="B17" s="191">
        <v>40451</v>
      </c>
      <c r="C17" s="193">
        <v>747170590</v>
      </c>
      <c r="D17" s="189" t="s">
        <v>1333</v>
      </c>
      <c r="L17" s="718">
        <v>22399</v>
      </c>
    </row>
    <row r="18" spans="2:12">
      <c r="B18" s="191">
        <v>40451</v>
      </c>
      <c r="C18" s="193">
        <v>102134719</v>
      </c>
      <c r="D18" s="189" t="s">
        <v>1332</v>
      </c>
      <c r="L18" s="718">
        <v>20237</v>
      </c>
    </row>
    <row r="19" spans="2:12">
      <c r="B19" s="191">
        <v>40543</v>
      </c>
      <c r="C19" s="193">
        <v>80657534</v>
      </c>
      <c r="D19" s="189" t="s">
        <v>493</v>
      </c>
      <c r="L19" s="718">
        <v>15899</v>
      </c>
    </row>
    <row r="20" spans="2:12">
      <c r="B20" s="191">
        <v>40633</v>
      </c>
      <c r="C20" s="193">
        <v>78904110</v>
      </c>
      <c r="D20" s="189" t="s">
        <v>493</v>
      </c>
      <c r="L20" s="718">
        <v>47765</v>
      </c>
    </row>
    <row r="21" spans="2:12">
      <c r="B21" s="191">
        <v>40722</v>
      </c>
      <c r="C21" s="193">
        <v>4965881959</v>
      </c>
      <c r="D21" s="189" t="s">
        <v>1333</v>
      </c>
      <c r="L21" s="718">
        <v>47070</v>
      </c>
    </row>
    <row r="22" spans="2:12">
      <c r="B22" s="191">
        <v>40724</v>
      </c>
      <c r="C22" s="193">
        <v>39890411</v>
      </c>
      <c r="D22" s="189" t="s">
        <v>493</v>
      </c>
      <c r="L22" s="718">
        <v>43875</v>
      </c>
    </row>
    <row r="23" spans="2:12">
      <c r="B23" s="191">
        <v>40816</v>
      </c>
      <c r="C23" s="193">
        <v>40328767</v>
      </c>
      <c r="D23" s="189" t="s">
        <v>493</v>
      </c>
      <c r="L23" s="718">
        <v>70300</v>
      </c>
    </row>
    <row r="24" spans="2:12">
      <c r="B24" s="191">
        <v>40837</v>
      </c>
      <c r="C24" s="193">
        <v>2517814832</v>
      </c>
      <c r="D24" s="189" t="s">
        <v>1333</v>
      </c>
      <c r="L24" s="718">
        <v>152200</v>
      </c>
    </row>
    <row r="25" spans="2:12">
      <c r="B25" s="191">
        <v>40910</v>
      </c>
      <c r="C25" s="193">
        <v>20164384</v>
      </c>
      <c r="D25" s="189" t="s">
        <v>493</v>
      </c>
      <c r="L25" s="718">
        <v>14000</v>
      </c>
    </row>
    <row r="26" spans="2:12">
      <c r="B26" s="191">
        <v>41001</v>
      </c>
      <c r="C26" s="193">
        <v>19890710</v>
      </c>
      <c r="D26" s="189" t="s">
        <v>493</v>
      </c>
      <c r="L26" s="718">
        <v>40000</v>
      </c>
    </row>
    <row r="27" spans="2:12">
      <c r="B27" s="191">
        <v>41023</v>
      </c>
      <c r="C27" s="193">
        <v>2602347462</v>
      </c>
      <c r="D27" s="189" t="s">
        <v>493</v>
      </c>
      <c r="L27" s="718">
        <v>40000</v>
      </c>
    </row>
    <row r="28" spans="2:12">
      <c r="B28" s="189" t="s">
        <v>502</v>
      </c>
      <c r="C28" s="193">
        <f>SUM(C4:C27)</f>
        <v>15833687743</v>
      </c>
      <c r="D28" s="189"/>
      <c r="L28" s="718">
        <v>5000</v>
      </c>
    </row>
    <row r="29" spans="2:12">
      <c r="L29" s="718">
        <v>3061</v>
      </c>
    </row>
    <row r="30" spans="2:12">
      <c r="L30" s="718">
        <v>125000</v>
      </c>
    </row>
    <row r="31" spans="2:12">
      <c r="L31" s="719">
        <f>SUM(L7:L30)</f>
        <v>793052</v>
      </c>
    </row>
    <row r="32" spans="2:12">
      <c r="B32" s="189" t="s">
        <v>1334</v>
      </c>
      <c r="C32" s="196" t="s">
        <v>1338</v>
      </c>
      <c r="D32" s="189" t="s">
        <v>1337</v>
      </c>
      <c r="E32" s="189" t="s">
        <v>1261</v>
      </c>
      <c r="F32" s="189" t="s">
        <v>643</v>
      </c>
      <c r="G32" s="189" t="s">
        <v>1263</v>
      </c>
      <c r="H32" s="189" t="s">
        <v>1265</v>
      </c>
      <c r="I32" s="189" t="s">
        <v>644</v>
      </c>
    </row>
    <row r="33" spans="2:9">
      <c r="B33" s="189" t="s">
        <v>1336</v>
      </c>
      <c r="C33" s="599" t="e">
        <f>+VC조합!#REF!</f>
        <v>#REF!</v>
      </c>
      <c r="D33" s="198" t="e">
        <f>+VC조합!#REF!</f>
        <v>#REF!</v>
      </c>
      <c r="E33" s="192" t="e">
        <f>+VC조합!#REF!</f>
        <v>#REF!</v>
      </c>
      <c r="F33" s="192" t="e">
        <f>+VC조합!#REF!</f>
        <v>#REF!</v>
      </c>
      <c r="G33" s="595" t="e">
        <f>+VC조합!#REF!</f>
        <v>#REF!</v>
      </c>
      <c r="H33" s="192" t="e">
        <f>+VC조합!#REF!</f>
        <v>#REF!</v>
      </c>
      <c r="I33" s="193" t="e">
        <f>+VC조합!#REF!</f>
        <v>#REF!</v>
      </c>
    </row>
    <row r="34" spans="2:9">
      <c r="B34" s="189" t="s">
        <v>1335</v>
      </c>
      <c r="C34" s="599">
        <v>38826</v>
      </c>
      <c r="D34" s="196">
        <v>40000</v>
      </c>
      <c r="E34" s="193">
        <v>5000</v>
      </c>
      <c r="F34" s="193">
        <f>+D34*E34</f>
        <v>200000000</v>
      </c>
      <c r="G34" s="595">
        <v>40164</v>
      </c>
      <c r="H34" s="193">
        <f>+I34/D34</f>
        <v>5704.301375</v>
      </c>
      <c r="I34" s="193">
        <v>228172055</v>
      </c>
    </row>
    <row r="35" spans="2:9">
      <c r="D35" s="594"/>
      <c r="E35" s="178"/>
      <c r="F35" s="178"/>
      <c r="I35" s="178"/>
    </row>
    <row r="36" spans="2:9">
      <c r="D36" s="594"/>
      <c r="E36" s="178"/>
      <c r="F36" s="178"/>
    </row>
    <row r="37" spans="2:9">
      <c r="D37" s="594"/>
      <c r="E37" s="178"/>
      <c r="F37" s="178"/>
    </row>
  </sheetData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D13" sqref="D13"/>
    </sheetView>
  </sheetViews>
  <sheetFormatPr defaultRowHeight="16.5"/>
  <cols>
    <col min="3" max="3" width="9.25" bestFit="1" customWidth="1"/>
  </cols>
  <sheetData>
    <row r="1" spans="1:15">
      <c r="A1" s="706"/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</row>
    <row r="2" spans="1:15">
      <c r="A2" s="706"/>
      <c r="B2" s="706"/>
      <c r="C2" s="706"/>
      <c r="D2" s="706"/>
      <c r="E2" s="707"/>
      <c r="F2" s="707"/>
      <c r="G2" s="708"/>
      <c r="H2" s="707"/>
      <c r="I2" s="706"/>
      <c r="J2" s="706"/>
      <c r="K2" s="706"/>
      <c r="L2" s="706"/>
      <c r="M2" s="706"/>
      <c r="N2" s="706"/>
      <c r="O2" s="706"/>
    </row>
    <row r="3" spans="1:15">
      <c r="A3" s="706"/>
      <c r="B3" s="706"/>
      <c r="C3" s="715"/>
      <c r="D3" s="716"/>
      <c r="E3" s="716"/>
      <c r="F3" s="716"/>
      <c r="G3" s="715"/>
      <c r="H3" s="709"/>
      <c r="I3" s="706"/>
      <c r="J3" s="706"/>
      <c r="K3" s="706"/>
      <c r="L3" s="706"/>
      <c r="M3" s="706"/>
      <c r="N3" s="706"/>
      <c r="O3" s="706"/>
    </row>
    <row r="4" spans="1:15">
      <c r="A4" s="706"/>
      <c r="B4" s="706"/>
      <c r="C4" s="715"/>
      <c r="D4" s="715"/>
      <c r="E4" s="715"/>
      <c r="F4" s="715"/>
      <c r="G4" s="715"/>
      <c r="H4" s="709"/>
      <c r="I4" s="706"/>
      <c r="J4" s="706"/>
      <c r="K4" s="706"/>
      <c r="L4" s="706"/>
      <c r="M4" s="706"/>
      <c r="N4" s="706"/>
      <c r="O4" s="706"/>
    </row>
    <row r="5" spans="1:15">
      <c r="A5" s="706"/>
      <c r="B5" s="706"/>
      <c r="C5" s="715"/>
      <c r="D5" s="715"/>
      <c r="E5" s="715"/>
      <c r="F5" s="715"/>
      <c r="G5" s="715"/>
      <c r="H5" s="710"/>
      <c r="I5" s="706"/>
      <c r="J5" s="706"/>
      <c r="K5" s="706"/>
      <c r="L5" s="706"/>
      <c r="M5" s="706"/>
      <c r="N5" s="706"/>
      <c r="O5" s="706"/>
    </row>
    <row r="6" spans="1:15">
      <c r="A6" s="706"/>
      <c r="B6" s="706"/>
      <c r="C6" s="715"/>
      <c r="D6" s="716"/>
      <c r="E6" s="716"/>
      <c r="F6" s="716"/>
      <c r="G6" s="715"/>
      <c r="H6" s="709"/>
      <c r="I6" s="706"/>
      <c r="J6" s="706"/>
      <c r="K6" s="706"/>
      <c r="L6" s="706"/>
      <c r="M6" s="706"/>
      <c r="N6" s="706"/>
      <c r="O6" s="706"/>
    </row>
    <row r="7" spans="1:15">
      <c r="A7" s="706"/>
      <c r="B7" s="706"/>
      <c r="C7" s="715"/>
      <c r="D7" s="716"/>
      <c r="E7" s="716"/>
      <c r="F7" s="716"/>
      <c r="G7" s="715"/>
      <c r="H7" s="709"/>
      <c r="I7" s="706"/>
      <c r="J7" s="706"/>
      <c r="K7" s="706"/>
      <c r="L7" s="706"/>
      <c r="M7" s="706"/>
      <c r="N7" s="706"/>
      <c r="O7" s="706"/>
    </row>
    <row r="8" spans="1:15">
      <c r="A8" s="706"/>
      <c r="B8" s="706"/>
      <c r="C8" s="715"/>
      <c r="D8" s="715"/>
      <c r="E8" s="715"/>
      <c r="F8" s="715"/>
      <c r="G8" s="715"/>
      <c r="H8" s="709"/>
      <c r="I8" s="706"/>
      <c r="J8" s="706"/>
      <c r="K8" s="706"/>
      <c r="L8" s="706"/>
      <c r="M8" s="706"/>
      <c r="N8" s="706"/>
      <c r="O8" s="706"/>
    </row>
    <row r="9" spans="1:15">
      <c r="A9" s="706"/>
      <c r="B9" s="706"/>
      <c r="C9" s="715"/>
      <c r="D9" s="716"/>
      <c r="E9" s="716"/>
      <c r="F9" s="716"/>
      <c r="G9" s="715"/>
      <c r="H9" s="709"/>
      <c r="I9" s="706"/>
      <c r="J9" s="706"/>
      <c r="K9" s="706"/>
      <c r="L9" s="706"/>
      <c r="M9" s="706"/>
      <c r="N9" s="706"/>
      <c r="O9" s="706"/>
    </row>
    <row r="10" spans="1:15">
      <c r="A10" s="706"/>
      <c r="B10" s="706"/>
      <c r="C10" s="715"/>
      <c r="D10" s="715"/>
      <c r="E10" s="716"/>
      <c r="F10" s="715"/>
      <c r="G10" s="715"/>
      <c r="H10" s="709"/>
      <c r="I10" s="706"/>
      <c r="J10" s="706"/>
      <c r="K10" s="706"/>
      <c r="L10" s="706"/>
      <c r="M10" s="706"/>
      <c r="N10" s="706"/>
      <c r="O10" s="706"/>
    </row>
    <row r="11" spans="1:15">
      <c r="A11" s="706"/>
      <c r="B11" s="706"/>
      <c r="C11" s="715"/>
      <c r="D11" s="716"/>
      <c r="E11" s="716"/>
      <c r="F11" s="716"/>
      <c r="G11" s="715"/>
      <c r="H11" s="709"/>
      <c r="I11" s="706"/>
      <c r="J11" s="706"/>
      <c r="K11" s="706"/>
      <c r="L11" s="706"/>
      <c r="M11" s="706"/>
      <c r="N11" s="706"/>
      <c r="O11" s="706"/>
    </row>
    <row r="12" spans="1:15">
      <c r="A12" s="706"/>
      <c r="B12" s="706"/>
      <c r="C12" s="715"/>
      <c r="D12" s="716"/>
      <c r="E12" s="716"/>
      <c r="F12" s="716"/>
      <c r="G12" s="715"/>
      <c r="H12" s="709"/>
      <c r="I12" s="706"/>
      <c r="J12" s="706"/>
      <c r="K12" s="706"/>
      <c r="L12" s="706"/>
      <c r="M12" s="706"/>
      <c r="N12" s="706"/>
      <c r="O12" s="706"/>
    </row>
    <row r="13" spans="1:15">
      <c r="A13" s="706"/>
      <c r="B13" s="706"/>
      <c r="C13" s="715"/>
      <c r="D13" s="716"/>
      <c r="E13" s="716"/>
      <c r="F13" s="716"/>
      <c r="G13" s="715"/>
      <c r="H13" s="712"/>
      <c r="I13" s="713"/>
      <c r="J13" s="713"/>
      <c r="K13" s="713"/>
      <c r="L13" s="713"/>
      <c r="M13" s="713"/>
      <c r="N13" s="706"/>
      <c r="O13" s="706"/>
    </row>
    <row r="14" spans="1:15">
      <c r="A14" s="706"/>
      <c r="B14" s="706"/>
      <c r="C14" s="715"/>
      <c r="D14" s="715"/>
      <c r="E14" s="716"/>
      <c r="F14" s="715"/>
      <c r="G14" s="715"/>
      <c r="H14" s="712"/>
      <c r="I14" s="713"/>
      <c r="J14" s="713"/>
      <c r="K14" s="713"/>
      <c r="L14" s="713"/>
      <c r="M14" s="713"/>
      <c r="N14" s="706"/>
      <c r="O14" s="706"/>
    </row>
    <row r="15" spans="1:15">
      <c r="A15" s="706"/>
      <c r="B15" s="706"/>
      <c r="C15" s="715"/>
      <c r="D15" s="716"/>
      <c r="E15" s="716"/>
      <c r="F15" s="716"/>
      <c r="G15" s="715"/>
      <c r="H15" s="711"/>
      <c r="I15" s="713"/>
      <c r="J15" s="713"/>
      <c r="K15" s="713"/>
      <c r="L15" s="713"/>
      <c r="M15" s="713"/>
    </row>
    <row r="16" spans="1:15">
      <c r="A16" s="706"/>
      <c r="B16" s="706"/>
      <c r="C16" s="714"/>
      <c r="D16" s="714"/>
      <c r="E16" s="714"/>
      <c r="F16" s="714"/>
      <c r="G16" s="714"/>
      <c r="H16" s="713"/>
      <c r="I16" s="713"/>
      <c r="J16" s="713"/>
      <c r="K16" s="713"/>
      <c r="L16" s="713"/>
      <c r="M16" s="713"/>
    </row>
    <row r="17" spans="1:13">
      <c r="A17" s="706"/>
      <c r="B17" s="706"/>
      <c r="C17" s="706"/>
      <c r="D17" s="706"/>
      <c r="E17" s="713"/>
      <c r="F17" s="713"/>
      <c r="G17" s="713"/>
      <c r="H17" s="713"/>
      <c r="I17" s="713"/>
      <c r="J17" s="713"/>
      <c r="K17" s="713"/>
      <c r="L17" s="713"/>
      <c r="M17" s="713"/>
    </row>
    <row r="18" spans="1:13">
      <c r="A18" s="706"/>
      <c r="B18" s="706"/>
      <c r="C18" s="706"/>
      <c r="D18" s="706"/>
      <c r="E18" s="713"/>
      <c r="F18" s="713"/>
      <c r="G18" s="713"/>
      <c r="H18" s="713"/>
      <c r="I18" s="713"/>
      <c r="J18" s="713"/>
      <c r="K18" s="713"/>
      <c r="L18" s="713"/>
      <c r="M18" s="713"/>
    </row>
    <row r="19" spans="1:13">
      <c r="A19" s="706"/>
      <c r="B19" s="706"/>
      <c r="C19" s="706"/>
      <c r="D19" s="706"/>
      <c r="E19" s="713"/>
      <c r="F19" s="713"/>
      <c r="G19" s="713"/>
      <c r="H19" s="713"/>
      <c r="I19" s="713"/>
      <c r="J19" s="713"/>
      <c r="K19" s="713"/>
      <c r="L19" s="713"/>
      <c r="M19" s="713"/>
    </row>
    <row r="20" spans="1:13">
      <c r="A20" s="706"/>
      <c r="B20" s="706"/>
      <c r="C20" s="706"/>
      <c r="D20" s="706"/>
      <c r="E20" s="713"/>
      <c r="F20" s="713"/>
      <c r="G20" s="713"/>
      <c r="H20" s="713"/>
      <c r="I20" s="713"/>
      <c r="J20" s="713"/>
      <c r="K20" s="713"/>
      <c r="L20" s="713"/>
      <c r="M20" s="713"/>
    </row>
    <row r="21" spans="1:13">
      <c r="A21" s="706"/>
      <c r="B21" s="706"/>
      <c r="C21" s="706"/>
      <c r="D21" s="706"/>
      <c r="E21" s="713"/>
      <c r="F21" s="713"/>
      <c r="G21" s="713"/>
      <c r="H21" s="713"/>
      <c r="I21" s="713"/>
      <c r="J21" s="713"/>
      <c r="K21" s="713"/>
      <c r="L21" s="713"/>
      <c r="M21" s="713"/>
    </row>
    <row r="22" spans="1:13">
      <c r="B22" s="706"/>
      <c r="C22" s="706"/>
      <c r="D22" s="706"/>
      <c r="E22" s="706"/>
      <c r="F22" s="706"/>
      <c r="G22" s="706"/>
      <c r="H22" s="706"/>
      <c r="I22" s="706"/>
      <c r="J22" s="706"/>
      <c r="K22" s="706"/>
      <c r="L22" s="706"/>
      <c r="M22" s="706"/>
    </row>
    <row r="23" spans="1:13">
      <c r="B23" s="706"/>
      <c r="C23" s="706"/>
      <c r="D23" s="706"/>
      <c r="E23" s="706"/>
      <c r="F23" s="706"/>
      <c r="G23" s="706"/>
      <c r="H23" s="706"/>
      <c r="I23" s="706"/>
      <c r="J23" s="706"/>
      <c r="K23" s="706"/>
      <c r="L23" s="706"/>
      <c r="M23" s="706"/>
    </row>
    <row r="24" spans="1:13">
      <c r="B24" s="706"/>
      <c r="C24" s="706"/>
      <c r="D24" s="706"/>
      <c r="E24" s="706"/>
      <c r="F24" s="706"/>
      <c r="G24" s="706"/>
      <c r="H24" s="706"/>
      <c r="I24" s="706"/>
      <c r="J24" s="706"/>
      <c r="K24" s="706"/>
      <c r="L24" s="706"/>
      <c r="M24" s="706"/>
    </row>
    <row r="25" spans="1:13">
      <c r="B25" s="706"/>
      <c r="C25" s="706"/>
      <c r="D25" s="706"/>
      <c r="E25" s="706"/>
      <c r="F25" s="706"/>
      <c r="G25" s="706"/>
      <c r="H25" s="706"/>
      <c r="I25" s="706"/>
      <c r="J25" s="706"/>
      <c r="K25" s="706"/>
      <c r="L25" s="706"/>
      <c r="M25" s="706"/>
    </row>
    <row r="26" spans="1:13">
      <c r="B26" s="706"/>
      <c r="C26" s="706"/>
      <c r="D26" s="706"/>
      <c r="E26" s="706"/>
      <c r="F26" s="706"/>
      <c r="G26" s="706"/>
      <c r="H26" s="706"/>
      <c r="I26" s="706"/>
      <c r="J26" s="706"/>
      <c r="K26" s="706"/>
      <c r="L26" s="706"/>
      <c r="M26" s="706"/>
    </row>
    <row r="27" spans="1:13">
      <c r="B27" s="706"/>
      <c r="C27" s="706"/>
      <c r="D27" s="706"/>
      <c r="E27" s="706"/>
      <c r="F27" s="706"/>
      <c r="G27" s="706"/>
      <c r="H27" s="706"/>
      <c r="I27" s="706"/>
      <c r="J27" s="706"/>
      <c r="K27" s="706"/>
      <c r="L27" s="706"/>
      <c r="M27" s="706"/>
    </row>
    <row r="28" spans="1:13">
      <c r="B28" s="706"/>
      <c r="C28" s="706"/>
      <c r="D28" s="706"/>
      <c r="E28" s="706"/>
      <c r="F28" s="706"/>
      <c r="G28" s="706"/>
      <c r="H28" s="706"/>
      <c r="I28" s="706"/>
      <c r="J28" s="706"/>
      <c r="K28" s="706"/>
      <c r="L28" s="706"/>
      <c r="M28" s="706"/>
    </row>
    <row r="29" spans="1:13">
      <c r="B29" s="706"/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6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이름이 지정된 범위</vt:lpstr>
      </vt:variant>
      <vt:variant>
        <vt:i4>10</vt:i4>
      </vt:variant>
    </vt:vector>
  </HeadingPairs>
  <TitlesOfParts>
    <vt:vector size="22" baseType="lpstr">
      <vt:lpstr>VC해산</vt:lpstr>
      <vt:lpstr>CRC해산</vt:lpstr>
      <vt:lpstr>VC조합</vt:lpstr>
      <vt:lpstr>CRC조합</vt:lpstr>
      <vt:lpstr>PEF</vt:lpstr>
      <vt:lpstr>VC해산조합요약</vt:lpstr>
      <vt:lpstr>CRC해산조합요약</vt:lpstr>
      <vt:lpstr>Sheet1</vt:lpstr>
      <vt:lpstr>지대표인터뷰_090917</vt:lpstr>
      <vt:lpstr>Sheet2</vt:lpstr>
      <vt:lpstr>Sheet3</vt:lpstr>
      <vt:lpstr>Sheet4</vt:lpstr>
      <vt:lpstr>CRC조합!Print_Area</vt:lpstr>
      <vt:lpstr>CRC해산!Print_Area</vt:lpstr>
      <vt:lpstr>CRC해산조합요약!Print_Area</vt:lpstr>
      <vt:lpstr>VC해산!Print_Area</vt:lpstr>
      <vt:lpstr>VC해산조합요약!Print_Area</vt:lpstr>
      <vt:lpstr>지대표인터뷰_090917!Print_Area</vt:lpstr>
      <vt:lpstr>CRC해산!Print_Titles</vt:lpstr>
      <vt:lpstr>VC조합!Print_Titles</vt:lpstr>
      <vt:lpstr>VC해산!Print_Titles</vt:lpstr>
      <vt:lpstr>VC해산조합요약!Print_Titles</vt:lpstr>
    </vt:vector>
  </TitlesOfParts>
  <Company>IMM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이현정</dc:creator>
  <cp:lastModifiedBy>bokyung</cp:lastModifiedBy>
  <cp:lastPrinted>2015-02-09T23:55:21Z</cp:lastPrinted>
  <dcterms:created xsi:type="dcterms:W3CDTF">2009-08-04T05:28:35Z</dcterms:created>
  <dcterms:modified xsi:type="dcterms:W3CDTF">2017-05-26T09:29:34Z</dcterms:modified>
</cp:coreProperties>
</file>