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6940" windowHeight="12495" tabRatio="672" activeTab="5"/>
  </bookViews>
  <sheets>
    <sheet name="Fund Overview" sheetId="1" r:id="rId1"/>
    <sheet name="CC No.1" sheetId="5" r:id="rId2"/>
    <sheet name="CC No.1 - MGT Rebate" sheetId="10" r:id="rId3"/>
    <sheet name="Initial Cap Required" sheetId="7" r:id="rId4"/>
    <sheet name="GP Estimated Contribution" sheetId="9" r:id="rId5"/>
    <sheet name="Late Charge break down" sheetId="8" r:id="rId6"/>
  </sheets>
  <definedNames>
    <definedName name="_xlnm.Print_Area" localSheetId="5">'Late Charge break down'!$A$1:$H$20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8" l="1"/>
  <c r="H19" i="8"/>
  <c r="I15" i="8"/>
  <c r="C15" i="8"/>
  <c r="B11" i="8"/>
  <c r="F7" i="8"/>
  <c r="C11" i="8"/>
  <c r="D11" i="8"/>
  <c r="B12" i="8"/>
  <c r="C12" i="8"/>
  <c r="D12" i="8"/>
  <c r="B13" i="8"/>
  <c r="C13" i="8"/>
  <c r="D13" i="8"/>
  <c r="B14" i="8"/>
  <c r="C14" i="8"/>
  <c r="D14" i="8"/>
  <c r="D15" i="8"/>
  <c r="C26" i="5"/>
  <c r="H4" i="5"/>
  <c r="I4" i="5"/>
  <c r="H5" i="5"/>
  <c r="F5" i="5"/>
  <c r="I5" i="5"/>
  <c r="H6" i="5"/>
  <c r="F6" i="5"/>
  <c r="E6" i="5"/>
  <c r="I6" i="5"/>
  <c r="H7" i="5"/>
  <c r="F7" i="5"/>
  <c r="E7" i="5"/>
  <c r="I7" i="5"/>
  <c r="H8" i="5"/>
  <c r="F8" i="5"/>
  <c r="E8" i="5"/>
  <c r="I8" i="5"/>
  <c r="H9" i="5"/>
  <c r="F9" i="5"/>
  <c r="E9" i="5"/>
  <c r="I9" i="5"/>
  <c r="H10" i="5"/>
  <c r="F10" i="5"/>
  <c r="E10" i="5"/>
  <c r="I10" i="5"/>
  <c r="H11" i="5"/>
  <c r="F11" i="5"/>
  <c r="E11" i="5"/>
  <c r="I11" i="5"/>
  <c r="H12" i="5"/>
  <c r="F12" i="5"/>
  <c r="E12" i="5"/>
  <c r="I12" i="5"/>
  <c r="H13" i="5"/>
  <c r="F13" i="5"/>
  <c r="I13" i="5"/>
  <c r="I14" i="5"/>
  <c r="H14" i="5"/>
  <c r="G14" i="5"/>
  <c r="G5" i="5"/>
  <c r="G6" i="5"/>
  <c r="G7" i="5"/>
  <c r="G8" i="5"/>
  <c r="G9" i="5"/>
  <c r="G10" i="5"/>
  <c r="G11" i="5"/>
  <c r="G12" i="5"/>
  <c r="G13" i="5"/>
  <c r="G4" i="5"/>
  <c r="C25" i="5"/>
  <c r="C24" i="5"/>
  <c r="C23" i="5"/>
  <c r="E13" i="5"/>
  <c r="F4" i="5"/>
  <c r="F14" i="5"/>
  <c r="E14" i="5"/>
  <c r="E5" i="5"/>
  <c r="E4" i="5"/>
  <c r="E8" i="10"/>
  <c r="C8" i="10"/>
  <c r="J14" i="10"/>
  <c r="J13" i="10"/>
  <c r="J12" i="10"/>
  <c r="J11" i="10"/>
  <c r="J10" i="10"/>
  <c r="J9" i="10"/>
  <c r="G16" i="10"/>
  <c r="F16" i="10"/>
  <c r="E16" i="10"/>
  <c r="C16" i="10"/>
  <c r="E18" i="10"/>
  <c r="G15" i="10"/>
  <c r="G14" i="10"/>
  <c r="G13" i="10"/>
  <c r="G12" i="10"/>
  <c r="G11" i="10"/>
  <c r="G10" i="10"/>
  <c r="G9" i="10"/>
  <c r="F15" i="10"/>
  <c r="F14" i="10"/>
  <c r="F13" i="10"/>
  <c r="F12" i="10"/>
  <c r="F11" i="10"/>
  <c r="F10" i="10"/>
  <c r="F9" i="10"/>
  <c r="F8" i="10"/>
  <c r="E15" i="10"/>
  <c r="E14" i="10"/>
  <c r="E13" i="10"/>
  <c r="E12" i="10"/>
  <c r="E11" i="10"/>
  <c r="E10" i="10"/>
  <c r="G8" i="10"/>
  <c r="J8" i="10"/>
  <c r="E9" i="10"/>
  <c r="C15" i="10"/>
  <c r="C14" i="10"/>
  <c r="C13" i="10"/>
  <c r="C12" i="10"/>
  <c r="C11" i="10"/>
  <c r="C10" i="10"/>
  <c r="C9" i="10"/>
  <c r="G18" i="10"/>
  <c r="J18" i="10"/>
  <c r="C34" i="1"/>
  <c r="B34" i="1"/>
  <c r="C29" i="1"/>
  <c r="B9" i="9"/>
  <c r="B4" i="9"/>
  <c r="C4" i="9"/>
  <c r="A4" i="9"/>
  <c r="B3" i="9"/>
  <c r="A3" i="9"/>
  <c r="A1" i="9"/>
  <c r="F6" i="8"/>
  <c r="F5" i="8"/>
  <c r="E11" i="8"/>
  <c r="F11" i="8"/>
  <c r="H11" i="8"/>
  <c r="E12" i="8"/>
  <c r="F12" i="8"/>
  <c r="H12" i="8"/>
  <c r="E13" i="8"/>
  <c r="F13" i="8"/>
  <c r="H13" i="8"/>
  <c r="E14" i="8"/>
  <c r="F14" i="8"/>
  <c r="H14" i="8"/>
  <c r="H15" i="8"/>
  <c r="D19" i="5"/>
  <c r="F20" i="1"/>
  <c r="D21" i="5"/>
  <c r="C14" i="5"/>
  <c r="C21" i="5"/>
  <c r="D20" i="5"/>
  <c r="C20" i="5"/>
  <c r="D14" i="5"/>
  <c r="L12" i="5"/>
  <c r="L13" i="5"/>
  <c r="A20" i="1"/>
  <c r="G20" i="1"/>
  <c r="G24" i="1"/>
  <c r="D10" i="7"/>
  <c r="D14" i="7"/>
  <c r="D18" i="7"/>
  <c r="B12" i="1"/>
  <c r="B10" i="1"/>
  <c r="D12" i="1"/>
  <c r="D10" i="1"/>
  <c r="D19" i="7"/>
  <c r="D20" i="7"/>
  <c r="L11" i="5"/>
  <c r="L10" i="5"/>
  <c r="L9" i="5"/>
  <c r="L8" i="5"/>
  <c r="L7" i="5"/>
  <c r="L6" i="5"/>
  <c r="L5" i="5"/>
  <c r="L4" i="5"/>
  <c r="B9" i="1"/>
  <c r="L14" i="5"/>
  <c r="F24" i="1"/>
  <c r="H24" i="1"/>
  <c r="E20" i="1"/>
  <c r="B14" i="1"/>
  <c r="D20" i="1"/>
  <c r="C24" i="1"/>
  <c r="D24" i="1"/>
  <c r="B11" i="1"/>
  <c r="B24" i="1"/>
  <c r="B7" i="1"/>
  <c r="E24" i="1"/>
  <c r="B13" i="1"/>
  <c r="B15" i="1"/>
</calcChain>
</file>

<file path=xl/comments1.xml><?xml version="1.0" encoding="utf-8"?>
<comments xmlns="http://schemas.openxmlformats.org/spreadsheetml/2006/main">
  <authors>
    <author>dpark</author>
  </authors>
  <commentList>
    <comment ref="B20" authorId="0">
      <text>
        <r>
          <rPr>
            <b/>
            <sz val="9"/>
            <color indexed="81"/>
            <rFont val="Tahoma"/>
            <family val="2"/>
          </rPr>
          <t>dpark: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기출자액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포함</t>
        </r>
      </text>
    </comment>
  </commentList>
</comments>
</file>

<file path=xl/comments2.xml><?xml version="1.0" encoding="utf-8"?>
<comments xmlns="http://schemas.openxmlformats.org/spreadsheetml/2006/main">
  <authors>
    <author>dpark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>From the Fund -&gt; to the Management Company</t>
        </r>
      </text>
    </comment>
    <comment ref="G6" authorId="0">
      <text>
        <r>
          <rPr>
            <b/>
            <sz val="9"/>
            <color indexed="81"/>
            <rFont val="Tahoma"/>
            <family val="2"/>
          </rPr>
          <t>From the Management Company -&gt; to the GLF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>From the Fund -&gt; to the Management Company</t>
        </r>
      </text>
    </comment>
    <comment ref="I6" authorId="0">
      <text>
        <r>
          <rPr>
            <b/>
            <sz val="9"/>
            <color indexed="81"/>
            <rFont val="Tahoma"/>
            <family val="2"/>
          </rPr>
          <t>From the Management Company -&gt; to the GLF</t>
        </r>
      </text>
    </comment>
    <comment ref="J6" authorId="0">
      <text>
        <r>
          <rPr>
            <b/>
            <sz val="9"/>
            <color indexed="81"/>
            <rFont val="Tahoma"/>
            <family val="2"/>
          </rPr>
          <t>From the Management Company -&gt; to the GLF</t>
        </r>
      </text>
    </comment>
  </commentList>
</comments>
</file>

<file path=xl/comments3.xml><?xml version="1.0" encoding="utf-8"?>
<comments xmlns="http://schemas.openxmlformats.org/spreadsheetml/2006/main">
  <authors>
    <author>Jaime</author>
  </authors>
  <commentList>
    <comment ref="D14" authorId="0">
      <text>
        <r>
          <rPr>
            <b/>
            <sz val="9"/>
            <color indexed="81"/>
            <rFont val="Tahoma"/>
            <family val="2"/>
          </rPr>
          <t>BRV Lotus:</t>
        </r>
        <r>
          <rPr>
            <sz val="9"/>
            <color indexed="81"/>
            <rFont val="Tahoma"/>
            <family val="2"/>
          </rPr>
          <t xml:space="preserve">
To be contributed within 15 days of admission (clause 7.6(d) of LPA).</t>
        </r>
      </text>
    </comment>
  </commentList>
</comments>
</file>

<file path=xl/comments4.xml><?xml version="1.0" encoding="utf-8"?>
<comments xmlns="http://schemas.openxmlformats.org/spreadsheetml/2006/main">
  <authors>
    <author>Jaime</author>
  </authors>
  <commentList>
    <comment ref="F4" authorId="0">
      <text>
        <r>
          <rPr>
            <b/>
            <sz val="9"/>
            <color indexed="81"/>
            <rFont val="Tahoma"/>
            <family val="2"/>
          </rPr>
          <t>BRV Lotus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Wall Street Journal US prime rate on date of admission
</t>
        </r>
        <r>
          <rPr>
            <sz val="9"/>
            <color indexed="81"/>
            <rFont val="Tahoma"/>
            <family val="2"/>
          </rPr>
          <t>=&gt; 4% effective on 16 Mar 2017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BRV Lotus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Actual agreed date of capital contribution (date for good value) to be inserted</t>
        </r>
      </text>
    </comment>
  </commentList>
</comments>
</file>

<file path=xl/sharedStrings.xml><?xml version="1.0" encoding="utf-8"?>
<sst xmlns="http://schemas.openxmlformats.org/spreadsheetml/2006/main" count="195" uniqueCount="144">
  <si>
    <t>(USD)</t>
    <phoneticPr fontId="2" type="noConversion"/>
  </si>
  <si>
    <t>(KRW)</t>
    <phoneticPr fontId="2" type="noConversion"/>
  </si>
  <si>
    <t>Call: Investment</t>
  </si>
  <si>
    <t>Decreases</t>
  </si>
  <si>
    <t>Call: Management Fee</t>
  </si>
  <si>
    <t>Call: Partnership Expenses</t>
  </si>
  <si>
    <t>Call: Notional Interest</t>
  </si>
  <si>
    <t>No change</t>
  </si>
  <si>
    <t>Notional Interest*</t>
    <phoneticPr fontId="2" type="noConversion"/>
  </si>
  <si>
    <t>Transaction</t>
    <phoneticPr fontId="2" type="noConversion"/>
  </si>
  <si>
    <t>Type</t>
    <phoneticPr fontId="2" type="noConversion"/>
  </si>
  <si>
    <t>Fund Amount</t>
    <phoneticPr fontId="2" type="noConversion"/>
  </si>
  <si>
    <t>LP Amount</t>
    <phoneticPr fontId="2" type="noConversion"/>
  </si>
  <si>
    <t>Impact to Available Capital</t>
    <phoneticPr fontId="2" type="noConversion"/>
  </si>
  <si>
    <t>Cumulative Contribution (excl. Notional Interest)</t>
    <phoneticPr fontId="2" type="noConversion"/>
  </si>
  <si>
    <t>Cumulative Contribution (incl. Notional Interest)</t>
    <phoneticPr fontId="2" type="noConversion"/>
  </si>
  <si>
    <t>-</t>
    <phoneticPr fontId="2" type="noConversion"/>
  </si>
  <si>
    <t>(K-Growth level) LAC (USD)</t>
    <phoneticPr fontId="2" type="noConversion"/>
  </si>
  <si>
    <t>Fund Level PIC (USD)</t>
    <phoneticPr fontId="2" type="noConversion"/>
  </si>
  <si>
    <t>K-Growth Level PIC (USD)</t>
    <phoneticPr fontId="2" type="noConversion"/>
  </si>
  <si>
    <t>Fund Level PIC (KRW)</t>
    <phoneticPr fontId="2" type="noConversion"/>
  </si>
  <si>
    <t>K-Growth Level PIC (KRW)</t>
    <phoneticPr fontId="2" type="noConversion"/>
  </si>
  <si>
    <t>(K-Growth level) LAC (KRW)</t>
    <phoneticPr fontId="2" type="noConversion"/>
  </si>
  <si>
    <t>As of :</t>
    <phoneticPr fontId="2" type="noConversion"/>
  </si>
  <si>
    <t>Actual agreed info should be inserted when determined.</t>
  </si>
  <si>
    <t>Note: Yellow highlighted items are inserted for illustration purpose only.</t>
  </si>
  <si>
    <t>Total:</t>
    <phoneticPr fontId="16" type="noConversion"/>
  </si>
  <si>
    <t>Late Admission Charge</t>
    <phoneticPr fontId="16" type="noConversion"/>
  </si>
  <si>
    <t>Capital contribution</t>
    <phoneticPr fontId="16" type="noConversion"/>
  </si>
  <si>
    <t>Initial amount required:</t>
    <phoneticPr fontId="16" type="noConversion"/>
  </si>
  <si>
    <t>Capital required to contribute after admission:</t>
  </si>
  <si>
    <t>Amount of committed capital:</t>
  </si>
  <si>
    <t>Total:</t>
  </si>
  <si>
    <t>Percentage</t>
  </si>
  <si>
    <t>Due Date</t>
  </si>
  <si>
    <t>Call Date</t>
  </si>
  <si>
    <t>No.</t>
  </si>
  <si>
    <t>BRV Lotus Growth Fund 2015, L.P. - Past Capital Call Schedule</t>
    <phoneticPr fontId="16" type="noConversion"/>
  </si>
  <si>
    <t>Total</t>
  </si>
  <si>
    <t>4th</t>
    <phoneticPr fontId="16" type="noConversion"/>
  </si>
  <si>
    <t>3rd</t>
  </si>
  <si>
    <t>2nd</t>
  </si>
  <si>
    <t>1st</t>
  </si>
  <si>
    <t>Late Admission Charge</t>
  </si>
  <si>
    <t># of Days in Year</t>
  </si>
  <si>
    <t># of Days</t>
  </si>
  <si>
    <t>Due  Date</t>
  </si>
  <si>
    <t>Required $</t>
  </si>
  <si>
    <t>% Call</t>
  </si>
  <si>
    <t>Cap Call</t>
  </si>
  <si>
    <t>Capital commitment:</t>
  </si>
  <si>
    <t>Interest rate applicable:</t>
  </si>
  <si>
    <t>Date of initial capital contribution:</t>
  </si>
  <si>
    <t>US prime rate on date of admission:</t>
  </si>
  <si>
    <t>Date of admission:</t>
  </si>
  <si>
    <t>BRV Lotus Growth Fund 2015, L.P. - Late Admission Charge</t>
    <phoneticPr fontId="16" type="noConversion"/>
  </si>
  <si>
    <t>3Q2017</t>
    <phoneticPr fontId="2" type="noConversion"/>
  </si>
  <si>
    <t>4Q2017</t>
    <phoneticPr fontId="2" type="noConversion"/>
  </si>
  <si>
    <t xml:space="preserve">Management Fee (2016-12-16 ~ 2017-12-31) </t>
    <phoneticPr fontId="2" type="noConversion"/>
  </si>
  <si>
    <t>Deal Expenses (up to 2017-12-31)</t>
    <phoneticPr fontId="2" type="noConversion"/>
  </si>
  <si>
    <t>Organization Expense (thru 2017-12-31)</t>
    <phoneticPr fontId="2" type="noConversion"/>
  </si>
  <si>
    <t>Other Expenses (thru 2017-12-31)</t>
    <phoneticPr fontId="2" type="noConversion"/>
  </si>
  <si>
    <t>USD</t>
    <phoneticPr fontId="2" type="noConversion"/>
  </si>
  <si>
    <t>KRW</t>
    <phoneticPr fontId="2" type="noConversion"/>
  </si>
  <si>
    <t>USD</t>
  </si>
  <si>
    <t>KRW</t>
  </si>
  <si>
    <t>Growth-Ladder(Public Finance) Private Equity Investment Fund</t>
  </si>
  <si>
    <t>Committed Capital</t>
  </si>
  <si>
    <t>(a)</t>
    <phoneticPr fontId="23" type="noConversion"/>
  </si>
  <si>
    <t>Period</t>
    <phoneticPr fontId="23" type="noConversion"/>
  </si>
  <si>
    <t>MGT Fee Charged</t>
    <phoneticPr fontId="23" type="noConversion"/>
  </si>
  <si>
    <t>(b)</t>
    <phoneticPr fontId="23" type="noConversion"/>
  </si>
  <si>
    <t>(d)</t>
    <phoneticPr fontId="23" type="noConversion"/>
  </si>
  <si>
    <t xml:space="preserve">1. Commitment / PIC </t>
    <phoneticPr fontId="2" type="noConversion"/>
  </si>
  <si>
    <t>3. Actual Amount of Capital Contribution</t>
    <phoneticPr fontId="2" type="noConversion"/>
  </si>
  <si>
    <t>2. Capital Contribution (for ERP)</t>
    <phoneticPr fontId="2" type="noConversion"/>
  </si>
  <si>
    <t>Starting</t>
    <phoneticPr fontId="23" type="noConversion"/>
  </si>
  <si>
    <t>Ending</t>
    <phoneticPr fontId="23" type="noConversion"/>
  </si>
  <si>
    <t>Days</t>
    <phoneticPr fontId="23" type="noConversion"/>
  </si>
  <si>
    <t>(c) = (a) * (b)</t>
    <phoneticPr fontId="23" type="noConversion"/>
  </si>
  <si>
    <t>(e) = (c) * (d)</t>
    <phoneticPr fontId="23" type="noConversion"/>
  </si>
  <si>
    <t>Total</t>
    <phoneticPr fontId="23" type="noConversion"/>
  </si>
  <si>
    <t>Refund Rate</t>
    <phoneticPr fontId="23" type="noConversion"/>
  </si>
  <si>
    <t>MGT Fee Payment Date</t>
    <phoneticPr fontId="23" type="noConversion"/>
  </si>
  <si>
    <t>MGT Fee Rate</t>
    <phoneticPr fontId="23" type="noConversion"/>
  </si>
  <si>
    <t>N/A</t>
    <phoneticPr fontId="23" type="noConversion"/>
  </si>
  <si>
    <t>Refund Date</t>
    <phoneticPr fontId="23" type="noConversion"/>
  </si>
  <si>
    <t>Refunded Amount</t>
    <phoneticPr fontId="23" type="noConversion"/>
  </si>
  <si>
    <t>Refundable Amount</t>
    <phoneticPr fontId="23" type="noConversion"/>
  </si>
  <si>
    <t>Not paid yet</t>
    <phoneticPr fontId="23" type="noConversion"/>
  </si>
  <si>
    <t>TBD</t>
    <phoneticPr fontId="23" type="noConversion"/>
  </si>
  <si>
    <r>
      <rPr>
        <sz val="9"/>
        <color theme="1"/>
        <rFont val="돋움"/>
        <family val="3"/>
        <charset val="129"/>
      </rPr>
      <t>수수료</t>
    </r>
    <r>
      <rPr>
        <sz val="9"/>
        <color theme="1"/>
        <rFont val="Arial Unicode MS"/>
        <family val="2"/>
        <charset val="134"/>
      </rPr>
      <t xml:space="preserve"> 5</t>
    </r>
    <r>
      <rPr>
        <sz val="9"/>
        <color theme="1"/>
        <rFont val="돋움"/>
        <family val="3"/>
        <charset val="129"/>
      </rPr>
      <t>불</t>
    </r>
    <r>
      <rPr>
        <sz val="9"/>
        <color theme="1"/>
        <rFont val="Arial Unicode MS"/>
        <family val="2"/>
        <charset val="134"/>
      </rPr>
      <t xml:space="preserve"> </t>
    </r>
    <r>
      <rPr>
        <sz val="9"/>
        <color theme="1"/>
        <rFont val="돋움"/>
        <family val="3"/>
        <charset val="129"/>
      </rPr>
      <t>차감</t>
    </r>
    <phoneticPr fontId="23" type="noConversion"/>
  </si>
  <si>
    <t>Applied Exchange Rate</t>
  </si>
  <si>
    <t>Total Investment Amount</t>
  </si>
  <si>
    <t>Growth Ladder Fund Investment Amount</t>
  </si>
  <si>
    <t>Total Investment Balance</t>
  </si>
  <si>
    <t>Growth Ladder Fund Investment Balance</t>
  </si>
  <si>
    <t>Growth Ladder Fund Outstanding Balance</t>
  </si>
  <si>
    <t>(USD) Final Closing Basis</t>
  </si>
  <si>
    <t>Relevant Date</t>
  </si>
  <si>
    <t>Reversal of Management Fees (USD)</t>
  </si>
  <si>
    <t>Remarks</t>
  </si>
  <si>
    <t>(2017-05-31 KEB's Trading Standard)</t>
  </si>
  <si>
    <t>Sum Total</t>
  </si>
  <si>
    <t>Excluding delayed payment</t>
  </si>
  <si>
    <t>Primary contribution</t>
  </si>
  <si>
    <t>Payment Date :</t>
  </si>
  <si>
    <t>Total Investment</t>
  </si>
  <si>
    <t xml:space="preserve"> Investment in KRW (Fund Level)</t>
  </si>
  <si>
    <t>Investment Date</t>
  </si>
  <si>
    <t>Country of Origin</t>
  </si>
  <si>
    <t>South Korea</t>
  </si>
  <si>
    <t>China</t>
  </si>
  <si>
    <t>Japan</t>
  </si>
  <si>
    <t>Sectors (GLF Standard Industry Code)</t>
  </si>
  <si>
    <t>Compliance Report</t>
  </si>
  <si>
    <t>Investment Condition Checklist</t>
  </si>
  <si>
    <t>Mobile/IT</t>
  </si>
  <si>
    <t>Bio/Pharma</t>
  </si>
  <si>
    <t>Smart farming</t>
  </si>
  <si>
    <t>Professional work</t>
  </si>
  <si>
    <t>Manufacturer of industrial heating boilers and radiators</t>
  </si>
  <si>
    <t>Software</t>
  </si>
  <si>
    <t>Cosmetics</t>
  </si>
  <si>
    <t>Date of Receipt</t>
  </si>
  <si>
    <t>Amount Received</t>
  </si>
  <si>
    <t>GP Investment</t>
  </si>
  <si>
    <t>IC date</t>
    <phoneticPr fontId="2" type="noConversion"/>
  </si>
  <si>
    <t>Daor E&amp;C</t>
    <phoneticPr fontId="2" type="noConversion"/>
  </si>
  <si>
    <t>Daesung Celtics</t>
    <phoneticPr fontId="2" type="noConversion"/>
  </si>
  <si>
    <t>Project SGC</t>
    <phoneticPr fontId="2" type="noConversion"/>
  </si>
  <si>
    <t>CTK Cosmetics</t>
    <phoneticPr fontId="2" type="noConversion"/>
  </si>
  <si>
    <t>Suntel</t>
    <phoneticPr fontId="2" type="noConversion"/>
  </si>
  <si>
    <t>ST Pharm</t>
    <phoneticPr fontId="2" type="noConversion"/>
  </si>
  <si>
    <t>Guolele</t>
    <phoneticPr fontId="2" type="noConversion"/>
  </si>
  <si>
    <t>Freetel</t>
    <phoneticPr fontId="2" type="noConversion"/>
  </si>
  <si>
    <t>Geniee</t>
    <phoneticPr fontId="2" type="noConversion"/>
  </si>
  <si>
    <t>Project EC</t>
    <phoneticPr fontId="2" type="noConversion"/>
  </si>
  <si>
    <t xml:space="preserve">Management Fee (2016-12-16 ~ 2017-12-31) </t>
  </si>
  <si>
    <t>Organization Expense (thru 2017-12-31)</t>
  </si>
  <si>
    <t>Deal Expenses (up to 2017-12-31)</t>
  </si>
  <si>
    <t>Other Expenses (thru 2017-12-31)</t>
  </si>
  <si>
    <t>TOTAL</t>
  </si>
  <si>
    <t>TOTAL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</si>
</sst>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_ * #,##0.00_ ;_ * \-#,##0.00_ ;_ * &quot;-&quot;??_ ;_ @_ "/>
    <numFmt numFmtId="177" formatCode="_-* #,##0.00_-;\-* #,##0.00_-;_-* &quot;-&quot;_-;_-@_-"/>
    <numFmt numFmtId="178" formatCode="#,##0.00_);[Red]\(#,##0.00\)"/>
    <numFmt numFmtId="179" formatCode="#,##0_);[Red]\(#,##0\)"/>
    <numFmt numFmtId="180" formatCode="0.0%"/>
    <numFmt numFmtId="181" formatCode="_(* #,##0_);_(* \(#,##0\);_(* &quot;-&quot;??_);_(@_)"/>
    <numFmt numFmtId="182" formatCode="_(* #,##0.00_);_(* \(#,##0.00\);_(* &quot;-&quot;??_);_(@_)"/>
    <numFmt numFmtId="183" formatCode="0.000000000000000%"/>
    <numFmt numFmtId="184" formatCode="0.0000000000000000%"/>
    <numFmt numFmtId="185" formatCode="0.000%"/>
    <numFmt numFmtId="186" formatCode="_ * #,##0_ ;_ * \-#,##0_ ;_ * &quot;-&quot;??_ ;_ @_ "/>
    <numFmt numFmtId="187" formatCode="#,##0.000_);[Red]\(#,##0.000\)"/>
    <numFmt numFmtId="194" formatCode="_-&quot;₩&quot;* #,##0.0_-;\-&quot;₩&quot;* #,##0.0_-;_-&quot;₩&quot;* &quot;-&quot;?_-;_-@_-"/>
  </numFmts>
  <fonts count="2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sz val="11"/>
      <color theme="1"/>
      <name val="맑은 고딕"/>
      <family val="2"/>
      <charset val="134"/>
      <scheme val="minor"/>
    </font>
    <font>
      <sz val="9"/>
      <color theme="1"/>
      <name val="맑은 고딕"/>
      <family val="2"/>
      <charset val="129"/>
      <scheme val="minor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theme="1"/>
      <name val="맑은 고딕"/>
      <family val="1"/>
      <charset val="136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u/>
      <sz val="11"/>
      <color indexed="8"/>
      <name val="Calibri"/>
      <family val="2"/>
    </font>
    <font>
      <b/>
      <u/>
      <sz val="11"/>
      <color theme="1"/>
      <name val="Calibri"/>
      <family val="2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theme="1"/>
      <name val="Arial Unicode MS"/>
      <family val="2"/>
      <charset val="134"/>
    </font>
    <font>
      <sz val="9"/>
      <name val="맑은 고딕"/>
      <family val="2"/>
      <charset val="134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돋움"/>
      <family val="3"/>
      <charset val="129"/>
    </font>
    <font>
      <sz val="9"/>
      <color theme="1"/>
      <name val="돋움"/>
      <family val="3"/>
      <charset val="129"/>
    </font>
    <font>
      <b/>
      <sz val="6"/>
      <color theme="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/>
    <xf numFmtId="182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41" fontId="4" fillId="2" borderId="1" xfId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177" fontId="4" fillId="2" borderId="1" xfId="1" applyNumberFormat="1" applyFont="1" applyFill="1" applyBorder="1">
      <alignment vertical="center"/>
    </xf>
    <xf numFmtId="177" fontId="4" fillId="2" borderId="0" xfId="1" applyNumberFormat="1" applyFont="1" applyFill="1">
      <alignment vertical="center"/>
    </xf>
    <xf numFmtId="17" fontId="4" fillId="2" borderId="0" xfId="0" applyNumberFormat="1" applyFont="1" applyFill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177" fontId="4" fillId="2" borderId="0" xfId="1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8" fontId="4" fillId="2" borderId="1" xfId="1" applyNumberFormat="1" applyFont="1" applyFill="1" applyBorder="1">
      <alignment vertical="center"/>
    </xf>
    <xf numFmtId="14" fontId="4" fillId="2" borderId="1" xfId="1" applyNumberFormat="1" applyFont="1" applyFill="1" applyBorder="1">
      <alignment vertical="center"/>
    </xf>
    <xf numFmtId="0" fontId="4" fillId="2" borderId="0" xfId="0" applyFont="1" applyFill="1" applyBorder="1">
      <alignment vertical="center"/>
    </xf>
    <xf numFmtId="17" fontId="4" fillId="2" borderId="0" xfId="0" applyNumberFormat="1" applyFont="1" applyFill="1" applyBorder="1">
      <alignment vertical="center"/>
    </xf>
    <xf numFmtId="14" fontId="4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9" fontId="4" fillId="2" borderId="1" xfId="1" applyNumberFormat="1" applyFont="1" applyFill="1" applyBorder="1">
      <alignment vertical="center"/>
    </xf>
    <xf numFmtId="178" fontId="5" fillId="2" borderId="1" xfId="1" applyNumberFormat="1" applyFont="1" applyFill="1" applyBorder="1">
      <alignment vertical="center"/>
    </xf>
    <xf numFmtId="14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1" fontId="4" fillId="2" borderId="1" xfId="1" applyNumberFormat="1" applyFont="1" applyFill="1" applyBorder="1">
      <alignment vertical="center"/>
    </xf>
    <xf numFmtId="180" fontId="4" fillId="2" borderId="0" xfId="5" applyNumberFormat="1" applyFont="1" applyFill="1" applyBorder="1">
      <alignment vertical="center"/>
    </xf>
    <xf numFmtId="180" fontId="4" fillId="2" borderId="0" xfId="0" applyNumberFormat="1" applyFont="1" applyFill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14" fontId="4" fillId="2" borderId="0" xfId="0" applyNumberFormat="1" applyFont="1" applyFill="1">
      <alignment vertical="center"/>
    </xf>
    <xf numFmtId="0" fontId="14" fillId="0" borderId="0" xfId="6" applyFont="1"/>
    <xf numFmtId="181" fontId="15" fillId="0" borderId="7" xfId="6" applyNumberFormat="1" applyFont="1" applyBorder="1"/>
    <xf numFmtId="0" fontId="15" fillId="0" borderId="0" xfId="6" applyFont="1"/>
    <xf numFmtId="181" fontId="14" fillId="4" borderId="0" xfId="7" applyNumberFormat="1" applyFont="1" applyFill="1"/>
    <xf numFmtId="181" fontId="14" fillId="0" borderId="0" xfId="6" applyNumberFormat="1" applyFont="1"/>
    <xf numFmtId="181" fontId="14" fillId="0" borderId="0" xfId="7" applyNumberFormat="1" applyFont="1"/>
    <xf numFmtId="181" fontId="14" fillId="0" borderId="0" xfId="7" applyNumberFormat="1" applyFont="1" applyFill="1"/>
    <xf numFmtId="9" fontId="14" fillId="0" borderId="5" xfId="6" applyNumberFormat="1" applyFont="1" applyBorder="1"/>
    <xf numFmtId="0" fontId="14" fillId="0" borderId="5" xfId="6" applyFont="1" applyBorder="1"/>
    <xf numFmtId="9" fontId="14" fillId="0" borderId="0" xfId="6" applyNumberFormat="1" applyFont="1"/>
    <xf numFmtId="15" fontId="14" fillId="0" borderId="0" xfId="6" applyNumberFormat="1" applyFont="1"/>
    <xf numFmtId="0" fontId="14" fillId="0" borderId="0" xfId="6" applyFont="1" applyAlignment="1">
      <alignment horizontal="left"/>
    </xf>
    <xf numFmtId="0" fontId="18" fillId="0" borderId="0" xfId="6" applyFont="1" applyAlignment="1">
      <alignment horizontal="center"/>
    </xf>
    <xf numFmtId="0" fontId="18" fillId="0" borderId="0" xfId="6" applyFont="1"/>
    <xf numFmtId="0" fontId="19" fillId="0" borderId="0" xfId="6" applyFont="1"/>
    <xf numFmtId="0" fontId="20" fillId="0" borderId="0" xfId="6" applyFont="1"/>
    <xf numFmtId="181" fontId="14" fillId="0" borderId="0" xfId="7" applyNumberFormat="1" applyFont="1" applyBorder="1"/>
    <xf numFmtId="15" fontId="14" fillId="0" borderId="0" xfId="6" applyNumberFormat="1" applyFont="1" applyFill="1" applyBorder="1"/>
    <xf numFmtId="0" fontId="14" fillId="0" borderId="0" xfId="6" applyFont="1" applyBorder="1" applyAlignment="1">
      <alignment horizontal="center" wrapText="1"/>
    </xf>
    <xf numFmtId="181" fontId="21" fillId="0" borderId="0" xfId="7" applyNumberFormat="1" applyFont="1" applyFill="1"/>
    <xf numFmtId="0" fontId="21" fillId="0" borderId="0" xfId="6" applyFont="1"/>
    <xf numFmtId="3" fontId="14" fillId="0" borderId="0" xfId="6" applyNumberFormat="1" applyFont="1"/>
    <xf numFmtId="9" fontId="14" fillId="0" borderId="0" xfId="8" applyFont="1" applyAlignment="1">
      <alignment horizontal="center"/>
    </xf>
    <xf numFmtId="0" fontId="18" fillId="0" borderId="0" xfId="6" applyFont="1" applyAlignment="1">
      <alignment horizontal="center" wrapText="1"/>
    </xf>
    <xf numFmtId="3" fontId="14" fillId="0" borderId="0" xfId="6" applyNumberFormat="1" applyFont="1" applyFill="1"/>
    <xf numFmtId="10" fontId="14" fillId="0" borderId="0" xfId="6" applyNumberFormat="1" applyFont="1"/>
    <xf numFmtId="15" fontId="14" fillId="6" borderId="0" xfId="6" applyNumberFormat="1" applyFont="1" applyFill="1"/>
    <xf numFmtId="15" fontId="14" fillId="0" borderId="0" xfId="6" applyNumberFormat="1" applyFont="1" applyFill="1"/>
    <xf numFmtId="14" fontId="8" fillId="0" borderId="1" xfId="0" applyNumberFormat="1" applyFont="1" applyFill="1" applyBorder="1" applyAlignment="1">
      <alignment horizontal="center" vertical="center"/>
    </xf>
    <xf numFmtId="1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14" fontId="8" fillId="0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179" fontId="5" fillId="2" borderId="1" xfId="1" applyNumberFormat="1" applyFont="1" applyFill="1" applyBorder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183" fontId="0" fillId="0" borderId="0" xfId="5" applyNumberFormat="1" applyFont="1">
      <alignment vertical="center"/>
    </xf>
    <xf numFmtId="184" fontId="0" fillId="0" borderId="0" xfId="5" applyNumberFormat="1" applyFont="1">
      <alignment vertical="center"/>
    </xf>
    <xf numFmtId="41" fontId="0" fillId="0" borderId="0" xfId="1" applyFont="1">
      <alignment vertical="center"/>
    </xf>
    <xf numFmtId="177" fontId="0" fillId="0" borderId="0" xfId="1" applyNumberFormat="1" applyFont="1">
      <alignment vertical="center"/>
    </xf>
    <xf numFmtId="43" fontId="0" fillId="0" borderId="0" xfId="1" applyNumberFormat="1" applyFont="1">
      <alignment vertical="center"/>
    </xf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177" fontId="4" fillId="2" borderId="1" xfId="9" applyNumberFormat="1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177" fontId="4" fillId="2" borderId="0" xfId="9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41" fontId="4" fillId="2" borderId="1" xfId="9" applyNumberFormat="1" applyFont="1" applyFill="1" applyBorder="1">
      <alignment vertical="center"/>
    </xf>
    <xf numFmtId="177" fontId="4" fillId="2" borderId="1" xfId="9" applyNumberFormat="1" applyFont="1" applyFill="1" applyBorder="1" applyAlignment="1">
      <alignment horizontal="center" vertical="center"/>
    </xf>
    <xf numFmtId="176" fontId="22" fillId="0" borderId="0" xfId="3" applyFont="1">
      <alignment vertical="center"/>
    </xf>
    <xf numFmtId="0" fontId="22" fillId="0" borderId="0" xfId="2" applyFont="1">
      <alignment vertical="center"/>
    </xf>
    <xf numFmtId="0" fontId="24" fillId="0" borderId="0" xfId="2" applyFont="1">
      <alignment vertical="center"/>
    </xf>
    <xf numFmtId="176" fontId="25" fillId="0" borderId="0" xfId="3" applyFont="1">
      <alignment vertical="center"/>
    </xf>
    <xf numFmtId="0" fontId="25" fillId="0" borderId="0" xfId="2" applyFont="1">
      <alignment vertical="center"/>
    </xf>
    <xf numFmtId="0" fontId="24" fillId="7" borderId="4" xfId="2" applyFont="1" applyFill="1" applyBorder="1">
      <alignment vertical="center"/>
    </xf>
    <xf numFmtId="176" fontId="24" fillId="7" borderId="8" xfId="3" applyFont="1" applyFill="1" applyBorder="1">
      <alignment vertical="center"/>
    </xf>
    <xf numFmtId="0" fontId="25" fillId="7" borderId="6" xfId="2" applyFont="1" applyFill="1" applyBorder="1">
      <alignment vertical="center"/>
    </xf>
    <xf numFmtId="185" fontId="25" fillId="8" borderId="0" xfId="4" applyNumberFormat="1" applyFont="1" applyFill="1" applyBorder="1">
      <alignment vertical="center"/>
    </xf>
    <xf numFmtId="176" fontId="25" fillId="8" borderId="0" xfId="3" applyFont="1" applyFill="1" applyBorder="1">
      <alignment vertical="center"/>
    </xf>
    <xf numFmtId="10" fontId="25" fillId="8" borderId="0" xfId="4" applyNumberFormat="1" applyFont="1" applyFill="1" applyBorder="1">
      <alignment vertical="center"/>
    </xf>
    <xf numFmtId="0" fontId="24" fillId="7" borderId="1" xfId="2" applyFont="1" applyFill="1" applyBorder="1" applyAlignment="1">
      <alignment horizontal="center" vertical="center" wrapText="1"/>
    </xf>
    <xf numFmtId="0" fontId="25" fillId="7" borderId="1" xfId="2" applyFont="1" applyFill="1" applyBorder="1" applyAlignment="1">
      <alignment horizontal="center" vertical="center"/>
    </xf>
    <xf numFmtId="0" fontId="24" fillId="7" borderId="1" xfId="2" applyFont="1" applyFill="1" applyBorder="1">
      <alignment vertical="center"/>
    </xf>
    <xf numFmtId="176" fontId="24" fillId="7" borderId="1" xfId="2" applyNumberFormat="1" applyFont="1" applyFill="1" applyBorder="1">
      <alignment vertical="center"/>
    </xf>
    <xf numFmtId="176" fontId="24" fillId="4" borderId="1" xfId="2" applyNumberFormat="1" applyFont="1" applyFill="1" applyBorder="1">
      <alignment vertical="center"/>
    </xf>
    <xf numFmtId="14" fontId="24" fillId="8" borderId="0" xfId="2" applyNumberFormat="1" applyFont="1" applyFill="1" applyBorder="1" applyAlignment="1">
      <alignment horizontal="center" vertical="center"/>
    </xf>
    <xf numFmtId="186" fontId="25" fillId="8" borderId="0" xfId="3" applyNumberFormat="1" applyFont="1" applyFill="1" applyBorder="1" applyAlignment="1">
      <alignment horizontal="center" vertical="center"/>
    </xf>
    <xf numFmtId="14" fontId="25" fillId="9" borderId="0" xfId="2" applyNumberFormat="1" applyFont="1" applyFill="1" applyBorder="1" applyAlignment="1">
      <alignment horizontal="center" vertical="center"/>
    </xf>
    <xf numFmtId="176" fontId="25" fillId="9" borderId="0" xfId="3" applyFont="1" applyFill="1" applyBorder="1">
      <alignment vertical="center"/>
    </xf>
    <xf numFmtId="41" fontId="4" fillId="4" borderId="1" xfId="1" applyFont="1" applyFill="1" applyBorder="1">
      <alignment vertical="center"/>
    </xf>
    <xf numFmtId="0" fontId="26" fillId="0" borderId="1" xfId="0" applyFont="1" applyFill="1" applyBorder="1" applyAlignment="1">
      <alignment horizontal="center" vertical="center" shrinkToFit="1"/>
    </xf>
    <xf numFmtId="14" fontId="22" fillId="0" borderId="0" xfId="2" applyNumberFormat="1" applyFont="1">
      <alignment vertical="center"/>
    </xf>
    <xf numFmtId="0" fontId="27" fillId="0" borderId="0" xfId="2" applyFont="1">
      <alignment vertical="center"/>
    </xf>
    <xf numFmtId="177" fontId="22" fillId="0" borderId="0" xfId="1" applyNumberFormat="1" applyFo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24" fillId="7" borderId="1" xfId="2" applyFont="1" applyFill="1" applyBorder="1" applyAlignment="1">
      <alignment horizontal="center" vertical="center" wrapText="1"/>
    </xf>
    <xf numFmtId="0" fontId="24" fillId="7" borderId="4" xfId="2" applyFont="1" applyFill="1" applyBorder="1" applyAlignment="1">
      <alignment horizontal="center" vertical="center"/>
    </xf>
    <xf numFmtId="0" fontId="24" fillId="7" borderId="6" xfId="2" applyFont="1" applyFill="1" applyBorder="1" applyAlignment="1">
      <alignment horizontal="center" vertical="center"/>
    </xf>
    <xf numFmtId="0" fontId="18" fillId="0" borderId="0" xfId="6" applyFont="1" applyAlignment="1">
      <alignment horizontal="center"/>
    </xf>
    <xf numFmtId="178" fontId="4" fillId="10" borderId="1" xfId="1" applyNumberFormat="1" applyFont="1" applyFill="1" applyBorder="1">
      <alignment vertical="center"/>
    </xf>
    <xf numFmtId="178" fontId="5" fillId="10" borderId="1" xfId="1" applyNumberFormat="1" applyFont="1" applyFill="1" applyBorder="1">
      <alignment vertical="center"/>
    </xf>
    <xf numFmtId="0" fontId="28" fillId="3" borderId="1" xfId="0" applyFont="1" applyFill="1" applyBorder="1" applyAlignment="1">
      <alignment horizontal="center" vertical="center" wrapText="1"/>
    </xf>
    <xf numFmtId="187" fontId="4" fillId="10" borderId="1" xfId="1" applyNumberFormat="1" applyFont="1" applyFill="1" applyBorder="1">
      <alignment vertical="center"/>
    </xf>
    <xf numFmtId="187" fontId="5" fillId="10" borderId="1" xfId="1" applyNumberFormat="1" applyFont="1" applyFill="1" applyBorder="1">
      <alignment vertical="center"/>
    </xf>
    <xf numFmtId="14" fontId="14" fillId="0" borderId="0" xfId="6" applyNumberFormat="1" applyFont="1"/>
    <xf numFmtId="194" fontId="14" fillId="0" borderId="0" xfId="6" applyNumberFormat="1" applyFont="1"/>
    <xf numFmtId="44" fontId="14" fillId="0" borderId="0" xfId="6" applyNumberFormat="1" applyFont="1"/>
  </cellXfs>
  <cellStyles count="10">
    <cellStyle name="백분율" xfId="5" builtinId="5"/>
    <cellStyle name="백분율 2" xfId="4"/>
    <cellStyle name="백분율 3" xfId="8"/>
    <cellStyle name="쉼표 [0]" xfId="1" builtinId="6"/>
    <cellStyle name="쉼표 [0] 2" xfId="9"/>
    <cellStyle name="쉼표 2" xfId="3"/>
    <cellStyle name="쉼표 3" xfId="7"/>
    <cellStyle name="표준" xfId="0" builtinId="0"/>
    <cellStyle name="표준 2" xfId="2"/>
    <cellStyle name="표준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9"/>
  <sheetViews>
    <sheetView zoomScaleNormal="100" workbookViewId="0">
      <selection activeCell="B13" sqref="B13"/>
    </sheetView>
  </sheetViews>
  <sheetFormatPr defaultColWidth="9" defaultRowHeight="12" x14ac:dyDescent="0.3"/>
  <cols>
    <col min="1" max="1" width="22" style="3" bestFit="1" customWidth="1"/>
    <col min="2" max="2" width="18.625" style="3" customWidth="1"/>
    <col min="3" max="3" width="26.875" style="3" bestFit="1" customWidth="1"/>
    <col min="4" max="4" width="19.75" style="3" customWidth="1"/>
    <col min="5" max="5" width="21.625" style="3" bestFit="1" customWidth="1"/>
    <col min="6" max="7" width="23.125" style="3" customWidth="1"/>
    <col min="8" max="8" width="19.375" style="3" bestFit="1" customWidth="1"/>
    <col min="9" max="9" width="26.875" style="3" bestFit="1" customWidth="1"/>
    <col min="10" max="10" width="9" style="3"/>
    <col min="11" max="11" width="10.375" style="3" bestFit="1" customWidth="1"/>
    <col min="12" max="12" width="21.875" style="3" bestFit="1" customWidth="1"/>
    <col min="13" max="16384" width="9" style="3"/>
  </cols>
  <sheetData>
    <row r="1" spans="1:5" ht="14.45" x14ac:dyDescent="0.45">
      <c r="A1" s="9" t="s">
        <v>23</v>
      </c>
      <c r="B1" s="28">
        <v>42901</v>
      </c>
    </row>
    <row r="3" spans="1:5" ht="14.45" x14ac:dyDescent="0.45">
      <c r="A3" s="2" t="s">
        <v>73</v>
      </c>
    </row>
    <row r="4" spans="1:5" ht="4.5" customHeight="1" x14ac:dyDescent="0.45">
      <c r="A4" s="2"/>
    </row>
    <row r="5" spans="1:5" ht="14.45" x14ac:dyDescent="0.45">
      <c r="A5" s="12" t="s">
        <v>92</v>
      </c>
      <c r="B5" s="6">
        <v>1118.5</v>
      </c>
      <c r="C5" s="106" t="s">
        <v>102</v>
      </c>
    </row>
    <row r="6" spans="1:5" x14ac:dyDescent="0.3">
      <c r="A6" s="109" t="s">
        <v>95</v>
      </c>
      <c r="B6" s="6">
        <v>379642857</v>
      </c>
      <c r="C6" s="5" t="s">
        <v>98</v>
      </c>
      <c r="D6" s="15"/>
      <c r="E6" s="15"/>
    </row>
    <row r="7" spans="1:5" x14ac:dyDescent="0.3">
      <c r="A7" s="110"/>
      <c r="B7" s="6">
        <f>B6*$B$5</f>
        <v>424630535554.5</v>
      </c>
      <c r="C7" s="5" t="s">
        <v>1</v>
      </c>
      <c r="D7" s="15"/>
      <c r="E7" s="15"/>
    </row>
    <row r="8" spans="1:5" x14ac:dyDescent="0.3">
      <c r="A8" s="111" t="s">
        <v>96</v>
      </c>
      <c r="B8" s="6">
        <v>10000000</v>
      </c>
      <c r="C8" s="5" t="s">
        <v>0</v>
      </c>
      <c r="D8" s="26"/>
      <c r="E8" s="15"/>
    </row>
    <row r="9" spans="1:5" x14ac:dyDescent="0.3">
      <c r="A9" s="112"/>
      <c r="B9" s="6">
        <f>B8*$B$5</f>
        <v>11185000000</v>
      </c>
      <c r="C9" s="5" t="s">
        <v>1</v>
      </c>
      <c r="D9" s="26"/>
      <c r="E9" s="15"/>
    </row>
    <row r="10" spans="1:5" x14ac:dyDescent="0.3">
      <c r="A10" s="109" t="s">
        <v>93</v>
      </c>
      <c r="B10" s="6">
        <f>B24</f>
        <v>148060714</v>
      </c>
      <c r="C10" s="5" t="s">
        <v>0</v>
      </c>
      <c r="D10" s="26">
        <f>B10/B6</f>
        <v>0.38999999939416746</v>
      </c>
      <c r="E10" s="15"/>
    </row>
    <row r="11" spans="1:5" x14ac:dyDescent="0.3">
      <c r="A11" s="110"/>
      <c r="B11" s="6">
        <f>D24</f>
        <v>165605908609</v>
      </c>
      <c r="C11" s="5" t="s">
        <v>1</v>
      </c>
      <c r="D11" s="26"/>
      <c r="E11" s="15"/>
    </row>
    <row r="12" spans="1:5" x14ac:dyDescent="0.3">
      <c r="A12" s="113" t="s">
        <v>94</v>
      </c>
      <c r="B12" s="6">
        <f>C24</f>
        <v>3900000</v>
      </c>
      <c r="C12" s="5" t="s">
        <v>0</v>
      </c>
      <c r="D12" s="26">
        <f>B12/B8</f>
        <v>0.39</v>
      </c>
      <c r="E12" s="16"/>
    </row>
    <row r="13" spans="1:5" x14ac:dyDescent="0.3">
      <c r="A13" s="114"/>
      <c r="B13" s="6">
        <f>E24</f>
        <v>4362150000</v>
      </c>
      <c r="C13" s="5" t="s">
        <v>1</v>
      </c>
      <c r="D13" s="25"/>
      <c r="E13" s="16"/>
    </row>
    <row r="14" spans="1:5" x14ac:dyDescent="0.3">
      <c r="A14" s="113" t="s">
        <v>97</v>
      </c>
      <c r="B14" s="6">
        <f>B8-B12</f>
        <v>6100000</v>
      </c>
      <c r="C14" s="5" t="s">
        <v>0</v>
      </c>
      <c r="D14" s="25"/>
      <c r="E14" s="16"/>
    </row>
    <row r="15" spans="1:5" x14ac:dyDescent="0.3">
      <c r="A15" s="114"/>
      <c r="B15" s="6">
        <f>B9-B13</f>
        <v>6822850000</v>
      </c>
      <c r="C15" s="5" t="s">
        <v>1</v>
      </c>
      <c r="D15" s="25"/>
      <c r="E15" s="16"/>
    </row>
    <row r="16" spans="1:5" ht="14.45" x14ac:dyDescent="0.45">
      <c r="B16" s="7"/>
      <c r="C16" s="8"/>
      <c r="D16" s="8"/>
      <c r="E16" s="8"/>
    </row>
    <row r="17" spans="1:9" ht="14.45" x14ac:dyDescent="0.45">
      <c r="A17" s="2" t="s">
        <v>75</v>
      </c>
      <c r="B17" s="7"/>
      <c r="C17" s="8"/>
      <c r="D17" s="8"/>
      <c r="E17" s="8"/>
    </row>
    <row r="18" spans="1:9" ht="4.5" customHeight="1" x14ac:dyDescent="0.45">
      <c r="B18" s="7"/>
      <c r="C18" s="8"/>
      <c r="D18" s="8"/>
      <c r="E18" s="8"/>
    </row>
    <row r="19" spans="1:9" ht="29.1" x14ac:dyDescent="0.45">
      <c r="A19" s="12" t="s">
        <v>99</v>
      </c>
      <c r="B19" s="12" t="s">
        <v>18</v>
      </c>
      <c r="C19" s="12" t="s">
        <v>19</v>
      </c>
      <c r="D19" s="12" t="s">
        <v>20</v>
      </c>
      <c r="E19" s="12" t="s">
        <v>21</v>
      </c>
      <c r="F19" s="12" t="s">
        <v>17</v>
      </c>
      <c r="G19" s="27" t="s">
        <v>22</v>
      </c>
      <c r="H19" s="105" t="s">
        <v>100</v>
      </c>
      <c r="I19" s="12" t="s">
        <v>101</v>
      </c>
    </row>
    <row r="20" spans="1:9" ht="14.45" x14ac:dyDescent="0.45">
      <c r="A20" s="17">
        <f>'CC No.1'!B1</f>
        <v>42901</v>
      </c>
      <c r="B20" s="6">
        <v>148060714</v>
      </c>
      <c r="C20" s="6">
        <v>3900000</v>
      </c>
      <c r="D20" s="24">
        <f>B20*$B$5</f>
        <v>165605908609</v>
      </c>
      <c r="E20" s="24">
        <f>C20*$B$5</f>
        <v>4362150000</v>
      </c>
      <c r="F20" s="6">
        <f>'CC No.1'!D19</f>
        <v>305668</v>
      </c>
      <c r="G20" s="19">
        <f>F20*$B$5</f>
        <v>341889658</v>
      </c>
      <c r="H20" s="13"/>
      <c r="I20" s="5" t="s">
        <v>105</v>
      </c>
    </row>
    <row r="21" spans="1:9" ht="14.45" x14ac:dyDescent="0.45">
      <c r="A21" s="17"/>
      <c r="B21" s="6"/>
      <c r="C21" s="6"/>
      <c r="D21" s="6"/>
      <c r="E21" s="6"/>
      <c r="G21" s="19"/>
      <c r="H21" s="13"/>
      <c r="I21" s="5"/>
    </row>
    <row r="22" spans="1:9" ht="14.45" x14ac:dyDescent="0.45">
      <c r="A22" s="17"/>
      <c r="B22" s="6"/>
      <c r="C22" s="6"/>
      <c r="D22" s="6"/>
      <c r="E22" s="6"/>
      <c r="F22" s="6"/>
      <c r="G22" s="19"/>
      <c r="H22" s="13"/>
      <c r="I22" s="5"/>
    </row>
    <row r="23" spans="1:9" ht="14.45" x14ac:dyDescent="0.45">
      <c r="A23" s="17"/>
      <c r="B23" s="6"/>
      <c r="C23" s="6"/>
      <c r="D23" s="6"/>
      <c r="E23" s="6"/>
      <c r="F23" s="6"/>
      <c r="G23" s="19"/>
      <c r="H23" s="13"/>
      <c r="I23" s="5"/>
    </row>
    <row r="24" spans="1:9" ht="14.45" x14ac:dyDescent="0.45">
      <c r="A24" s="12" t="s">
        <v>103</v>
      </c>
      <c r="B24" s="6">
        <f t="shared" ref="B24:H24" si="0">SUM(B20:B23)</f>
        <v>148060714</v>
      </c>
      <c r="C24" s="6">
        <f t="shared" si="0"/>
        <v>3900000</v>
      </c>
      <c r="D24" s="24">
        <f t="shared" si="0"/>
        <v>165605908609</v>
      </c>
      <c r="E24" s="24">
        <f t="shared" si="0"/>
        <v>4362150000</v>
      </c>
      <c r="F24" s="6">
        <f t="shared" si="0"/>
        <v>305668</v>
      </c>
      <c r="G24" s="6">
        <f t="shared" si="0"/>
        <v>341889658</v>
      </c>
      <c r="H24" s="13">
        <f t="shared" si="0"/>
        <v>0</v>
      </c>
      <c r="I24" s="5"/>
    </row>
    <row r="25" spans="1:9" ht="14.45" x14ac:dyDescent="0.45">
      <c r="B25" s="7"/>
      <c r="C25" s="8"/>
      <c r="D25" s="8"/>
      <c r="E25" s="8"/>
    </row>
    <row r="26" spans="1:9" ht="17.100000000000001" x14ac:dyDescent="0.45">
      <c r="A26" s="71" t="s">
        <v>74</v>
      </c>
      <c r="B26" s="70"/>
      <c r="C26" s="70"/>
      <c r="D26" s="70"/>
      <c r="E26" s="70"/>
    </row>
    <row r="27" spans="1:9" ht="3.75" customHeight="1" x14ac:dyDescent="0.45">
      <c r="A27" s="70"/>
      <c r="B27" s="70"/>
      <c r="C27" s="70"/>
      <c r="D27" s="70"/>
      <c r="E27" s="70"/>
    </row>
    <row r="28" spans="1:9" s="9" customFormat="1" ht="14.45" x14ac:dyDescent="0.45">
      <c r="A28" s="76" t="s">
        <v>99</v>
      </c>
      <c r="B28" s="76" t="s">
        <v>64</v>
      </c>
      <c r="C28" s="76" t="s">
        <v>65</v>
      </c>
      <c r="D28" s="76" t="s">
        <v>92</v>
      </c>
      <c r="E28" s="76" t="s">
        <v>101</v>
      </c>
    </row>
    <row r="29" spans="1:9" ht="14.45" x14ac:dyDescent="0.45">
      <c r="A29" s="77">
        <v>42901</v>
      </c>
      <c r="B29" s="73">
        <v>3900000</v>
      </c>
      <c r="C29" s="78">
        <f>B29*D29</f>
        <v>4387500000</v>
      </c>
      <c r="D29" s="73">
        <v>1125</v>
      </c>
      <c r="E29" s="72" t="s">
        <v>104</v>
      </c>
    </row>
    <row r="30" spans="1:9" ht="14.45" x14ac:dyDescent="0.45">
      <c r="A30" s="77"/>
      <c r="B30" s="73"/>
      <c r="C30" s="78"/>
      <c r="D30" s="73"/>
      <c r="E30" s="79"/>
    </row>
    <row r="31" spans="1:9" ht="14.45" x14ac:dyDescent="0.45">
      <c r="A31" s="77"/>
      <c r="B31" s="73"/>
      <c r="C31" s="78"/>
      <c r="D31" s="73"/>
      <c r="E31" s="79"/>
    </row>
    <row r="32" spans="1:9" ht="14.45" x14ac:dyDescent="0.45">
      <c r="A32" s="77"/>
      <c r="B32" s="73"/>
      <c r="C32" s="78"/>
      <c r="D32" s="73"/>
      <c r="E32" s="79"/>
    </row>
    <row r="33" spans="1:5" ht="14.45" x14ac:dyDescent="0.45">
      <c r="A33" s="77"/>
      <c r="B33" s="73"/>
      <c r="C33" s="78"/>
      <c r="D33" s="73"/>
      <c r="E33" s="79"/>
    </row>
    <row r="34" spans="1:5" ht="14.45" x14ac:dyDescent="0.45">
      <c r="A34" s="76" t="s">
        <v>103</v>
      </c>
      <c r="B34" s="73">
        <f>SUM(B29:B33)</f>
        <v>3900000</v>
      </c>
      <c r="C34" s="73">
        <f>SUM(C29:C33)</f>
        <v>4387500000</v>
      </c>
      <c r="D34" s="73"/>
      <c r="E34" s="79"/>
    </row>
    <row r="35" spans="1:5" ht="17.100000000000001" x14ac:dyDescent="0.45">
      <c r="A35" s="70"/>
      <c r="B35" s="74"/>
      <c r="C35" s="75"/>
      <c r="D35" s="75"/>
      <c r="E35" s="75"/>
    </row>
    <row r="37" spans="1:5" s="9" customFormat="1" ht="14.45" x14ac:dyDescent="0.45"/>
    <row r="38" spans="1:5" ht="14.45" x14ac:dyDescent="0.45">
      <c r="B38" s="7"/>
      <c r="C38" s="7"/>
      <c r="D38" s="7"/>
      <c r="E38" s="7"/>
    </row>
    <row r="45" spans="1:5" x14ac:dyDescent="0.3">
      <c r="B45" s="10"/>
      <c r="C45" s="11"/>
      <c r="D45" s="11"/>
      <c r="E45" s="11"/>
    </row>
    <row r="46" spans="1:5" x14ac:dyDescent="0.3">
      <c r="B46" s="10"/>
      <c r="C46" s="11"/>
      <c r="D46" s="11"/>
      <c r="E46" s="11"/>
    </row>
    <row r="47" spans="1:5" x14ac:dyDescent="0.3">
      <c r="B47" s="10"/>
      <c r="C47" s="11"/>
      <c r="D47" s="11"/>
      <c r="E47" s="11"/>
    </row>
    <row r="48" spans="1:5" x14ac:dyDescent="0.3">
      <c r="B48" s="10"/>
      <c r="C48" s="11"/>
      <c r="D48" s="11"/>
      <c r="E48" s="11"/>
    </row>
    <row r="49" spans="2:5" x14ac:dyDescent="0.3">
      <c r="B49" s="10"/>
      <c r="C49" s="11"/>
      <c r="D49" s="11"/>
      <c r="E49" s="11"/>
    </row>
    <row r="50" spans="2:5" x14ac:dyDescent="0.3">
      <c r="B50" s="10"/>
      <c r="C50" s="11"/>
      <c r="D50" s="11"/>
      <c r="E50" s="11"/>
    </row>
    <row r="51" spans="2:5" x14ac:dyDescent="0.3">
      <c r="B51" s="10"/>
      <c r="C51" s="11"/>
      <c r="D51" s="11"/>
      <c r="E51" s="11"/>
    </row>
    <row r="52" spans="2:5" x14ac:dyDescent="0.3">
      <c r="B52" s="10"/>
      <c r="C52" s="11"/>
      <c r="D52" s="11"/>
      <c r="E52" s="11"/>
    </row>
    <row r="53" spans="2:5" x14ac:dyDescent="0.3">
      <c r="B53" s="10"/>
      <c r="C53" s="10"/>
      <c r="D53" s="10"/>
      <c r="E53" s="10"/>
    </row>
    <row r="54" spans="2:5" x14ac:dyDescent="0.3">
      <c r="B54" s="10"/>
      <c r="C54" s="10"/>
      <c r="D54" s="10"/>
      <c r="E54" s="10"/>
    </row>
    <row r="55" spans="2:5" x14ac:dyDescent="0.3">
      <c r="B55" s="10"/>
      <c r="C55" s="10"/>
      <c r="D55" s="10"/>
      <c r="E55" s="10"/>
    </row>
    <row r="56" spans="2:5" x14ac:dyDescent="0.3">
      <c r="B56" s="10"/>
      <c r="C56" s="10"/>
      <c r="D56" s="10"/>
      <c r="E56" s="10"/>
    </row>
    <row r="57" spans="2:5" x14ac:dyDescent="0.3">
      <c r="B57" s="10"/>
      <c r="C57" s="10"/>
      <c r="D57" s="10"/>
      <c r="E57" s="10"/>
    </row>
    <row r="58" spans="2:5" x14ac:dyDescent="0.3">
      <c r="B58" s="10"/>
      <c r="C58" s="10"/>
      <c r="D58" s="10"/>
      <c r="E58" s="10"/>
    </row>
    <row r="59" spans="2:5" x14ac:dyDescent="0.3">
      <c r="B59" s="10"/>
      <c r="C59" s="10"/>
      <c r="D59" s="10"/>
      <c r="E59" s="10"/>
    </row>
  </sheetData>
  <mergeCells count="5">
    <mergeCell ref="A6:A7"/>
    <mergeCell ref="A8:A9"/>
    <mergeCell ref="A12:A13"/>
    <mergeCell ref="A14:A15"/>
    <mergeCell ref="A10:A11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opLeftCell="H1" zoomScaleNormal="100" workbookViewId="0">
      <selection activeCell="L7" sqref="L7"/>
    </sheetView>
  </sheetViews>
  <sheetFormatPr defaultColWidth="9" defaultRowHeight="16.5" x14ac:dyDescent="0.3"/>
  <cols>
    <col min="1" max="1" width="37.625" style="1" bestFit="1" customWidth="1"/>
    <col min="2" max="2" width="22.25" style="1" bestFit="1" customWidth="1"/>
    <col min="3" max="3" width="13.625" style="1" bestFit="1" customWidth="1"/>
    <col min="4" max="4" width="13.375" style="1" customWidth="1"/>
    <col min="5" max="5" width="12.125" style="1" bestFit="1" customWidth="1"/>
    <col min="6" max="7" width="12.125" style="1" customWidth="1"/>
    <col min="8" max="10" width="13.375" style="1" customWidth="1"/>
    <col min="11" max="11" width="26.25" style="1" bestFit="1" customWidth="1"/>
    <col min="12" max="12" width="19.375" style="1" bestFit="1" customWidth="1"/>
    <col min="13" max="13" width="15" style="1" bestFit="1" customWidth="1"/>
    <col min="14" max="15" width="17" style="1" customWidth="1"/>
    <col min="16" max="16" width="19" style="1" bestFit="1" customWidth="1"/>
    <col min="17" max="17" width="14.625" style="1" customWidth="1"/>
    <col min="18" max="18" width="15.375" style="1" bestFit="1" customWidth="1"/>
    <col min="19" max="16384" width="9" style="1"/>
  </cols>
  <sheetData>
    <row r="1" spans="1:18" x14ac:dyDescent="0.3">
      <c r="A1" s="12" t="s">
        <v>106</v>
      </c>
      <c r="B1" s="14">
        <v>42901</v>
      </c>
    </row>
    <row r="3" spans="1:18" ht="29.25" x14ac:dyDescent="0.3">
      <c r="A3" s="12" t="s">
        <v>9</v>
      </c>
      <c r="B3" s="12" t="s">
        <v>10</v>
      </c>
      <c r="C3" s="12" t="s">
        <v>11</v>
      </c>
      <c r="D3" s="12" t="s">
        <v>12</v>
      </c>
      <c r="E3" s="125" t="s">
        <v>138</v>
      </c>
      <c r="F3" s="125" t="s">
        <v>139</v>
      </c>
      <c r="G3" s="125" t="s">
        <v>140</v>
      </c>
      <c r="H3" s="125" t="s">
        <v>141</v>
      </c>
      <c r="I3" s="108" t="s">
        <v>143</v>
      </c>
      <c r="J3" s="108" t="s">
        <v>142</v>
      </c>
      <c r="K3" s="12" t="s">
        <v>13</v>
      </c>
      <c r="L3" s="107" t="s">
        <v>108</v>
      </c>
      <c r="M3" s="18" t="s">
        <v>127</v>
      </c>
      <c r="N3" s="18" t="s">
        <v>109</v>
      </c>
      <c r="O3" s="18" t="s">
        <v>110</v>
      </c>
      <c r="P3" s="107" t="s">
        <v>114</v>
      </c>
      <c r="Q3" s="18" t="s">
        <v>115</v>
      </c>
      <c r="R3" s="107" t="s">
        <v>116</v>
      </c>
    </row>
    <row r="4" spans="1:18" x14ac:dyDescent="0.3">
      <c r="A4" s="4" t="s">
        <v>132</v>
      </c>
      <c r="B4" s="4" t="s">
        <v>2</v>
      </c>
      <c r="C4" s="13">
        <v>20519840</v>
      </c>
      <c r="D4" s="13">
        <v>500993</v>
      </c>
      <c r="E4" s="13">
        <f>C4*$C$23</f>
        <v>3241821.856792781</v>
      </c>
      <c r="F4" s="13">
        <f>C4*$C$24</f>
        <v>221623.52829418681</v>
      </c>
      <c r="G4" s="13">
        <f>C4*$C$25</f>
        <v>170479.6371493745</v>
      </c>
      <c r="H4" s="13">
        <f>C4*$C$26</f>
        <v>55671.489348225427</v>
      </c>
      <c r="I4" s="123">
        <f>H4+G4+F4+E4+C4</f>
        <v>24209436.511584569</v>
      </c>
      <c r="J4" s="126">
        <v>24209436.511584599</v>
      </c>
      <c r="K4" s="4" t="s">
        <v>3</v>
      </c>
      <c r="L4" s="19">
        <f>C4*'Fund Overview'!$B$5</f>
        <v>22951441040</v>
      </c>
      <c r="M4" s="57"/>
      <c r="N4" s="57">
        <v>42361</v>
      </c>
      <c r="O4" s="58" t="s">
        <v>111</v>
      </c>
      <c r="P4" s="101" t="s">
        <v>117</v>
      </c>
      <c r="Q4" s="5"/>
      <c r="R4" s="5"/>
    </row>
    <row r="5" spans="1:18" x14ac:dyDescent="0.3">
      <c r="A5" s="4" t="s">
        <v>133</v>
      </c>
      <c r="B5" s="4" t="s">
        <v>2</v>
      </c>
      <c r="C5" s="13">
        <v>12097697</v>
      </c>
      <c r="D5" s="13">
        <v>318660</v>
      </c>
      <c r="E5" s="13">
        <f>C5*$C$23</f>
        <v>1911251.6740606388</v>
      </c>
      <c r="F5" s="13">
        <f t="shared" ref="F5:F13" si="0">C5*$C$24</f>
        <v>130660.58474988103</v>
      </c>
      <c r="G5" s="13">
        <f t="shared" ref="G5:G13" si="1">C5*$C$25</f>
        <v>100508.14211529311</v>
      </c>
      <c r="H5" s="13">
        <f t="shared" ref="G5:H20" si="2">C5*$C$26</f>
        <v>32821.737872885882</v>
      </c>
      <c r="I5" s="123">
        <f t="shared" ref="I5:I12" si="3">H5+G5+F5+E5+C5</f>
        <v>14272939.138798699</v>
      </c>
      <c r="J5" s="126">
        <v>14272939.138798701</v>
      </c>
      <c r="K5" s="4" t="s">
        <v>3</v>
      </c>
      <c r="L5" s="19">
        <f>C5*'Fund Overview'!$B$5</f>
        <v>13531274094.5</v>
      </c>
      <c r="M5" s="57"/>
      <c r="N5" s="57">
        <v>42368</v>
      </c>
      <c r="O5" s="58" t="s">
        <v>111</v>
      </c>
      <c r="P5" s="101" t="s">
        <v>118</v>
      </c>
      <c r="Q5" s="5"/>
      <c r="R5" s="5"/>
    </row>
    <row r="6" spans="1:18" x14ac:dyDescent="0.3">
      <c r="A6" s="4" t="s">
        <v>134</v>
      </c>
      <c r="B6" s="4" t="s">
        <v>2</v>
      </c>
      <c r="C6" s="13">
        <v>10000000</v>
      </c>
      <c r="D6" s="13">
        <v>263405</v>
      </c>
      <c r="E6" s="13">
        <f t="shared" ref="E6:E12" si="4">C6*$C$23</f>
        <v>1579847.531361249</v>
      </c>
      <c r="F6" s="13">
        <f t="shared" si="0"/>
        <v>108004.51089978615</v>
      </c>
      <c r="G6" s="13">
        <f t="shared" si="1"/>
        <v>83080.392999835516</v>
      </c>
      <c r="H6" s="13">
        <f t="shared" si="2"/>
        <v>27130.566977240283</v>
      </c>
      <c r="I6" s="123">
        <f t="shared" si="3"/>
        <v>11798063.002238112</v>
      </c>
      <c r="J6" s="126">
        <v>11798063.0022381</v>
      </c>
      <c r="K6" s="4" t="s">
        <v>3</v>
      </c>
      <c r="L6" s="19">
        <f>C6*'Fund Overview'!$B$5</f>
        <v>11185000000</v>
      </c>
      <c r="M6" s="57"/>
      <c r="N6" s="57">
        <v>42432</v>
      </c>
      <c r="O6" s="57" t="s">
        <v>112</v>
      </c>
      <c r="P6" s="101" t="s">
        <v>119</v>
      </c>
      <c r="Q6" s="5"/>
      <c r="R6" s="5"/>
    </row>
    <row r="7" spans="1:18" x14ac:dyDescent="0.3">
      <c r="A7" s="4" t="s">
        <v>128</v>
      </c>
      <c r="B7" s="4" t="s">
        <v>2</v>
      </c>
      <c r="C7" s="13">
        <v>22120651</v>
      </c>
      <c r="D7" s="13">
        <v>582670</v>
      </c>
      <c r="E7" s="13">
        <f t="shared" si="4"/>
        <v>3494725.5874453741</v>
      </c>
      <c r="F7" s="13">
        <f t="shared" si="0"/>
        <v>238913.00920398656</v>
      </c>
      <c r="G7" s="13">
        <f t="shared" si="1"/>
        <v>183779.23784922046</v>
      </c>
      <c r="H7" s="13">
        <f t="shared" si="2"/>
        <v>60014.580353565725</v>
      </c>
      <c r="I7" s="123">
        <f t="shared" si="3"/>
        <v>26098083.414852146</v>
      </c>
      <c r="J7" s="126">
        <v>26098083.414852101</v>
      </c>
      <c r="K7" s="4" t="s">
        <v>3</v>
      </c>
      <c r="L7" s="19">
        <f>C7*'Fund Overview'!$B$5</f>
        <v>24741948143.5</v>
      </c>
      <c r="M7" s="57"/>
      <c r="N7" s="60">
        <v>42493</v>
      </c>
      <c r="O7" s="60" t="s">
        <v>111</v>
      </c>
      <c r="P7" s="101" t="s">
        <v>120</v>
      </c>
      <c r="Q7" s="5"/>
      <c r="R7" s="5"/>
    </row>
    <row r="8" spans="1:18" x14ac:dyDescent="0.3">
      <c r="A8" s="4" t="s">
        <v>129</v>
      </c>
      <c r="B8" s="4" t="s">
        <v>2</v>
      </c>
      <c r="C8" s="13">
        <v>11635940</v>
      </c>
      <c r="D8" s="13">
        <v>373742</v>
      </c>
      <c r="E8" s="13">
        <f t="shared" si="4"/>
        <v>1838301.1084067612</v>
      </c>
      <c r="F8" s="13">
        <f t="shared" si="0"/>
        <v>125673.40085592578</v>
      </c>
      <c r="G8" s="13">
        <f t="shared" si="1"/>
        <v>96671.846812250602</v>
      </c>
      <c r="H8" s="13">
        <f t="shared" si="2"/>
        <v>31568.964951314931</v>
      </c>
      <c r="I8" s="123">
        <f t="shared" si="3"/>
        <v>13728155.321026253</v>
      </c>
      <c r="J8" s="126">
        <v>13728155.321026299</v>
      </c>
      <c r="K8" s="4" t="s">
        <v>3</v>
      </c>
      <c r="L8" s="19">
        <f>C8*'Fund Overview'!$B$5</f>
        <v>13014798890</v>
      </c>
      <c r="M8" s="57"/>
      <c r="N8" s="57">
        <v>42601</v>
      </c>
      <c r="O8" s="60" t="s">
        <v>111</v>
      </c>
      <c r="P8" s="101" t="s">
        <v>121</v>
      </c>
      <c r="Q8" s="5"/>
      <c r="R8" s="5"/>
    </row>
    <row r="9" spans="1:18" x14ac:dyDescent="0.3">
      <c r="A9" s="4" t="s">
        <v>135</v>
      </c>
      <c r="B9" s="4" t="s">
        <v>2</v>
      </c>
      <c r="C9" s="13">
        <v>9562056</v>
      </c>
      <c r="D9" s="13">
        <v>251870</v>
      </c>
      <c r="E9" s="13">
        <f t="shared" si="4"/>
        <v>1510659.0566338019</v>
      </c>
      <c r="F9" s="13">
        <f t="shared" si="0"/>
        <v>103274.51814763657</v>
      </c>
      <c r="G9" s="13">
        <f t="shared" si="1"/>
        <v>79441.937036643518</v>
      </c>
      <c r="H9" s="13">
        <f t="shared" si="2"/>
        <v>25942.400074812231</v>
      </c>
      <c r="I9" s="123">
        <f t="shared" si="3"/>
        <v>11281373.911892895</v>
      </c>
      <c r="J9" s="126">
        <v>11281373.9118929</v>
      </c>
      <c r="K9" s="4" t="s">
        <v>3</v>
      </c>
      <c r="L9" s="19">
        <f>C9*'Fund Overview'!$B$5</f>
        <v>10695159636</v>
      </c>
      <c r="M9" s="57"/>
      <c r="N9" s="64">
        <v>42580</v>
      </c>
      <c r="O9" s="61" t="s">
        <v>113</v>
      </c>
      <c r="P9" s="101" t="s">
        <v>117</v>
      </c>
      <c r="Q9" s="5"/>
      <c r="R9" s="5"/>
    </row>
    <row r="10" spans="1:18" x14ac:dyDescent="0.3">
      <c r="A10" s="4" t="s">
        <v>136</v>
      </c>
      <c r="B10" s="4" t="s">
        <v>2</v>
      </c>
      <c r="C10" s="13">
        <v>4391944</v>
      </c>
      <c r="D10" s="13">
        <v>247389</v>
      </c>
      <c r="E10" s="13">
        <f t="shared" si="4"/>
        <v>693860.18862768495</v>
      </c>
      <c r="F10" s="13">
        <f t="shared" si="0"/>
        <v>47434.976361925044</v>
      </c>
      <c r="G10" s="13">
        <f t="shared" si="1"/>
        <v>36488.443355326963</v>
      </c>
      <c r="H10" s="13">
        <f t="shared" si="2"/>
        <v>11915.59308522886</v>
      </c>
      <c r="I10" s="123">
        <f t="shared" si="3"/>
        <v>5181643.2014301661</v>
      </c>
      <c r="J10" s="126">
        <v>5181643.2014301699</v>
      </c>
      <c r="K10" s="4" t="s">
        <v>3</v>
      </c>
      <c r="L10" s="19">
        <f>C10*'Fund Overview'!$B$5</f>
        <v>4912389364</v>
      </c>
      <c r="M10" s="57"/>
      <c r="N10" s="64">
        <v>42580</v>
      </c>
      <c r="O10" s="57" t="s">
        <v>113</v>
      </c>
      <c r="P10" s="101" t="s">
        <v>122</v>
      </c>
      <c r="Q10" s="5"/>
      <c r="R10" s="5"/>
    </row>
    <row r="11" spans="1:18" x14ac:dyDescent="0.3">
      <c r="A11" s="100" t="s">
        <v>131</v>
      </c>
      <c r="B11" s="4" t="s">
        <v>2</v>
      </c>
      <c r="C11" s="13">
        <v>12037215</v>
      </c>
      <c r="D11" s="13">
        <v>317067</v>
      </c>
      <c r="E11" s="13">
        <f t="shared" si="4"/>
        <v>1901696.4402214596</v>
      </c>
      <c r="F11" s="13">
        <f t="shared" si="0"/>
        <v>130007.35186705695</v>
      </c>
      <c r="G11" s="13">
        <f t="shared" si="1"/>
        <v>100005.65528235151</v>
      </c>
      <c r="H11" s="13">
        <f t="shared" si="2"/>
        <v>32657.646777694143</v>
      </c>
      <c r="I11" s="123">
        <f t="shared" si="3"/>
        <v>14201582.094148561</v>
      </c>
      <c r="J11" s="126">
        <v>14201582.0941486</v>
      </c>
      <c r="K11" s="4" t="s">
        <v>3</v>
      </c>
      <c r="L11" s="19">
        <f>C11*'Fund Overview'!$B$5</f>
        <v>13463624977.5</v>
      </c>
      <c r="M11" s="57"/>
      <c r="N11" s="57">
        <v>42867</v>
      </c>
      <c r="O11" s="62" t="s">
        <v>111</v>
      </c>
      <c r="P11" s="101" t="s">
        <v>123</v>
      </c>
      <c r="Q11" s="5"/>
      <c r="R11" s="5"/>
    </row>
    <row r="12" spans="1:18" x14ac:dyDescent="0.3">
      <c r="A12" s="4" t="s">
        <v>130</v>
      </c>
      <c r="B12" s="4" t="s">
        <v>2</v>
      </c>
      <c r="C12" s="13">
        <v>10000000</v>
      </c>
      <c r="D12" s="13">
        <v>263405</v>
      </c>
      <c r="E12" s="13">
        <f t="shared" si="4"/>
        <v>1579847.531361249</v>
      </c>
      <c r="F12" s="13">
        <f t="shared" si="0"/>
        <v>108004.51089978615</v>
      </c>
      <c r="G12" s="13">
        <f t="shared" si="1"/>
        <v>83080.392999835516</v>
      </c>
      <c r="H12" s="13">
        <f t="shared" si="2"/>
        <v>27130.566977240283</v>
      </c>
      <c r="I12" s="123">
        <f t="shared" si="3"/>
        <v>11798063.002238112</v>
      </c>
      <c r="J12" s="126">
        <v>11798063.0022381</v>
      </c>
      <c r="K12" s="4" t="s">
        <v>3</v>
      </c>
      <c r="L12" s="19">
        <f>C12*'Fund Overview'!$B$5</f>
        <v>11185000000</v>
      </c>
      <c r="M12" s="57"/>
      <c r="N12" s="62" t="s">
        <v>56</v>
      </c>
      <c r="O12" s="62"/>
      <c r="P12" s="59"/>
      <c r="Q12" s="5"/>
      <c r="R12" s="5"/>
    </row>
    <row r="13" spans="1:18" x14ac:dyDescent="0.3">
      <c r="A13" s="4" t="s">
        <v>137</v>
      </c>
      <c r="B13" s="4" t="s">
        <v>2</v>
      </c>
      <c r="C13" s="13">
        <v>8000000</v>
      </c>
      <c r="D13" s="13">
        <v>210724</v>
      </c>
      <c r="E13" s="13">
        <f>C13*$C$23</f>
        <v>1263878.0250889992</v>
      </c>
      <c r="F13" s="13">
        <f t="shared" si="0"/>
        <v>86403.608719828931</v>
      </c>
      <c r="G13" s="13">
        <f t="shared" si="1"/>
        <v>66464.31439986841</v>
      </c>
      <c r="H13" s="13">
        <f t="shared" si="2"/>
        <v>21704.453581792226</v>
      </c>
      <c r="I13" s="123">
        <f>H13+G13+F13+E13+C13</f>
        <v>9438450.4017904885</v>
      </c>
      <c r="J13" s="126">
        <v>9438450.4017904885</v>
      </c>
      <c r="K13" s="4" t="s">
        <v>3</v>
      </c>
      <c r="L13" s="19">
        <f>C13*'Fund Overview'!$B$5</f>
        <v>8948000000</v>
      </c>
      <c r="M13" s="57"/>
      <c r="N13" s="62" t="s">
        <v>57</v>
      </c>
      <c r="O13" s="62"/>
      <c r="P13" s="59"/>
      <c r="Q13" s="5"/>
      <c r="R13" s="5"/>
    </row>
    <row r="14" spans="1:18" x14ac:dyDescent="0.3">
      <c r="A14" s="117" t="s">
        <v>107</v>
      </c>
      <c r="B14" s="118"/>
      <c r="C14" s="20">
        <f>SUM(C4:C13)</f>
        <v>120365343</v>
      </c>
      <c r="D14" s="20">
        <f>SUM(D4:D13)</f>
        <v>3329925</v>
      </c>
      <c r="E14" s="20">
        <f>SUM(E4:E13)</f>
        <v>19015889</v>
      </c>
      <c r="F14" s="20">
        <f>SUM(F4:F13)</f>
        <v>1300000</v>
      </c>
      <c r="G14" s="20">
        <f>SUM(G4:G13)</f>
        <v>1000000</v>
      </c>
      <c r="H14" s="20">
        <f>SUM(H4:H13)</f>
        <v>326558</v>
      </c>
      <c r="I14" s="124">
        <f>SUM(I4:I13)</f>
        <v>142007790</v>
      </c>
      <c r="J14" s="127">
        <v>142007790</v>
      </c>
      <c r="K14" s="4" t="s">
        <v>16</v>
      </c>
      <c r="L14" s="63">
        <f>SUM(L4:L13)</f>
        <v>134628636145.5</v>
      </c>
      <c r="M14" s="21"/>
      <c r="N14" s="22"/>
      <c r="O14" s="22"/>
      <c r="P14" s="22"/>
      <c r="Q14" s="23"/>
      <c r="R14" s="23"/>
    </row>
    <row r="15" spans="1:18" x14ac:dyDescent="0.3">
      <c r="A15" s="4" t="s">
        <v>58</v>
      </c>
      <c r="B15" s="4" t="s">
        <v>4</v>
      </c>
      <c r="C15" s="13">
        <v>19015889</v>
      </c>
      <c r="D15" s="13">
        <v>500889</v>
      </c>
      <c r="E15" s="13"/>
      <c r="F15" s="13"/>
      <c r="G15" s="13"/>
      <c r="H15" s="13"/>
      <c r="I15" s="13"/>
      <c r="J15" s="13"/>
      <c r="K15" s="4" t="s">
        <v>3</v>
      </c>
    </row>
    <row r="16" spans="1:18" x14ac:dyDescent="0.3">
      <c r="A16" s="4" t="s">
        <v>60</v>
      </c>
      <c r="B16" s="4" t="s">
        <v>4</v>
      </c>
      <c r="C16" s="13">
        <v>1300000</v>
      </c>
      <c r="D16" s="13">
        <v>34243</v>
      </c>
      <c r="E16" s="13"/>
      <c r="F16" s="13"/>
      <c r="G16" s="13"/>
      <c r="H16" s="13"/>
      <c r="I16" s="13"/>
      <c r="J16" s="13"/>
      <c r="K16" s="4" t="s">
        <v>3</v>
      </c>
    </row>
    <row r="17" spans="1:11" x14ac:dyDescent="0.3">
      <c r="A17" s="4" t="s">
        <v>59</v>
      </c>
      <c r="B17" s="4" t="s">
        <v>5</v>
      </c>
      <c r="C17" s="13">
        <v>1000000</v>
      </c>
      <c r="D17" s="13">
        <v>26341</v>
      </c>
      <c r="E17" s="13"/>
      <c r="F17" s="13"/>
      <c r="G17" s="13"/>
      <c r="H17" s="13"/>
      <c r="I17" s="13"/>
      <c r="J17" s="13"/>
      <c r="K17" s="4" t="s">
        <v>3</v>
      </c>
    </row>
    <row r="18" spans="1:11" x14ac:dyDescent="0.3">
      <c r="A18" s="4" t="s">
        <v>61</v>
      </c>
      <c r="B18" s="4" t="s">
        <v>5</v>
      </c>
      <c r="C18" s="13">
        <v>326558</v>
      </c>
      <c r="D18" s="13">
        <v>8602</v>
      </c>
      <c r="E18" s="13"/>
      <c r="F18" s="13"/>
      <c r="G18" s="13"/>
      <c r="H18" s="13"/>
      <c r="I18" s="13"/>
      <c r="J18" s="13"/>
      <c r="K18" s="4" t="s">
        <v>3</v>
      </c>
    </row>
    <row r="19" spans="1:11" x14ac:dyDescent="0.3">
      <c r="A19" s="4" t="s">
        <v>8</v>
      </c>
      <c r="B19" s="4" t="s">
        <v>6</v>
      </c>
      <c r="C19" s="13"/>
      <c r="D19" s="13">
        <f>ROUND('Late Charge break down'!H15,0)</f>
        <v>305668</v>
      </c>
      <c r="E19" s="13"/>
      <c r="F19" s="13"/>
      <c r="G19" s="13"/>
      <c r="H19" s="13"/>
      <c r="I19" s="13"/>
      <c r="J19" s="13"/>
      <c r="K19" s="4" t="s">
        <v>7</v>
      </c>
    </row>
    <row r="20" spans="1:11" x14ac:dyDescent="0.3">
      <c r="A20" s="115" t="s">
        <v>14</v>
      </c>
      <c r="B20" s="116"/>
      <c r="C20" s="20">
        <f>SUM(C14:C18)</f>
        <v>142007790</v>
      </c>
      <c r="D20" s="20">
        <f>SUM(D14:D18)</f>
        <v>3900000</v>
      </c>
      <c r="E20" s="20"/>
      <c r="F20" s="20"/>
      <c r="G20" s="20"/>
      <c r="H20" s="20"/>
      <c r="I20" s="20"/>
      <c r="J20" s="20"/>
      <c r="K20" s="4"/>
    </row>
    <row r="21" spans="1:11" x14ac:dyDescent="0.3">
      <c r="A21" s="115" t="s">
        <v>15</v>
      </c>
      <c r="B21" s="116"/>
      <c r="C21" s="20">
        <f>SUM(C14:C19)</f>
        <v>142007790</v>
      </c>
      <c r="D21" s="20">
        <f>SUM(D14:D19)</f>
        <v>4205668</v>
      </c>
      <c r="E21" s="20"/>
      <c r="F21" s="20"/>
      <c r="G21" s="20"/>
      <c r="H21" s="20"/>
      <c r="I21" s="20"/>
      <c r="J21" s="20"/>
      <c r="K21" s="4"/>
    </row>
    <row r="23" spans="1:11" x14ac:dyDescent="0.3">
      <c r="C23" s="1">
        <f>C15/C14</f>
        <v>0.15798475313612489</v>
      </c>
    </row>
    <row r="24" spans="1:11" x14ac:dyDescent="0.3">
      <c r="C24" s="1">
        <f>C16/$C$14</f>
        <v>1.0800451089978616E-2</v>
      </c>
    </row>
    <row r="25" spans="1:11" x14ac:dyDescent="0.3">
      <c r="C25" s="1">
        <f>C17/$C$14</f>
        <v>8.3080392999835516E-3</v>
      </c>
    </row>
    <row r="26" spans="1:11" x14ac:dyDescent="0.3">
      <c r="C26" s="1">
        <f t="shared" ref="C26" si="5">C18/$C$14</f>
        <v>2.7130566977240284E-3</v>
      </c>
    </row>
  </sheetData>
  <mergeCells count="3">
    <mergeCell ref="A20:B20"/>
    <mergeCell ref="A21:B21"/>
    <mergeCell ref="A14:B14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"/>
  <sheetViews>
    <sheetView topLeftCell="A4" zoomScale="115" zoomScaleNormal="115" workbookViewId="0">
      <selection activeCell="H13" sqref="H13"/>
    </sheetView>
  </sheetViews>
  <sheetFormatPr defaultColWidth="9" defaultRowHeight="13.5" x14ac:dyDescent="0.3"/>
  <cols>
    <col min="1" max="1" width="14" style="81" customWidth="1"/>
    <col min="2" max="2" width="14.375" style="80" customWidth="1"/>
    <col min="3" max="3" width="8.25" style="81" customWidth="1"/>
    <col min="4" max="4" width="11" style="81" customWidth="1"/>
    <col min="5" max="5" width="14.25" style="81" bestFit="1" customWidth="1"/>
    <col min="6" max="6" width="10.125" style="81" bestFit="1" customWidth="1"/>
    <col min="7" max="7" width="10" style="81" bestFit="1" customWidth="1"/>
    <col min="8" max="8" width="11.375" style="81" bestFit="1" customWidth="1"/>
    <col min="9" max="9" width="11.75" style="81" customWidth="1"/>
    <col min="10" max="10" width="11.375" style="81" customWidth="1"/>
    <col min="11" max="16384" width="9" style="81"/>
  </cols>
  <sheetData>
    <row r="1" spans="1:10" ht="12.95" x14ac:dyDescent="0.45">
      <c r="A1" s="82" t="s">
        <v>66</v>
      </c>
      <c r="B1" s="83"/>
      <c r="C1" s="84"/>
      <c r="D1" s="84"/>
      <c r="E1" s="84"/>
      <c r="F1" s="84"/>
    </row>
    <row r="2" spans="1:10" ht="12.95" x14ac:dyDescent="0.45">
      <c r="A2" s="84"/>
      <c r="B2" s="83"/>
      <c r="C2" s="84"/>
      <c r="D2" s="84"/>
      <c r="E2" s="84"/>
      <c r="F2" s="84"/>
    </row>
    <row r="3" spans="1:10" ht="12.95" x14ac:dyDescent="0.45">
      <c r="A3" s="84"/>
      <c r="B3" s="83"/>
      <c r="C3" s="84"/>
      <c r="D3" s="84"/>
      <c r="E3" s="84"/>
      <c r="F3" s="84"/>
    </row>
    <row r="4" spans="1:10" ht="12.95" x14ac:dyDescent="0.45">
      <c r="A4" s="85" t="s">
        <v>67</v>
      </c>
      <c r="B4" s="86">
        <v>10000000</v>
      </c>
      <c r="C4" s="87" t="s">
        <v>68</v>
      </c>
      <c r="D4" s="84"/>
      <c r="E4" s="84"/>
      <c r="F4" s="84"/>
    </row>
    <row r="5" spans="1:10" ht="12.95" x14ac:dyDescent="0.45">
      <c r="A5" s="84"/>
      <c r="B5" s="83"/>
      <c r="C5" s="84"/>
      <c r="D5" s="84"/>
      <c r="E5" s="84"/>
      <c r="F5" s="84"/>
    </row>
    <row r="6" spans="1:10" ht="24" x14ac:dyDescent="0.3">
      <c r="A6" s="119" t="s">
        <v>69</v>
      </c>
      <c r="B6" s="119"/>
      <c r="C6" s="119"/>
      <c r="D6" s="91" t="s">
        <v>84</v>
      </c>
      <c r="E6" s="91" t="s">
        <v>70</v>
      </c>
      <c r="F6" s="91" t="s">
        <v>82</v>
      </c>
      <c r="G6" s="91" t="s">
        <v>88</v>
      </c>
      <c r="H6" s="119" t="s">
        <v>83</v>
      </c>
      <c r="I6" s="119" t="s">
        <v>86</v>
      </c>
      <c r="J6" s="119" t="s">
        <v>87</v>
      </c>
    </row>
    <row r="7" spans="1:10" x14ac:dyDescent="0.3">
      <c r="A7" s="92" t="s">
        <v>76</v>
      </c>
      <c r="B7" s="92" t="s">
        <v>77</v>
      </c>
      <c r="C7" s="92" t="s">
        <v>78</v>
      </c>
      <c r="D7" s="92" t="s">
        <v>71</v>
      </c>
      <c r="E7" s="92" t="s">
        <v>79</v>
      </c>
      <c r="F7" s="92" t="s">
        <v>72</v>
      </c>
      <c r="G7" s="92" t="s">
        <v>80</v>
      </c>
      <c r="H7" s="119"/>
      <c r="I7" s="119"/>
      <c r="J7" s="119"/>
    </row>
    <row r="8" spans="1:10" ht="12.95" x14ac:dyDescent="0.45">
      <c r="A8" s="96">
        <v>42354</v>
      </c>
      <c r="B8" s="96">
        <v>42369</v>
      </c>
      <c r="C8" s="97">
        <f>B8-A8+1</f>
        <v>16</v>
      </c>
      <c r="D8" s="88">
        <v>6.2500000000000003E-3</v>
      </c>
      <c r="E8" s="89">
        <f>ROUND($B$4*D8*C8/90,2)</f>
        <v>11111.11</v>
      </c>
      <c r="F8" s="90">
        <f t="shared" ref="F8:F16" si="0">1/5</f>
        <v>0.2</v>
      </c>
      <c r="G8" s="89">
        <f t="shared" ref="G8:G16" si="1">E8*F8</f>
        <v>2222.2220000000002</v>
      </c>
      <c r="H8" s="98" t="s">
        <v>85</v>
      </c>
      <c r="I8" s="98">
        <v>42935</v>
      </c>
      <c r="J8" s="99">
        <f t="shared" ref="J8:J14" si="2">G8</f>
        <v>2222.2220000000002</v>
      </c>
    </row>
    <row r="9" spans="1:10" ht="12.95" x14ac:dyDescent="0.45">
      <c r="A9" s="96">
        <v>42370</v>
      </c>
      <c r="B9" s="96">
        <v>42460</v>
      </c>
      <c r="C9" s="97">
        <f t="shared" ref="C9:C16" si="3">B9-A9</f>
        <v>90</v>
      </c>
      <c r="D9" s="88">
        <v>6.2500000000000003E-3</v>
      </c>
      <c r="E9" s="89">
        <f t="shared" ref="E9:E16" si="4">ROUND($B$4*D9,2)</f>
        <v>62500</v>
      </c>
      <c r="F9" s="90">
        <f t="shared" si="0"/>
        <v>0.2</v>
      </c>
      <c r="G9" s="89">
        <f t="shared" si="1"/>
        <v>12500</v>
      </c>
      <c r="H9" s="98" t="s">
        <v>85</v>
      </c>
      <c r="I9" s="98">
        <v>42935</v>
      </c>
      <c r="J9" s="99">
        <f t="shared" si="2"/>
        <v>12500</v>
      </c>
    </row>
    <row r="10" spans="1:10" ht="12.95" x14ac:dyDescent="0.45">
      <c r="A10" s="96">
        <v>42461</v>
      </c>
      <c r="B10" s="96">
        <v>42551</v>
      </c>
      <c r="C10" s="97">
        <f t="shared" si="3"/>
        <v>90</v>
      </c>
      <c r="D10" s="88">
        <v>6.2500000000000003E-3</v>
      </c>
      <c r="E10" s="89">
        <f t="shared" si="4"/>
        <v>62500</v>
      </c>
      <c r="F10" s="90">
        <f t="shared" si="0"/>
        <v>0.2</v>
      </c>
      <c r="G10" s="89">
        <f t="shared" si="1"/>
        <v>12500</v>
      </c>
      <c r="H10" s="98" t="s">
        <v>85</v>
      </c>
      <c r="I10" s="98">
        <v>42935</v>
      </c>
      <c r="J10" s="99">
        <f t="shared" si="2"/>
        <v>12500</v>
      </c>
    </row>
    <row r="11" spans="1:10" ht="12.95" x14ac:dyDescent="0.45">
      <c r="A11" s="96">
        <v>42552</v>
      </c>
      <c r="B11" s="96">
        <v>42643</v>
      </c>
      <c r="C11" s="97">
        <f t="shared" si="3"/>
        <v>91</v>
      </c>
      <c r="D11" s="88">
        <v>6.2500000000000003E-3</v>
      </c>
      <c r="E11" s="89">
        <f t="shared" si="4"/>
        <v>62500</v>
      </c>
      <c r="F11" s="90">
        <f t="shared" si="0"/>
        <v>0.2</v>
      </c>
      <c r="G11" s="89">
        <f t="shared" si="1"/>
        <v>12500</v>
      </c>
      <c r="H11" s="98" t="s">
        <v>85</v>
      </c>
      <c r="I11" s="98">
        <v>42935</v>
      </c>
      <c r="J11" s="99">
        <f t="shared" si="2"/>
        <v>12500</v>
      </c>
    </row>
    <row r="12" spans="1:10" ht="12.95" x14ac:dyDescent="0.45">
      <c r="A12" s="96">
        <v>42644</v>
      </c>
      <c r="B12" s="96">
        <v>42735</v>
      </c>
      <c r="C12" s="97">
        <f t="shared" si="3"/>
        <v>91</v>
      </c>
      <c r="D12" s="88">
        <v>6.2500000000000003E-3</v>
      </c>
      <c r="E12" s="89">
        <f t="shared" si="4"/>
        <v>62500</v>
      </c>
      <c r="F12" s="90">
        <f t="shared" si="0"/>
        <v>0.2</v>
      </c>
      <c r="G12" s="89">
        <f t="shared" si="1"/>
        <v>12500</v>
      </c>
      <c r="H12" s="98" t="s">
        <v>85</v>
      </c>
      <c r="I12" s="98">
        <v>42935</v>
      </c>
      <c r="J12" s="99">
        <f t="shared" si="2"/>
        <v>12500</v>
      </c>
    </row>
    <row r="13" spans="1:10" ht="12.95" x14ac:dyDescent="0.45">
      <c r="A13" s="96">
        <v>42736</v>
      </c>
      <c r="B13" s="96">
        <v>42825</v>
      </c>
      <c r="C13" s="97">
        <f t="shared" si="3"/>
        <v>89</v>
      </c>
      <c r="D13" s="88">
        <v>6.2500000000000003E-3</v>
      </c>
      <c r="E13" s="89">
        <f t="shared" si="4"/>
        <v>62500</v>
      </c>
      <c r="F13" s="90">
        <f t="shared" si="0"/>
        <v>0.2</v>
      </c>
      <c r="G13" s="89">
        <f t="shared" si="1"/>
        <v>12500</v>
      </c>
      <c r="H13" s="98" t="s">
        <v>85</v>
      </c>
      <c r="I13" s="98">
        <v>42935</v>
      </c>
      <c r="J13" s="99">
        <f t="shared" si="2"/>
        <v>12500</v>
      </c>
    </row>
    <row r="14" spans="1:10" ht="12.95" x14ac:dyDescent="0.45">
      <c r="A14" s="96">
        <v>42826</v>
      </c>
      <c r="B14" s="96">
        <v>42916</v>
      </c>
      <c r="C14" s="97">
        <f t="shared" si="3"/>
        <v>90</v>
      </c>
      <c r="D14" s="88">
        <v>6.2500000000000003E-3</v>
      </c>
      <c r="E14" s="89">
        <f t="shared" si="4"/>
        <v>62500</v>
      </c>
      <c r="F14" s="90">
        <f t="shared" si="0"/>
        <v>0.2</v>
      </c>
      <c r="G14" s="89">
        <f t="shared" si="1"/>
        <v>12500</v>
      </c>
      <c r="H14" s="98" t="s">
        <v>85</v>
      </c>
      <c r="I14" s="98">
        <v>42935</v>
      </c>
      <c r="J14" s="99">
        <f t="shared" si="2"/>
        <v>12500</v>
      </c>
    </row>
    <row r="15" spans="1:10" ht="12.95" x14ac:dyDescent="0.45">
      <c r="A15" s="96">
        <v>42917</v>
      </c>
      <c r="B15" s="96">
        <v>43008</v>
      </c>
      <c r="C15" s="97">
        <f t="shared" si="3"/>
        <v>91</v>
      </c>
      <c r="D15" s="88">
        <v>6.2500000000000003E-3</v>
      </c>
      <c r="E15" s="89">
        <f t="shared" si="4"/>
        <v>62500</v>
      </c>
      <c r="F15" s="90">
        <f t="shared" si="0"/>
        <v>0.2</v>
      </c>
      <c r="G15" s="89">
        <f t="shared" si="1"/>
        <v>12500</v>
      </c>
      <c r="H15" s="98">
        <v>42930</v>
      </c>
      <c r="I15" s="98" t="s">
        <v>90</v>
      </c>
      <c r="J15" s="99"/>
    </row>
    <row r="16" spans="1:10" ht="12.95" x14ac:dyDescent="0.45">
      <c r="A16" s="96">
        <v>43009</v>
      </c>
      <c r="B16" s="96">
        <v>43100</v>
      </c>
      <c r="C16" s="97">
        <f t="shared" si="3"/>
        <v>91</v>
      </c>
      <c r="D16" s="88">
        <v>6.2500000000000003E-3</v>
      </c>
      <c r="E16" s="89">
        <f t="shared" si="4"/>
        <v>62500</v>
      </c>
      <c r="F16" s="90">
        <f t="shared" si="0"/>
        <v>0.2</v>
      </c>
      <c r="G16" s="89">
        <f t="shared" si="1"/>
        <v>12500</v>
      </c>
      <c r="H16" s="98" t="s">
        <v>89</v>
      </c>
      <c r="I16" s="98" t="s">
        <v>90</v>
      </c>
      <c r="J16" s="99"/>
    </row>
    <row r="17" spans="1:10" ht="12.95" x14ac:dyDescent="0.45">
      <c r="A17" s="96"/>
      <c r="B17" s="96"/>
      <c r="C17" s="97"/>
      <c r="D17" s="88"/>
      <c r="E17" s="89"/>
      <c r="F17" s="90"/>
      <c r="G17" s="89"/>
      <c r="H17" s="98"/>
      <c r="I17" s="98"/>
      <c r="J17" s="99"/>
    </row>
    <row r="18" spans="1:10" ht="12.95" x14ac:dyDescent="0.45">
      <c r="A18" s="120" t="s">
        <v>81</v>
      </c>
      <c r="B18" s="121"/>
      <c r="C18" s="93"/>
      <c r="D18" s="94"/>
      <c r="E18" s="94">
        <f>SUM(E8:E17)</f>
        <v>511111.11</v>
      </c>
      <c r="F18" s="93"/>
      <c r="G18" s="95">
        <f>SUM(G8:G17)</f>
        <v>102222.22200000001</v>
      </c>
      <c r="H18" s="93"/>
      <c r="I18" s="93"/>
      <c r="J18" s="95">
        <f>SUM(J8:J17)</f>
        <v>77222.222000000009</v>
      </c>
    </row>
    <row r="20" spans="1:10" ht="12.95" x14ac:dyDescent="0.45">
      <c r="H20" s="103" t="s">
        <v>124</v>
      </c>
      <c r="I20" s="103" t="s">
        <v>125</v>
      </c>
      <c r="J20" s="103" t="s">
        <v>101</v>
      </c>
    </row>
    <row r="21" spans="1:10" x14ac:dyDescent="0.3">
      <c r="H21" s="102">
        <v>42935</v>
      </c>
      <c r="I21" s="104">
        <v>77217.22</v>
      </c>
      <c r="J21" s="81" t="s">
        <v>91</v>
      </c>
    </row>
    <row r="22" spans="1:10" ht="12.95" x14ac:dyDescent="0.45">
      <c r="A22" s="102"/>
    </row>
  </sheetData>
  <mergeCells count="5">
    <mergeCell ref="A6:C6"/>
    <mergeCell ref="H6:H7"/>
    <mergeCell ref="I6:I7"/>
    <mergeCell ref="J6:J7"/>
    <mergeCell ref="A18:B18"/>
  </mergeCells>
  <phoneticPr fontId="23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4"/>
  <sheetViews>
    <sheetView view="pageBreakPreview" zoomScaleNormal="100" zoomScaleSheetLayoutView="100" workbookViewId="0">
      <selection activeCell="D19" sqref="D19"/>
    </sheetView>
  </sheetViews>
  <sheetFormatPr defaultColWidth="9.125" defaultRowHeight="15" x14ac:dyDescent="0.25"/>
  <cols>
    <col min="1" max="1" width="9.625" style="29" bestFit="1" customWidth="1"/>
    <col min="2" max="2" width="23.875" style="29" customWidth="1"/>
    <col min="3" max="3" width="22.375" style="29" customWidth="1"/>
    <col min="4" max="4" width="12.625" style="29" bestFit="1" customWidth="1"/>
    <col min="5" max="16384" width="9.125" style="29"/>
  </cols>
  <sheetData>
    <row r="1" spans="1:4" ht="14.45" x14ac:dyDescent="0.35">
      <c r="A1" s="44" t="s">
        <v>37</v>
      </c>
    </row>
    <row r="2" spans="1:4" ht="14.45" x14ac:dyDescent="0.35">
      <c r="A2" s="43"/>
    </row>
    <row r="3" spans="1:4" ht="14.45" x14ac:dyDescent="0.35">
      <c r="A3" s="122"/>
      <c r="B3" s="122"/>
      <c r="C3" s="122"/>
      <c r="D3" s="122"/>
    </row>
    <row r="4" spans="1:4" ht="14.45" x14ac:dyDescent="0.35">
      <c r="A4" s="42" t="s">
        <v>36</v>
      </c>
      <c r="B4" s="42" t="s">
        <v>35</v>
      </c>
      <c r="C4" s="42" t="s">
        <v>34</v>
      </c>
      <c r="D4" s="41" t="s">
        <v>33</v>
      </c>
    </row>
    <row r="5" spans="1:4" ht="14.45" x14ac:dyDescent="0.35">
      <c r="A5" s="40">
        <v>1</v>
      </c>
      <c r="B5" s="39">
        <v>42347</v>
      </c>
      <c r="C5" s="39">
        <v>42354</v>
      </c>
      <c r="D5" s="38">
        <v>0.15</v>
      </c>
    </row>
    <row r="6" spans="1:4" ht="14.45" x14ac:dyDescent="0.35">
      <c r="A6" s="40">
        <v>2</v>
      </c>
      <c r="B6" s="39">
        <v>42396</v>
      </c>
      <c r="C6" s="39">
        <v>42411</v>
      </c>
      <c r="D6" s="38">
        <v>0.06</v>
      </c>
    </row>
    <row r="7" spans="1:4" ht="14.45" x14ac:dyDescent="0.35">
      <c r="A7" s="40">
        <v>3</v>
      </c>
      <c r="B7" s="39">
        <v>42478</v>
      </c>
      <c r="C7" s="39">
        <v>42489</v>
      </c>
      <c r="D7" s="38">
        <v>0.09</v>
      </c>
    </row>
    <row r="8" spans="1:4" ht="14.45" x14ac:dyDescent="0.35">
      <c r="A8" s="40">
        <v>4</v>
      </c>
      <c r="B8" s="39">
        <v>42555</v>
      </c>
      <c r="C8" s="39">
        <v>42569</v>
      </c>
      <c r="D8" s="38">
        <v>0.09</v>
      </c>
    </row>
    <row r="9" spans="1:4" ht="14.45" x14ac:dyDescent="0.35">
      <c r="B9" s="39"/>
      <c r="C9" s="39"/>
      <c r="D9" s="38"/>
    </row>
    <row r="10" spans="1:4" ht="14.45" x14ac:dyDescent="0.35">
      <c r="A10" s="37" t="s">
        <v>32</v>
      </c>
      <c r="B10" s="37"/>
      <c r="C10" s="37"/>
      <c r="D10" s="36">
        <f>SUM(D5:D9)</f>
        <v>0.39</v>
      </c>
    </row>
    <row r="13" spans="1:4" ht="14.45" x14ac:dyDescent="0.35">
      <c r="A13" s="29" t="s">
        <v>31</v>
      </c>
      <c r="D13" s="35">
        <v>10000000</v>
      </c>
    </row>
    <row r="14" spans="1:4" ht="14.45" x14ac:dyDescent="0.35">
      <c r="A14" s="29" t="s">
        <v>30</v>
      </c>
      <c r="D14" s="34">
        <f>D13*D10</f>
        <v>3900000</v>
      </c>
    </row>
    <row r="17" spans="1:4" ht="14.45" x14ac:dyDescent="0.35">
      <c r="A17" s="31" t="s">
        <v>29</v>
      </c>
    </row>
    <row r="18" spans="1:4" ht="14.45" x14ac:dyDescent="0.35">
      <c r="A18" s="31"/>
      <c r="C18" s="29" t="s">
        <v>28</v>
      </c>
      <c r="D18" s="33">
        <f>D14</f>
        <v>3900000</v>
      </c>
    </row>
    <row r="19" spans="1:4" ht="14.45" x14ac:dyDescent="0.35">
      <c r="C19" s="29" t="s">
        <v>27</v>
      </c>
      <c r="D19" s="32">
        <f>'Late Charge break down'!H15</f>
        <v>305667.91951613838</v>
      </c>
    </row>
    <row r="20" spans="1:4" thickBot="1" x14ac:dyDescent="0.4">
      <c r="C20" s="31" t="s">
        <v>26</v>
      </c>
      <c r="D20" s="30">
        <f>SUM(D18:D19)</f>
        <v>4205667.9195161387</v>
      </c>
    </row>
    <row r="21" spans="1:4" thickTop="1" x14ac:dyDescent="0.35"/>
    <row r="23" spans="1:4" ht="14.45" x14ac:dyDescent="0.35">
      <c r="A23" s="29" t="s">
        <v>25</v>
      </c>
    </row>
    <row r="24" spans="1:4" ht="14.45" x14ac:dyDescent="0.35">
      <c r="A24" s="29" t="s">
        <v>24</v>
      </c>
    </row>
  </sheetData>
  <mergeCells count="1">
    <mergeCell ref="A3:D3"/>
  </mergeCells>
  <phoneticPr fontId="2" type="noConversion"/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I35" sqref="I35"/>
    </sheetView>
  </sheetViews>
  <sheetFormatPr defaultRowHeight="16.5" x14ac:dyDescent="0.3"/>
  <cols>
    <col min="1" max="1" width="22.75" bestFit="1" customWidth="1"/>
    <col min="2" max="2" width="18.25" customWidth="1"/>
    <col min="3" max="3" width="10.875" bestFit="1" customWidth="1"/>
  </cols>
  <sheetData>
    <row r="1" spans="1:9" x14ac:dyDescent="0.45">
      <c r="A1" s="65">
        <f>4/98/100</f>
        <v>4.0816326530612241E-4</v>
      </c>
    </row>
    <row r="2" spans="1:9" x14ac:dyDescent="0.45">
      <c r="A2" s="65">
        <v>0.02</v>
      </c>
      <c r="B2" s="67"/>
      <c r="C2" s="67"/>
      <c r="D2" s="67"/>
      <c r="E2" s="67"/>
      <c r="F2" s="67"/>
      <c r="G2" s="67"/>
      <c r="H2" s="67"/>
      <c r="I2" s="67"/>
    </row>
    <row r="3" spans="1:9" x14ac:dyDescent="0.45">
      <c r="A3" s="66">
        <f>A1+A2</f>
        <v>2.0408163265306124E-2</v>
      </c>
      <c r="B3" s="68">
        <f>'Fund Overview'!B6</f>
        <v>379642857</v>
      </c>
      <c r="C3" s="67"/>
      <c r="D3" s="67"/>
      <c r="E3" s="67"/>
      <c r="F3" s="67"/>
      <c r="G3" s="67"/>
      <c r="H3" s="67"/>
      <c r="I3" s="67"/>
    </row>
    <row r="4" spans="1:9" x14ac:dyDescent="0.45">
      <c r="A4" s="65">
        <f>A3+1</f>
        <v>1.0204081632653061</v>
      </c>
      <c r="B4" s="67">
        <f>B3/A4</f>
        <v>372049999.86000001</v>
      </c>
      <c r="C4" s="67">
        <f>B4*A3</f>
        <v>7592857.1400000006</v>
      </c>
      <c r="D4" s="67"/>
      <c r="E4" s="67"/>
      <c r="F4" s="67"/>
      <c r="G4" s="67"/>
      <c r="H4" s="67"/>
      <c r="I4" s="67"/>
    </row>
    <row r="5" spans="1:9" x14ac:dyDescent="0.45">
      <c r="A5" s="65"/>
      <c r="B5" s="67"/>
      <c r="C5" s="67"/>
      <c r="D5" s="67"/>
      <c r="E5" s="67"/>
      <c r="F5" s="67"/>
      <c r="G5" s="67"/>
      <c r="H5" s="67"/>
      <c r="I5" s="67"/>
    </row>
    <row r="6" spans="1:9" x14ac:dyDescent="0.45">
      <c r="A6" s="65"/>
      <c r="B6" s="67"/>
      <c r="C6" s="67"/>
      <c r="D6" s="67"/>
      <c r="E6" s="67"/>
      <c r="F6" s="67"/>
      <c r="G6" s="67"/>
      <c r="H6" s="67"/>
      <c r="I6" s="67"/>
    </row>
    <row r="7" spans="1:9" x14ac:dyDescent="0.45">
      <c r="B7" s="67"/>
      <c r="C7" s="67"/>
      <c r="D7" s="67"/>
      <c r="E7" s="67"/>
      <c r="F7" s="67"/>
      <c r="G7" s="67"/>
      <c r="H7" s="67"/>
      <c r="I7" s="67"/>
    </row>
    <row r="8" spans="1:9" x14ac:dyDescent="0.45">
      <c r="A8" t="s">
        <v>126</v>
      </c>
      <c r="B8" s="67">
        <v>7592857</v>
      </c>
      <c r="C8" s="67" t="s">
        <v>62</v>
      </c>
      <c r="D8" s="67"/>
      <c r="E8" s="67"/>
      <c r="F8" s="67"/>
      <c r="G8" s="67"/>
      <c r="H8" s="67"/>
      <c r="I8" s="67"/>
    </row>
    <row r="9" spans="1:9" x14ac:dyDescent="0.45">
      <c r="B9" s="69">
        <f>B8*'Fund Overview'!B5</f>
        <v>8492610554.5</v>
      </c>
      <c r="C9" s="67" t="s">
        <v>63</v>
      </c>
      <c r="D9" s="67"/>
      <c r="E9" s="67"/>
      <c r="F9" s="67"/>
      <c r="G9" s="67"/>
      <c r="H9" s="67"/>
      <c r="I9" s="67"/>
    </row>
    <row r="10" spans="1:9" x14ac:dyDescent="0.45">
      <c r="B10" s="67"/>
      <c r="C10" s="67"/>
      <c r="D10" s="67"/>
      <c r="E10" s="67"/>
      <c r="F10" s="67"/>
      <c r="G10" s="67"/>
      <c r="H10" s="67"/>
      <c r="I10" s="67"/>
    </row>
    <row r="11" spans="1:9" x14ac:dyDescent="0.45">
      <c r="B11" s="67"/>
      <c r="C11" s="67"/>
      <c r="D11" s="67"/>
      <c r="E11" s="67"/>
      <c r="F11" s="67"/>
      <c r="G11" s="67"/>
      <c r="H11" s="67"/>
      <c r="I11" s="67"/>
    </row>
    <row r="12" spans="1:9" x14ac:dyDescent="0.45">
      <c r="B12" s="67"/>
      <c r="C12" s="67"/>
      <c r="D12" s="67"/>
      <c r="E12" s="67"/>
      <c r="F12" s="67"/>
      <c r="G12" s="67"/>
      <c r="H12" s="67"/>
      <c r="I12" s="67"/>
    </row>
    <row r="13" spans="1:9" x14ac:dyDescent="0.45">
      <c r="B13" s="67"/>
      <c r="C13" s="67"/>
      <c r="D13" s="67"/>
      <c r="E13" s="67"/>
      <c r="F13" s="67"/>
      <c r="G13" s="67"/>
      <c r="H13" s="67"/>
      <c r="I13" s="67"/>
    </row>
    <row r="14" spans="1:9" x14ac:dyDescent="0.45">
      <c r="B14" s="67"/>
      <c r="C14" s="67"/>
      <c r="D14" s="67"/>
      <c r="E14" s="67"/>
      <c r="F14" s="67"/>
      <c r="G14" s="67"/>
      <c r="H14" s="67"/>
      <c r="I14" s="67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6"/>
  <sheetViews>
    <sheetView tabSelected="1" zoomScaleNormal="100" zoomScaleSheetLayoutView="100" workbookViewId="0">
      <selection activeCell="C13" sqref="C13"/>
    </sheetView>
  </sheetViews>
  <sheetFormatPr defaultColWidth="9.125" defaultRowHeight="15" x14ac:dyDescent="0.25"/>
  <cols>
    <col min="1" max="1" width="9.125" style="29"/>
    <col min="2" max="2" width="11.25" style="29" customWidth="1"/>
    <col min="3" max="3" width="15.75" style="29" customWidth="1"/>
    <col min="4" max="4" width="13.375" style="29" bestFit="1" customWidth="1"/>
    <col min="5" max="5" width="12.375" style="29" customWidth="1"/>
    <col min="6" max="6" width="11.625" style="29" customWidth="1"/>
    <col min="7" max="7" width="11.125" style="29" customWidth="1"/>
    <col min="8" max="8" width="16.625" style="29" bestFit="1" customWidth="1"/>
    <col min="9" max="9" width="17.625" style="29" bestFit="1" customWidth="1"/>
    <col min="10" max="10" width="12" style="29" customWidth="1"/>
    <col min="11" max="16384" width="9.125" style="29"/>
  </cols>
  <sheetData>
    <row r="1" spans="1:9" x14ac:dyDescent="0.25">
      <c r="A1" s="44" t="s">
        <v>55</v>
      </c>
    </row>
    <row r="2" spans="1:9" x14ac:dyDescent="0.25">
      <c r="A2" s="44"/>
    </row>
    <row r="3" spans="1:9" x14ac:dyDescent="0.25">
      <c r="A3" s="29" t="s">
        <v>54</v>
      </c>
      <c r="F3" s="56">
        <v>42886</v>
      </c>
    </row>
    <row r="4" spans="1:9" x14ac:dyDescent="0.25">
      <c r="A4" s="29" t="s">
        <v>53</v>
      </c>
      <c r="F4" s="54">
        <v>0.04</v>
      </c>
    </row>
    <row r="5" spans="1:9" x14ac:dyDescent="0.25">
      <c r="A5" s="29" t="s">
        <v>52</v>
      </c>
      <c r="F5" s="55">
        <f>+F3+15</f>
        <v>42901</v>
      </c>
    </row>
    <row r="6" spans="1:9" x14ac:dyDescent="0.25">
      <c r="A6" s="29" t="s">
        <v>51</v>
      </c>
      <c r="F6" s="54">
        <f>F4+2%</f>
        <v>0.06</v>
      </c>
    </row>
    <row r="7" spans="1:9" x14ac:dyDescent="0.25">
      <c r="A7" s="29" t="s">
        <v>50</v>
      </c>
      <c r="F7" s="53">
        <f>+'Initial Cap Required'!D13</f>
        <v>10000000</v>
      </c>
    </row>
    <row r="10" spans="1:9" ht="30" x14ac:dyDescent="0.25">
      <c r="A10" s="42" t="s">
        <v>49</v>
      </c>
      <c r="B10" s="41" t="s">
        <v>48</v>
      </c>
      <c r="C10" s="41" t="s">
        <v>47</v>
      </c>
      <c r="E10" s="41" t="s">
        <v>46</v>
      </c>
      <c r="F10" s="41" t="s">
        <v>45</v>
      </c>
      <c r="G10" s="52" t="s">
        <v>44</v>
      </c>
      <c r="H10" s="52" t="s">
        <v>43</v>
      </c>
    </row>
    <row r="11" spans="1:9" x14ac:dyDescent="0.25">
      <c r="A11" s="29" t="s">
        <v>42</v>
      </c>
      <c r="B11" s="51">
        <f>'Initial Cap Required'!D5</f>
        <v>0.15</v>
      </c>
      <c r="C11" s="50">
        <f>B11*$F$7</f>
        <v>1500000</v>
      </c>
      <c r="D11" s="29">
        <f>C11*1118.5</f>
        <v>1677750000</v>
      </c>
      <c r="E11" s="128">
        <f>'Initial Cap Required'!C5</f>
        <v>42354</v>
      </c>
      <c r="F11" s="29">
        <f>$F$5-E11+1</f>
        <v>548</v>
      </c>
      <c r="G11" s="29">
        <v>365</v>
      </c>
      <c r="H11" s="34">
        <f>C11*(1+$F$6/G11)^(G11*F11/G11)-C11</f>
        <v>141384.17775346921</v>
      </c>
    </row>
    <row r="12" spans="1:9" x14ac:dyDescent="0.25">
      <c r="A12" s="29" t="s">
        <v>41</v>
      </c>
      <c r="B12" s="51">
        <f>'Initial Cap Required'!D6</f>
        <v>0.06</v>
      </c>
      <c r="C12" s="50">
        <f>B12*$F$7</f>
        <v>600000</v>
      </c>
      <c r="D12" s="29">
        <f>C12*1118.5</f>
        <v>671100000</v>
      </c>
      <c r="E12" s="128">
        <f>'Initial Cap Required'!C6</f>
        <v>42411</v>
      </c>
      <c r="F12" s="29">
        <f>$F$5-E12+1</f>
        <v>491</v>
      </c>
      <c r="G12" s="29">
        <v>365</v>
      </c>
      <c r="H12" s="34">
        <f>C12*(1+$F$6/G12)^(G12*F12/G12)-C12</f>
        <v>50431.085041111335</v>
      </c>
    </row>
    <row r="13" spans="1:9" x14ac:dyDescent="0.25">
      <c r="A13" s="29" t="s">
        <v>40</v>
      </c>
      <c r="B13" s="51">
        <f>'Initial Cap Required'!D7</f>
        <v>0.09</v>
      </c>
      <c r="C13" s="50">
        <f>B13*$F$7</f>
        <v>900000</v>
      </c>
      <c r="D13" s="29">
        <f>C13*1118.5</f>
        <v>1006650000</v>
      </c>
      <c r="E13" s="128">
        <f>'Initial Cap Required'!C7</f>
        <v>42489</v>
      </c>
      <c r="F13" s="29">
        <f>$F$5-E13+1</f>
        <v>413</v>
      </c>
      <c r="G13" s="29">
        <v>365</v>
      </c>
      <c r="H13" s="34">
        <f>C13*(1+$F$6/G13)^(G13*F13/G13)-C13</f>
        <v>63217.838924247539</v>
      </c>
    </row>
    <row r="14" spans="1:9" x14ac:dyDescent="0.25">
      <c r="A14" s="29" t="s">
        <v>39</v>
      </c>
      <c r="B14" s="51">
        <f>+'Initial Cap Required'!D8</f>
        <v>0.09</v>
      </c>
      <c r="C14" s="50">
        <f>B14*$F$7</f>
        <v>900000</v>
      </c>
      <c r="D14" s="29">
        <f>C14*1118.5</f>
        <v>1006650000</v>
      </c>
      <c r="E14" s="128">
        <f>'Initial Cap Required'!C8</f>
        <v>42569</v>
      </c>
      <c r="F14" s="29">
        <f>$F$5-E14+1</f>
        <v>333</v>
      </c>
      <c r="G14" s="29">
        <v>365</v>
      </c>
      <c r="H14" s="34">
        <f>C14*(1+$F$6/G14)^(G14*F14/G14)-C14</f>
        <v>50634.817797310301</v>
      </c>
    </row>
    <row r="15" spans="1:9" x14ac:dyDescent="0.25">
      <c r="A15" s="49" t="s">
        <v>38</v>
      </c>
      <c r="C15" s="48">
        <f>SUM(C11:C14)</f>
        <v>3900000</v>
      </c>
      <c r="D15" s="48">
        <f>SUM(D11:D14)</f>
        <v>4362150000</v>
      </c>
      <c r="H15" s="48">
        <f>SUM(H11:H14)</f>
        <v>305667.91951613838</v>
      </c>
      <c r="I15" s="33">
        <f>C15+H15</f>
        <v>4205667.9195161387</v>
      </c>
    </row>
    <row r="18" spans="1:10" x14ac:dyDescent="0.25">
      <c r="A18" s="29" t="s">
        <v>25</v>
      </c>
      <c r="I18" s="47"/>
      <c r="J18" s="47"/>
    </row>
    <row r="19" spans="1:10" x14ac:dyDescent="0.25">
      <c r="A19" s="29" t="s">
        <v>24</v>
      </c>
      <c r="H19" s="129">
        <f>C15*1118.5</f>
        <v>4362150000</v>
      </c>
      <c r="I19" s="130">
        <f>I15*1118.5</f>
        <v>4704039567.9788008</v>
      </c>
      <c r="J19" s="45"/>
    </row>
    <row r="20" spans="1:10" x14ac:dyDescent="0.25">
      <c r="I20" s="46"/>
      <c r="J20" s="45"/>
    </row>
    <row r="21" spans="1:10" x14ac:dyDescent="0.25">
      <c r="I21" s="46"/>
      <c r="J21" s="45"/>
    </row>
    <row r="22" spans="1:10" x14ac:dyDescent="0.25">
      <c r="I22" s="46"/>
      <c r="J22" s="45"/>
    </row>
    <row r="23" spans="1:10" x14ac:dyDescent="0.25">
      <c r="I23" s="46"/>
      <c r="J23" s="45"/>
    </row>
    <row r="24" spans="1:10" x14ac:dyDescent="0.25">
      <c r="I24" s="46"/>
      <c r="J24" s="45"/>
    </row>
    <row r="25" spans="1:10" x14ac:dyDescent="0.25">
      <c r="I25" s="46"/>
      <c r="J25" s="45"/>
    </row>
    <row r="26" spans="1:10" x14ac:dyDescent="0.25">
      <c r="I26" s="46"/>
      <c r="J26" s="45"/>
    </row>
  </sheetData>
  <phoneticPr fontId="2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</vt:i4>
      </vt:variant>
    </vt:vector>
  </HeadingPairs>
  <TitlesOfParts>
    <vt:vector size="7" baseType="lpstr">
      <vt:lpstr>Fund Overview</vt:lpstr>
      <vt:lpstr>CC No.1</vt:lpstr>
      <vt:lpstr>CC No.1 - MGT Rebate</vt:lpstr>
      <vt:lpstr>Initial Cap Required</vt:lpstr>
      <vt:lpstr>GP Estimated Contribution</vt:lpstr>
      <vt:lpstr>Late Charge break down</vt:lpstr>
      <vt:lpstr>'Late Charge break down'!Print_Area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dpark</dc:creator>
  <cp:lastModifiedBy>NYLEE</cp:lastModifiedBy>
  <dcterms:created xsi:type="dcterms:W3CDTF">2017-04-21T00:32:20Z</dcterms:created>
  <dcterms:modified xsi:type="dcterms:W3CDTF">2017-08-29T07:23:23Z</dcterms:modified>
</cp:coreProperties>
</file>