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bokyung\[logossystem]\[1---VC]\[VCERP3.0]\[고객]\[3.0-IMM]\IMM 제안서 샘플\"/>
    </mc:Choice>
  </mc:AlternateContent>
  <bookViews>
    <workbookView xWindow="0" yWindow="0" windowWidth="28800" windowHeight="11730" tabRatio="903" activeTab="9"/>
  </bookViews>
  <sheets>
    <sheet name="작성요령" sheetId="5" r:id="rId1"/>
    <sheet name="열제목별 목록값" sheetId="22" r:id="rId2"/>
    <sheet name="공직유관단체 코드" sheetId="23" r:id="rId3"/>
    <sheet name="1.1 제안펀드" sheetId="6" r:id="rId4"/>
    <sheet name="1.2 예상출자내역" sheetId="7" r:id="rId5"/>
    <sheet name="2.1 제안사 개요" sheetId="8" r:id="rId6"/>
    <sheet name="2.2 제안사 재무현황" sheetId="9" r:id="rId7"/>
    <sheet name="2.3 제안사 주주현황" sheetId="10" r:id="rId8"/>
    <sheet name="2.4 제안사 대표이사 변경이력" sheetId="11" r:id="rId9"/>
    <sheet name="2.5 제안사 펀드현황" sheetId="12" r:id="rId10"/>
    <sheet name="2.6 제안사 투자현황" sheetId="13" r:id="rId11"/>
    <sheet name="3.1 대표이사&amp;참여인력 개요" sheetId="14" r:id="rId12"/>
    <sheet name="3.2 참여인력 투자현황" sheetId="15" r:id="rId13"/>
    <sheet name="3.3 참여인력 학력" sheetId="16" r:id="rId14"/>
    <sheet name="3.4 대표이사&amp;참여인력 경력" sheetId="19" r:id="rId15"/>
    <sheet name="4.1 펀드거래" sheetId="17" r:id="rId16"/>
    <sheet name="4.2 핵심운용인력 변경이력" sheetId="24" r:id="rId17"/>
    <sheet name="5.1 업무협력 현황" sheetId="20" r:id="rId18"/>
    <sheet name="5.2 투자검토 내역" sheetId="21" r:id="rId19"/>
  </sheets>
  <externalReferences>
    <externalReference r:id="rId20"/>
  </externalReferences>
  <definedNames>
    <definedName name="_xlnm._FilterDatabase" localSheetId="9" hidden="1">'2.5 제안사 펀드현황'!$E$11:$CC$52</definedName>
    <definedName name="_xlnm._FilterDatabase" localSheetId="10" hidden="1">'2.6 제안사 투자현황'!$E$11:$AG$275</definedName>
    <definedName name="_xlnm._FilterDatabase" localSheetId="12" hidden="1">'3.2 참여인력 투자현황'!$E$11:$BE$93</definedName>
    <definedName name="_xlnm._FilterDatabase" localSheetId="15" hidden="1">'4.1 펀드거래'!$A$1:$D$665</definedName>
    <definedName name="_xlnm._FilterDatabase" localSheetId="16" hidden="1">'4.2 핵심운용인력 변경이력'!$A$1:$E$194</definedName>
    <definedName name="KDB출자_요청액">'열제목별 목록값'!$C$5:$C$5</definedName>
    <definedName name="_xlnm.Print_Area" localSheetId="15">'4.1 펀드거래'!$A$1:$D$467</definedName>
    <definedName name="_xlnm.Print_Area" localSheetId="1">'열제목별 목록값'!$A$1:$F$87</definedName>
    <definedName name="_xlnm.Print_Area" localSheetId="0">작성요령!$A$1:$G$429</definedName>
    <definedName name="공동투자약정_상대방_유형">'열제목별 목록값'!$C$9:$C$13</definedName>
    <definedName name="납입방식">'열제목별 목록값'!$C$7:$C$8</definedName>
    <definedName name="담당역할">'열제목별 목록값'!$F$47:$F$51</definedName>
    <definedName name="대표이사_구분">'열제목별 목록값'!$C$65:$C$67</definedName>
    <definedName name="대표이사_참여인력_개요">'3.1 대표이사&amp;참여인력 개요'!$E$11:$AG$22</definedName>
    <definedName name="대표이사_참여인력_경력">'3.4 대표이사&amp;참여인력 경력'!$E$11:$V$50</definedName>
    <definedName name="대표이사_참여인력_투자현황">'3.2 참여인력 투자현황'!$E$11:$BE$93</definedName>
    <definedName name="대표이사참여인력경력">'3.4 대표이사&amp;참여인력 경력'!$E$11:$V$50</definedName>
    <definedName name="동반투자자유형">'열제목별 목록값'!$C$60:$C$64</definedName>
    <definedName name="스튜어드십코드참여여부">'열제목별 목록값'!$C$75:$C$77</definedName>
    <definedName name="신청리그">'열제목별 목록값'!$C$4:$C$4</definedName>
    <definedName name="신청분야">'열제목별 목록값'!$C$6:$C$6</definedName>
    <definedName name="ㅇㅇㅇ">'[1]열제목별 목록값'!$F$20:$F$22</definedName>
    <definedName name="업무협력유형">'열제목별 목록값'!$F$61:$F$69</definedName>
    <definedName name="여부">'열제목별 목록값'!$C$68:$C$69</definedName>
    <definedName name="운용사유형">'열제목별 목록값'!$C$45:$C$54</definedName>
    <definedName name="재직회사_유형">'열제목별 목록값'!$F$58:$F$60</definedName>
    <definedName name="제안사_투자현황">'2.6 제안사 투자현황'!$E$11:$AG$275</definedName>
    <definedName name="제안사_펀드현황">'2.5 제안사 펀드현황'!$E$11:$CC$51</definedName>
    <definedName name="제안펀드의_주목적투자분야와_관련성">'열제목별 목록값'!$F$70:$F$71</definedName>
    <definedName name="주요업무수행내역">'열제목별 목록값'!$F$52:$F$57</definedName>
    <definedName name="참여인력구분">'열제목별 목록값'!$F$4:$F$7</definedName>
    <definedName name="출자자유형">'열제목별 목록값'!$C$30:$C$40</definedName>
    <definedName name="출자확정구분">'열제목별 목록값'!$C$41:$C$44</definedName>
    <definedName name="투자계정구분">'열제목별 목록값'!$F$37:$F$41</definedName>
    <definedName name="투자기업_법인유형">'열제목별 목록값'!$F$42:$F$46</definedName>
    <definedName name="투자유형">'열제목별 목록값'!$F$8:$F$19</definedName>
    <definedName name="펀드_거래">'4.1 펀드거래'!$A$2:$D$651</definedName>
    <definedName name="펀드거래유형">'열제목별 목록값'!$F$32:$F$36</definedName>
    <definedName name="펀드계정구분">'열제목별 목록값'!$F$72:$F$74</definedName>
    <definedName name="펀드구분">'열제목별 목록값'!$F$75:$F$77</definedName>
    <definedName name="펀드법적유형">'열제목별 목록값'!$C$14:$C$27</definedName>
    <definedName name="펀드상태">'열제목별 목록값'!$C$55:$C$59</definedName>
    <definedName name="펀드유형__투자대상확정여부">'열제목별 목록값'!$C$28:$C$29</definedName>
    <definedName name="핵심운용인력_변경구분">'열제목별 목록값'!$C$70:$C$74</definedName>
    <definedName name="핵심운용인력_변경내역">'4.2 핵심운용인력 변경이력'!$A$6:$E$190</definedName>
    <definedName name="핵심운용인력변경구분">'열제목별 목록값'!$C$70:$C$74</definedName>
    <definedName name="회수구분">'열제목별 목록값'!$F$20:$F$22</definedName>
    <definedName name="회수유형">'열제목별 목록값'!$F$23:$F$31</definedName>
  </definedNames>
  <calcPr calcId="152511"/>
</workbook>
</file>

<file path=xl/calcChain.xml><?xml version="1.0" encoding="utf-8"?>
<calcChain xmlns="http://schemas.openxmlformats.org/spreadsheetml/2006/main">
  <c r="AA15" i="12" l="1"/>
  <c r="BA84" i="15" l="1"/>
  <c r="AW84" i="15"/>
  <c r="F84" i="15" l="1"/>
  <c r="V11" i="13" l="1"/>
  <c r="V275" i="13"/>
  <c r="V274" i="13"/>
  <c r="V273" i="13"/>
  <c r="V272" i="13"/>
  <c r="V271" i="13"/>
  <c r="V270" i="13"/>
  <c r="V269" i="13"/>
  <c r="V268" i="13"/>
  <c r="V267" i="13"/>
  <c r="V266" i="13"/>
  <c r="V265" i="13"/>
  <c r="V264" i="13"/>
  <c r="V263" i="13"/>
  <c r="V262" i="13"/>
  <c r="V261" i="13"/>
  <c r="V260" i="13"/>
  <c r="V259" i="13"/>
  <c r="V258" i="13"/>
  <c r="V257" i="13"/>
  <c r="V256" i="13"/>
  <c r="V255" i="13"/>
  <c r="V254" i="13"/>
  <c r="V253" i="13"/>
  <c r="V252" i="13"/>
  <c r="V251" i="13"/>
  <c r="V250" i="13"/>
  <c r="V249" i="13"/>
  <c r="V248" i="13"/>
  <c r="V247" i="13"/>
  <c r="V246" i="13"/>
  <c r="V245" i="13"/>
  <c r="V244" i="13"/>
  <c r="V243" i="13"/>
  <c r="V242" i="13"/>
  <c r="V241" i="13"/>
  <c r="V240" i="13"/>
  <c r="V239" i="13"/>
  <c r="V238" i="13"/>
  <c r="V237" i="13"/>
  <c r="V236" i="13"/>
  <c r="V235" i="13"/>
  <c r="V234" i="13"/>
  <c r="V233" i="13"/>
  <c r="V232" i="13"/>
  <c r="V231" i="13"/>
  <c r="V230" i="13"/>
  <c r="V229" i="13"/>
  <c r="V228" i="13"/>
  <c r="V227" i="13"/>
  <c r="V226" i="13"/>
  <c r="V225" i="13"/>
  <c r="V224" i="13"/>
  <c r="V223" i="13"/>
  <c r="V222" i="13"/>
  <c r="V221" i="13"/>
  <c r="V220" i="13"/>
  <c r="V219" i="13"/>
  <c r="V218" i="13"/>
  <c r="V217" i="13"/>
  <c r="V216" i="13"/>
  <c r="V215" i="13"/>
  <c r="V214" i="13"/>
  <c r="V213" i="13"/>
  <c r="V212" i="13"/>
  <c r="V211" i="13"/>
  <c r="V210" i="13"/>
  <c r="V209" i="13"/>
  <c r="V208" i="13"/>
  <c r="V207" i="13"/>
  <c r="V206" i="13"/>
  <c r="V205" i="13"/>
  <c r="V204" i="13"/>
  <c r="V203" i="13"/>
  <c r="V202" i="13"/>
  <c r="V201" i="13"/>
  <c r="V200" i="13"/>
  <c r="V199" i="13"/>
  <c r="V198" i="13"/>
  <c r="V197" i="13"/>
  <c r="V196" i="13"/>
  <c r="V195" i="13"/>
  <c r="V194" i="13"/>
  <c r="V193" i="13"/>
  <c r="V192" i="13"/>
  <c r="V191" i="13"/>
  <c r="V190" i="13"/>
  <c r="V189" i="13"/>
  <c r="V188" i="13"/>
  <c r="V187" i="13"/>
  <c r="V186" i="13"/>
  <c r="V185" i="13"/>
  <c r="V184" i="13"/>
  <c r="V183" i="13"/>
  <c r="V182" i="13"/>
  <c r="V181" i="13"/>
  <c r="V180" i="13"/>
  <c r="V179" i="13"/>
  <c r="V178" i="13"/>
  <c r="V177" i="13"/>
  <c r="V176" i="13"/>
  <c r="V175" i="13"/>
  <c r="V174" i="13"/>
  <c r="V173" i="13"/>
  <c r="V172" i="13"/>
  <c r="V171" i="13"/>
  <c r="V170" i="13"/>
  <c r="V169" i="13"/>
  <c r="V168" i="13"/>
  <c r="V167" i="13"/>
  <c r="V166" i="13"/>
  <c r="V165" i="13"/>
  <c r="V164" i="13"/>
  <c r="V163" i="13"/>
  <c r="V162" i="13"/>
  <c r="V161" i="13"/>
  <c r="V160" i="13"/>
  <c r="V159" i="13"/>
  <c r="V158" i="13"/>
  <c r="V157" i="13"/>
  <c r="V156" i="13"/>
  <c r="V155" i="13"/>
  <c r="V154" i="13"/>
  <c r="V153" i="13"/>
  <c r="V152" i="13"/>
  <c r="V151" i="13"/>
  <c r="V150" i="13"/>
  <c r="V149" i="13"/>
  <c r="V148" i="13"/>
  <c r="V147" i="13"/>
  <c r="V146" i="13"/>
  <c r="V145" i="13"/>
  <c r="V144" i="13"/>
  <c r="V143" i="13"/>
  <c r="V142" i="13"/>
  <c r="V141" i="13"/>
  <c r="V140" i="13"/>
  <c r="V139" i="13"/>
  <c r="V138" i="13"/>
  <c r="V137" i="13"/>
  <c r="V136" i="13"/>
  <c r="V135" i="13"/>
  <c r="V134" i="13"/>
  <c r="V133" i="13"/>
  <c r="V132" i="13"/>
  <c r="V131" i="13"/>
  <c r="V130" i="13"/>
  <c r="V129" i="13"/>
  <c r="V128" i="13"/>
  <c r="V127" i="13"/>
  <c r="V126" i="13"/>
  <c r="V125" i="13"/>
  <c r="V124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M19" i="20" l="1"/>
  <c r="M11" i="20"/>
  <c r="M12" i="20"/>
  <c r="M13" i="20"/>
  <c r="M14" i="20"/>
  <c r="M15" i="20"/>
  <c r="M16" i="20"/>
  <c r="M17" i="20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BM11" i="12"/>
  <c r="Z11" i="12"/>
  <c r="AA11" i="12"/>
  <c r="AB11" i="12"/>
  <c r="AC11" i="12"/>
  <c r="AD11" i="12"/>
  <c r="T11" i="12"/>
  <c r="AL11" i="12" l="1"/>
  <c r="BM12" i="12"/>
  <c r="BM13" i="12"/>
  <c r="BM14" i="12"/>
  <c r="Z12" i="12"/>
  <c r="AA12" i="12"/>
  <c r="AB12" i="12"/>
  <c r="AC12" i="12"/>
  <c r="AD12" i="12"/>
  <c r="Z13" i="12"/>
  <c r="AA13" i="12"/>
  <c r="AB13" i="12"/>
  <c r="AC13" i="12"/>
  <c r="AD13" i="12"/>
  <c r="Z14" i="12"/>
  <c r="AA14" i="12"/>
  <c r="AB14" i="12"/>
  <c r="AC14" i="12"/>
  <c r="AD14" i="12"/>
  <c r="T12" i="12"/>
  <c r="T13" i="12"/>
  <c r="T14" i="12"/>
  <c r="AL13" i="12" l="1"/>
  <c r="C42" i="17" s="1"/>
  <c r="AL14" i="12"/>
  <c r="C62" i="17" s="1"/>
  <c r="AL12" i="12"/>
  <c r="C29" i="17" s="1"/>
  <c r="Y14" i="19"/>
  <c r="R14" i="19"/>
  <c r="L14" i="19"/>
  <c r="I14" i="19"/>
  <c r="F14" i="19"/>
  <c r="Y13" i="19"/>
  <c r="R13" i="19"/>
  <c r="L13" i="19"/>
  <c r="I13" i="19"/>
  <c r="F13" i="19"/>
  <c r="Y12" i="19"/>
  <c r="R12" i="19"/>
  <c r="L12" i="19"/>
  <c r="I12" i="19"/>
  <c r="F12" i="19"/>
  <c r="Y11" i="19"/>
  <c r="R11" i="19"/>
  <c r="L11" i="19"/>
  <c r="I11" i="19"/>
  <c r="F11" i="19"/>
  <c r="F11" i="15"/>
  <c r="T15" i="12" l="1"/>
  <c r="BM16" i="12" l="1"/>
  <c r="BM17" i="12"/>
  <c r="BM18" i="12"/>
  <c r="BM19" i="12"/>
  <c r="BM20" i="12"/>
  <c r="BM21" i="12"/>
  <c r="BM22" i="12"/>
  <c r="BM23" i="12"/>
  <c r="BM24" i="12"/>
  <c r="BM25" i="12"/>
  <c r="BM26" i="12"/>
  <c r="BM27" i="12"/>
  <c r="BM28" i="12"/>
  <c r="BM29" i="12"/>
  <c r="BM30" i="12"/>
  <c r="BM31" i="12"/>
  <c r="BM32" i="12"/>
  <c r="BM33" i="12"/>
  <c r="BM34" i="12"/>
  <c r="BM35" i="12"/>
  <c r="BM36" i="12"/>
  <c r="BM37" i="12"/>
  <c r="BM38" i="12"/>
  <c r="BM39" i="12"/>
  <c r="BM40" i="12"/>
  <c r="BM41" i="12"/>
  <c r="BM42" i="12"/>
  <c r="BM43" i="12"/>
  <c r="BM44" i="12"/>
  <c r="BM45" i="12"/>
  <c r="BM46" i="12"/>
  <c r="BM47" i="12"/>
  <c r="BM48" i="12"/>
  <c r="BM49" i="12"/>
  <c r="BM50" i="12"/>
  <c r="BM51" i="12"/>
  <c r="Z16" i="12"/>
  <c r="AA16" i="12"/>
  <c r="AB16" i="12"/>
  <c r="AC16" i="12"/>
  <c r="AD16" i="12"/>
  <c r="Z17" i="12"/>
  <c r="AA17" i="12"/>
  <c r="AB17" i="12"/>
  <c r="AC17" i="12"/>
  <c r="AD17" i="12"/>
  <c r="Z18" i="12"/>
  <c r="AA18" i="12"/>
  <c r="AB18" i="12"/>
  <c r="AC18" i="12"/>
  <c r="AD18" i="12"/>
  <c r="Z19" i="12"/>
  <c r="AA19" i="12"/>
  <c r="AB19" i="12"/>
  <c r="AC19" i="12"/>
  <c r="AD19" i="12"/>
  <c r="Z20" i="12"/>
  <c r="AA20" i="12"/>
  <c r="AB20" i="12"/>
  <c r="AC20" i="12"/>
  <c r="AD20" i="12"/>
  <c r="Z21" i="12"/>
  <c r="AA21" i="12"/>
  <c r="AB21" i="12"/>
  <c r="AC21" i="12"/>
  <c r="AD21" i="12"/>
  <c r="Z22" i="12"/>
  <c r="AA22" i="12"/>
  <c r="AB22" i="12"/>
  <c r="AC22" i="12"/>
  <c r="AD22" i="12"/>
  <c r="Z23" i="12"/>
  <c r="AA23" i="12"/>
  <c r="AB23" i="12"/>
  <c r="AC23" i="12"/>
  <c r="AD23" i="12"/>
  <c r="Z24" i="12"/>
  <c r="AA24" i="12"/>
  <c r="AB24" i="12"/>
  <c r="AC24" i="12"/>
  <c r="AD24" i="12"/>
  <c r="Z25" i="12"/>
  <c r="AA25" i="12"/>
  <c r="AB25" i="12"/>
  <c r="AC25" i="12"/>
  <c r="AD25" i="12"/>
  <c r="Z26" i="12"/>
  <c r="AA26" i="12"/>
  <c r="AB26" i="12"/>
  <c r="AC26" i="12"/>
  <c r="AD26" i="12"/>
  <c r="Z27" i="12"/>
  <c r="AA27" i="12"/>
  <c r="AB27" i="12"/>
  <c r="AC27" i="12"/>
  <c r="AD27" i="12"/>
  <c r="Z28" i="12"/>
  <c r="AA28" i="12"/>
  <c r="AB28" i="12"/>
  <c r="AC28" i="12"/>
  <c r="AD28" i="12"/>
  <c r="Z29" i="12"/>
  <c r="AA29" i="12"/>
  <c r="AB29" i="12"/>
  <c r="AC29" i="12"/>
  <c r="AD29" i="12"/>
  <c r="Z30" i="12"/>
  <c r="AA30" i="12"/>
  <c r="AB30" i="12"/>
  <c r="AC30" i="12"/>
  <c r="AD30" i="12"/>
  <c r="Z31" i="12"/>
  <c r="AA31" i="12"/>
  <c r="AB31" i="12"/>
  <c r="AC31" i="12"/>
  <c r="AD31" i="12"/>
  <c r="Z32" i="12"/>
  <c r="AA32" i="12"/>
  <c r="AB32" i="12"/>
  <c r="AC32" i="12"/>
  <c r="AD32" i="12"/>
  <c r="Z33" i="12"/>
  <c r="AA33" i="12"/>
  <c r="AB33" i="12"/>
  <c r="AC33" i="12"/>
  <c r="AD33" i="12"/>
  <c r="Z34" i="12"/>
  <c r="AA34" i="12"/>
  <c r="AB34" i="12"/>
  <c r="AC34" i="12"/>
  <c r="AD34" i="12"/>
  <c r="Z35" i="12"/>
  <c r="AA35" i="12"/>
  <c r="AB35" i="12"/>
  <c r="AC35" i="12"/>
  <c r="AD35" i="12"/>
  <c r="Z36" i="12"/>
  <c r="AA36" i="12"/>
  <c r="AB36" i="12"/>
  <c r="AC36" i="12"/>
  <c r="AD36" i="12"/>
  <c r="Z37" i="12"/>
  <c r="AA37" i="12"/>
  <c r="AB37" i="12"/>
  <c r="AC37" i="12"/>
  <c r="AD37" i="12"/>
  <c r="Z38" i="12"/>
  <c r="AA38" i="12"/>
  <c r="AB38" i="12"/>
  <c r="AC38" i="12"/>
  <c r="AD38" i="12"/>
  <c r="Z39" i="12"/>
  <c r="AA39" i="12"/>
  <c r="AB39" i="12"/>
  <c r="AC39" i="12"/>
  <c r="AD39" i="12"/>
  <c r="Z40" i="12"/>
  <c r="AA40" i="12"/>
  <c r="AB40" i="12"/>
  <c r="AC40" i="12"/>
  <c r="AD40" i="12"/>
  <c r="Z41" i="12"/>
  <c r="AA41" i="12"/>
  <c r="AB41" i="12"/>
  <c r="AC41" i="12"/>
  <c r="AD41" i="12"/>
  <c r="Z42" i="12"/>
  <c r="AA42" i="12"/>
  <c r="AB42" i="12"/>
  <c r="AC42" i="12"/>
  <c r="AD42" i="12"/>
  <c r="Z43" i="12"/>
  <c r="AA43" i="12"/>
  <c r="AB43" i="12"/>
  <c r="AC43" i="12"/>
  <c r="AD43" i="12"/>
  <c r="Z44" i="12"/>
  <c r="AA44" i="12"/>
  <c r="AB44" i="12"/>
  <c r="AC44" i="12"/>
  <c r="AD44" i="12"/>
  <c r="Z45" i="12"/>
  <c r="AA45" i="12"/>
  <c r="AB45" i="12"/>
  <c r="AC45" i="12"/>
  <c r="AD45" i="12"/>
  <c r="Z46" i="12"/>
  <c r="AA46" i="12"/>
  <c r="AB46" i="12"/>
  <c r="AC46" i="12"/>
  <c r="AD46" i="12"/>
  <c r="Z47" i="12"/>
  <c r="AA47" i="12"/>
  <c r="AB47" i="12"/>
  <c r="AC47" i="12"/>
  <c r="AD47" i="12"/>
  <c r="Z48" i="12"/>
  <c r="AA48" i="12"/>
  <c r="AB48" i="12"/>
  <c r="AC48" i="12"/>
  <c r="AD48" i="12"/>
  <c r="Z49" i="12"/>
  <c r="AA49" i="12"/>
  <c r="AB49" i="12"/>
  <c r="AC49" i="12"/>
  <c r="AD49" i="12"/>
  <c r="Z50" i="12"/>
  <c r="AA50" i="12"/>
  <c r="AB50" i="12"/>
  <c r="AC50" i="12"/>
  <c r="AD50" i="12"/>
  <c r="Z51" i="12"/>
  <c r="AA51" i="12"/>
  <c r="AB51" i="12"/>
  <c r="AC51" i="12"/>
  <c r="AD51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3" i="13"/>
  <c r="G274" i="13"/>
  <c r="AL30" i="12" l="1"/>
  <c r="AL31" i="12"/>
  <c r="AL22" i="12"/>
  <c r="C168" i="17" s="1"/>
  <c r="AL39" i="12"/>
  <c r="C404" i="17" s="1"/>
  <c r="AL23" i="12"/>
  <c r="C177" i="17" s="1"/>
  <c r="AL35" i="12"/>
  <c r="C346" i="17" s="1"/>
  <c r="AL46" i="12"/>
  <c r="C448" i="17" s="1"/>
  <c r="AL38" i="12"/>
  <c r="C371" i="17" s="1"/>
  <c r="AL43" i="12"/>
  <c r="C425" i="17" s="1"/>
  <c r="AL19" i="12"/>
  <c r="C96" i="17" s="1"/>
  <c r="AL36" i="12"/>
  <c r="C355" i="17" s="1"/>
  <c r="AL42" i="12"/>
  <c r="C422" i="17" s="1"/>
  <c r="AL34" i="12"/>
  <c r="C329" i="17" s="1"/>
  <c r="AL26" i="12"/>
  <c r="C231" i="17" s="1"/>
  <c r="AL18" i="12"/>
  <c r="C91" i="17" s="1"/>
  <c r="AL47" i="12"/>
  <c r="C451" i="17" s="1"/>
  <c r="AL27" i="12"/>
  <c r="C243" i="17" s="1"/>
  <c r="AL44" i="12"/>
  <c r="C434" i="17" s="1"/>
  <c r="AL40" i="12"/>
  <c r="C408" i="17" s="1"/>
  <c r="AL32" i="12"/>
  <c r="C316" i="17" s="1"/>
  <c r="AL50" i="12"/>
  <c r="C465" i="17" s="1"/>
  <c r="AL51" i="12"/>
  <c r="C467" i="17" s="1"/>
  <c r="AL49" i="12"/>
  <c r="C462" i="17" s="1"/>
  <c r="AL45" i="12"/>
  <c r="C443" i="17" s="1"/>
  <c r="AL41" i="12"/>
  <c r="C415" i="17" s="1"/>
  <c r="AL37" i="12"/>
  <c r="AL33" i="12"/>
  <c r="C322" i="17" s="1"/>
  <c r="AL29" i="12"/>
  <c r="C284" i="17" s="1"/>
  <c r="AL25" i="12"/>
  <c r="C216" i="17" s="1"/>
  <c r="AL21" i="12"/>
  <c r="AL17" i="12"/>
  <c r="AL48" i="12"/>
  <c r="C455" i="17" s="1"/>
  <c r="AL28" i="12"/>
  <c r="C253" i="17" s="1"/>
  <c r="AL24" i="12"/>
  <c r="C188" i="17" s="1"/>
  <c r="AL20" i="12"/>
  <c r="C110" i="17" s="1"/>
  <c r="AL16" i="12"/>
  <c r="G275" i="13"/>
  <c r="BA77" i="15"/>
  <c r="BA78" i="15"/>
  <c r="BA79" i="15"/>
  <c r="BA80" i="15"/>
  <c r="BA81" i="15"/>
  <c r="BA82" i="15"/>
  <c r="BA83" i="15"/>
  <c r="BA85" i="15"/>
  <c r="BA86" i="15"/>
  <c r="BA87" i="15"/>
  <c r="BA88" i="15"/>
  <c r="BA89" i="15"/>
  <c r="BA90" i="15"/>
  <c r="BA91" i="15"/>
  <c r="BA92" i="15"/>
  <c r="BA93" i="15"/>
  <c r="AW78" i="15"/>
  <c r="AW79" i="15"/>
  <c r="AW80" i="15"/>
  <c r="AW81" i="15"/>
  <c r="AW82" i="15"/>
  <c r="AW83" i="15"/>
  <c r="AW85" i="15"/>
  <c r="AW86" i="15"/>
  <c r="AW87" i="15"/>
  <c r="AW88" i="15"/>
  <c r="AW89" i="15"/>
  <c r="AW90" i="15"/>
  <c r="AW91" i="15"/>
  <c r="AW92" i="15"/>
  <c r="AW93" i="15"/>
  <c r="AB75" i="15"/>
  <c r="AB76" i="15"/>
  <c r="AB77" i="15"/>
  <c r="AB78" i="15"/>
  <c r="AB79" i="15"/>
  <c r="AB80" i="15"/>
  <c r="AB81" i="15"/>
  <c r="AB82" i="15"/>
  <c r="AB83" i="15"/>
  <c r="AB85" i="15"/>
  <c r="AB86" i="15"/>
  <c r="AB87" i="15"/>
  <c r="AB88" i="15"/>
  <c r="AB89" i="15"/>
  <c r="AB90" i="15"/>
  <c r="AB91" i="15"/>
  <c r="AB92" i="15"/>
  <c r="AB93" i="15"/>
  <c r="F86" i="15"/>
  <c r="F87" i="15"/>
  <c r="F88" i="15"/>
  <c r="F89" i="15"/>
  <c r="F90" i="15"/>
  <c r="BM15" i="12"/>
  <c r="Z15" i="12"/>
  <c r="AB15" i="12"/>
  <c r="AC15" i="12"/>
  <c r="AD15" i="12"/>
  <c r="C83" i="17" l="1"/>
  <c r="AE12" i="12"/>
  <c r="AF15" i="12"/>
  <c r="X18" i="12"/>
  <c r="X23" i="12"/>
  <c r="AF17" i="12"/>
  <c r="AF18" i="12"/>
  <c r="AF20" i="12"/>
  <c r="AF22" i="12"/>
  <c r="AF25" i="12"/>
  <c r="AF28" i="12"/>
  <c r="AF30" i="12"/>
  <c r="AF33" i="12"/>
  <c r="AF34" i="12"/>
  <c r="AF36" i="12"/>
  <c r="AF38" i="12"/>
  <c r="AF46" i="12"/>
  <c r="AF50" i="12"/>
  <c r="X29" i="12"/>
  <c r="X31" i="12"/>
  <c r="X34" i="12"/>
  <c r="X35" i="12"/>
  <c r="X37" i="12"/>
  <c r="X39" i="12"/>
  <c r="X42" i="12"/>
  <c r="X43" i="12"/>
  <c r="X45" i="12"/>
  <c r="X47" i="12"/>
  <c r="X50" i="12"/>
  <c r="X51" i="12"/>
  <c r="AE36" i="12"/>
  <c r="AE42" i="12"/>
  <c r="AE51" i="12"/>
  <c r="AF41" i="12"/>
  <c r="AF47" i="12"/>
  <c r="AE35" i="12"/>
  <c r="AE44" i="12"/>
  <c r="AE47" i="12"/>
  <c r="AF48" i="12"/>
  <c r="AE16" i="12"/>
  <c r="AE19" i="12"/>
  <c r="AE20" i="12"/>
  <c r="AE22" i="12"/>
  <c r="AE24" i="12"/>
  <c r="AE27" i="12"/>
  <c r="AE28" i="12"/>
  <c r="AE30" i="12"/>
  <c r="AE32" i="12"/>
  <c r="AE43" i="12"/>
  <c r="AE46" i="12"/>
  <c r="AF39" i="12"/>
  <c r="AF45" i="12"/>
  <c r="AL15" i="12"/>
  <c r="X12" i="12" l="1"/>
  <c r="AF26" i="12"/>
  <c r="X25" i="12"/>
  <c r="AE14" i="12"/>
  <c r="AE11" i="12"/>
  <c r="X24" i="12"/>
  <c r="Y36" i="12"/>
  <c r="AF42" i="12"/>
  <c r="Y42" i="12" s="1"/>
  <c r="AE31" i="12"/>
  <c r="AE23" i="12"/>
  <c r="AF51" i="12"/>
  <c r="Y51" i="12" s="1"/>
  <c r="AE33" i="12"/>
  <c r="AE39" i="12"/>
  <c r="X46" i="12"/>
  <c r="X38" i="12"/>
  <c r="X30" i="12"/>
  <c r="AF37" i="12"/>
  <c r="AF29" i="12"/>
  <c r="AF21" i="12"/>
  <c r="X19" i="12"/>
  <c r="X20" i="12"/>
  <c r="AF13" i="12"/>
  <c r="X26" i="12"/>
  <c r="X16" i="12"/>
  <c r="X13" i="12"/>
  <c r="AE49" i="12"/>
  <c r="AE29" i="12"/>
  <c r="AE21" i="12"/>
  <c r="AE50" i="12"/>
  <c r="AF44" i="12"/>
  <c r="Y44" i="12" s="1"/>
  <c r="AE34" i="12"/>
  <c r="X44" i="12"/>
  <c r="X36" i="12"/>
  <c r="X28" i="12"/>
  <c r="AF35" i="12"/>
  <c r="Y35" i="12" s="1"/>
  <c r="AF27" i="12"/>
  <c r="Y27" i="12" s="1"/>
  <c r="AF19" i="12"/>
  <c r="Y19" i="12" s="1"/>
  <c r="X22" i="12"/>
  <c r="X15" i="12"/>
  <c r="AE13" i="12"/>
  <c r="AF12" i="12"/>
  <c r="Y12" i="12" s="1"/>
  <c r="AE40" i="12"/>
  <c r="AE26" i="12"/>
  <c r="AE18" i="12"/>
  <c r="AE41" i="12"/>
  <c r="AE48" i="12"/>
  <c r="X49" i="12"/>
  <c r="X41" i="12"/>
  <c r="X33" i="12"/>
  <c r="AF43" i="12"/>
  <c r="Y43" i="12" s="1"/>
  <c r="AF32" i="12"/>
  <c r="Y32" i="12" s="1"/>
  <c r="AF24" i="12"/>
  <c r="Y24" i="12" s="1"/>
  <c r="AF16" i="12"/>
  <c r="Y16" i="12" s="1"/>
  <c r="X21" i="12"/>
  <c r="AF14" i="12"/>
  <c r="AF11" i="12"/>
  <c r="AF49" i="12"/>
  <c r="AE37" i="12"/>
  <c r="AE25" i="12"/>
  <c r="AE17" i="12"/>
  <c r="AE38" i="12"/>
  <c r="AE45" i="12"/>
  <c r="X48" i="12"/>
  <c r="X40" i="12"/>
  <c r="X32" i="12"/>
  <c r="AF40" i="12"/>
  <c r="AF31" i="12"/>
  <c r="AF23" i="12"/>
  <c r="X27" i="12"/>
  <c r="X17" i="12"/>
  <c r="X14" i="12"/>
  <c r="AE15" i="12"/>
  <c r="X11" i="12"/>
  <c r="Y28" i="12"/>
  <c r="Y46" i="12"/>
  <c r="Y20" i="12"/>
  <c r="Y30" i="12"/>
  <c r="Y22" i="12"/>
  <c r="Y47" i="12"/>
  <c r="Y17" i="12" l="1"/>
  <c r="Y15" i="12"/>
  <c r="Y11" i="12"/>
  <c r="Y14" i="12"/>
  <c r="Y39" i="12"/>
  <c r="Y25" i="12"/>
  <c r="Y18" i="12"/>
  <c r="Y33" i="12"/>
  <c r="Y26" i="12"/>
  <c r="Y38" i="12"/>
  <c r="Y50" i="12"/>
  <c r="Y41" i="12"/>
  <c r="Y34" i="12"/>
  <c r="Y45" i="12"/>
  <c r="Y48" i="12"/>
  <c r="Y21" i="12"/>
  <c r="Y13" i="12"/>
  <c r="Y37" i="12"/>
  <c r="Y49" i="12"/>
  <c r="Y29" i="12"/>
  <c r="Y23" i="12"/>
  <c r="Y31" i="12"/>
  <c r="Y40" i="12"/>
  <c r="Y41" i="19"/>
  <c r="R41" i="19"/>
  <c r="L41" i="19"/>
  <c r="I41" i="19"/>
  <c r="F41" i="19"/>
  <c r="Y40" i="19"/>
  <c r="R40" i="19"/>
  <c r="L40" i="19"/>
  <c r="I40" i="19"/>
  <c r="F40" i="19"/>
  <c r="F28" i="16"/>
  <c r="F29" i="16"/>
  <c r="F27" i="16"/>
  <c r="F30" i="16"/>
  <c r="F31" i="16"/>
  <c r="F20" i="16" l="1"/>
  <c r="W19" i="14"/>
  <c r="X19" i="14"/>
  <c r="Y19" i="14"/>
  <c r="AC19" i="14" s="1"/>
  <c r="Z19" i="14"/>
  <c r="AA19" i="14"/>
  <c r="AB19" i="14"/>
  <c r="AD19" i="14"/>
  <c r="AE19" i="14"/>
  <c r="AF19" i="14"/>
  <c r="AG19" i="14"/>
  <c r="H19" i="11" l="1"/>
  <c r="I19" i="11" s="1"/>
  <c r="G11" i="11"/>
  <c r="I11" i="11" s="1"/>
  <c r="I12" i="11"/>
  <c r="I13" i="11"/>
  <c r="I14" i="11"/>
  <c r="I15" i="11"/>
  <c r="I16" i="11"/>
  <c r="I17" i="11"/>
  <c r="I18" i="11"/>
  <c r="S11" i="9"/>
  <c r="R11" i="9"/>
  <c r="Q11" i="9"/>
  <c r="P11" i="9"/>
  <c r="O11" i="9"/>
  <c r="AR11" i="8"/>
  <c r="F42" i="15" l="1"/>
  <c r="AB42" i="15"/>
  <c r="AW42" i="15"/>
  <c r="BA42" i="15"/>
  <c r="F43" i="15"/>
  <c r="AB43" i="15"/>
  <c r="AW43" i="15"/>
  <c r="BA43" i="15"/>
  <c r="F25" i="15" l="1"/>
  <c r="AB25" i="15"/>
  <c r="AW25" i="15"/>
  <c r="BA25" i="15"/>
  <c r="F26" i="15"/>
  <c r="AB26" i="15"/>
  <c r="AW26" i="15"/>
  <c r="BA26" i="15"/>
  <c r="F27" i="15"/>
  <c r="AB27" i="15"/>
  <c r="AW27" i="15"/>
  <c r="BA27" i="15"/>
  <c r="F28" i="15"/>
  <c r="AB28" i="15"/>
  <c r="AW28" i="15"/>
  <c r="BA28" i="15"/>
  <c r="F29" i="15"/>
  <c r="AB29" i="15"/>
  <c r="AW29" i="15"/>
  <c r="BA29" i="15"/>
  <c r="F30" i="15"/>
  <c r="AB30" i="15"/>
  <c r="AW30" i="15"/>
  <c r="BA30" i="15"/>
  <c r="F31" i="15"/>
  <c r="AB31" i="15"/>
  <c r="AW31" i="15"/>
  <c r="BA31" i="15"/>
  <c r="F32" i="15"/>
  <c r="AB32" i="15"/>
  <c r="AW32" i="15"/>
  <c r="BA32" i="15"/>
  <c r="F33" i="15"/>
  <c r="AB33" i="15"/>
  <c r="AW33" i="15"/>
  <c r="BA33" i="15"/>
  <c r="F34" i="15"/>
  <c r="AB34" i="15"/>
  <c r="AW34" i="15"/>
  <c r="BA34" i="15"/>
  <c r="F35" i="15"/>
  <c r="AB35" i="15"/>
  <c r="AW35" i="15"/>
  <c r="BA35" i="15"/>
  <c r="F36" i="15"/>
  <c r="AB36" i="15"/>
  <c r="AW36" i="15"/>
  <c r="BA36" i="15"/>
  <c r="F37" i="15"/>
  <c r="AB37" i="15"/>
  <c r="AW37" i="15"/>
  <c r="BA37" i="15"/>
  <c r="F38" i="15"/>
  <c r="AB38" i="15"/>
  <c r="AW38" i="15"/>
  <c r="BA38" i="15"/>
  <c r="F39" i="15"/>
  <c r="AB39" i="15"/>
  <c r="AW39" i="15"/>
  <c r="BA39" i="15"/>
  <c r="F40" i="15"/>
  <c r="AB40" i="15"/>
  <c r="AW40" i="15"/>
  <c r="BA40" i="15"/>
  <c r="F41" i="15"/>
  <c r="AB41" i="15"/>
  <c r="AW41" i="15"/>
  <c r="BA41" i="15"/>
  <c r="F44" i="15"/>
  <c r="AB44" i="15"/>
  <c r="AW44" i="15"/>
  <c r="BA44" i="15"/>
  <c r="F45" i="15"/>
  <c r="AB45" i="15"/>
  <c r="AW45" i="15"/>
  <c r="BA45" i="15"/>
  <c r="F46" i="15"/>
  <c r="AB46" i="15"/>
  <c r="AW46" i="15"/>
  <c r="BA46" i="15"/>
  <c r="F47" i="15"/>
  <c r="AB47" i="15"/>
  <c r="AW47" i="15"/>
  <c r="BA47" i="15"/>
  <c r="F48" i="15"/>
  <c r="AB48" i="15"/>
  <c r="AW48" i="15"/>
  <c r="BA48" i="15"/>
  <c r="F49" i="15"/>
  <c r="AB49" i="15"/>
  <c r="AW49" i="15"/>
  <c r="BA49" i="15"/>
  <c r="F50" i="15"/>
  <c r="AB50" i="15"/>
  <c r="AW50" i="15"/>
  <c r="BA50" i="15"/>
  <c r="F51" i="15"/>
  <c r="AB51" i="15"/>
  <c r="AW51" i="15"/>
  <c r="BA51" i="15"/>
  <c r="F52" i="15"/>
  <c r="AB52" i="15"/>
  <c r="AW52" i="15"/>
  <c r="BA52" i="15"/>
  <c r="F53" i="15"/>
  <c r="AB53" i="15"/>
  <c r="AW53" i="15"/>
  <c r="BA53" i="15"/>
  <c r="F54" i="15"/>
  <c r="AB54" i="15"/>
  <c r="AW54" i="15"/>
  <c r="BA54" i="15"/>
  <c r="AB11" i="15"/>
  <c r="AW11" i="15"/>
  <c r="BA11" i="15"/>
  <c r="F12" i="15"/>
  <c r="AB12" i="15"/>
  <c r="AW12" i="15"/>
  <c r="BA12" i="15"/>
  <c r="F13" i="15"/>
  <c r="AB13" i="15"/>
  <c r="AW13" i="15"/>
  <c r="BA13" i="15"/>
  <c r="F14" i="15"/>
  <c r="AB14" i="15"/>
  <c r="AW14" i="15"/>
  <c r="BA14" i="15"/>
  <c r="F15" i="15"/>
  <c r="AB15" i="15"/>
  <c r="AW15" i="15"/>
  <c r="BA15" i="15"/>
  <c r="F55" i="15"/>
  <c r="AB55" i="15"/>
  <c r="AW55" i="15"/>
  <c r="BA55" i="15"/>
  <c r="F56" i="15"/>
  <c r="AB56" i="15"/>
  <c r="AW56" i="15"/>
  <c r="BA56" i="15"/>
  <c r="F57" i="15"/>
  <c r="AB57" i="15"/>
  <c r="AW57" i="15"/>
  <c r="BA57" i="15"/>
  <c r="F58" i="15"/>
  <c r="AB58" i="15"/>
  <c r="AW58" i="15"/>
  <c r="BA58" i="15"/>
  <c r="F59" i="15"/>
  <c r="AB59" i="15"/>
  <c r="AW59" i="15"/>
  <c r="BA59" i="15"/>
  <c r="F60" i="15"/>
  <c r="AB60" i="15"/>
  <c r="AW60" i="15"/>
  <c r="BA60" i="15"/>
  <c r="F61" i="15"/>
  <c r="AB61" i="15"/>
  <c r="AW61" i="15"/>
  <c r="BA61" i="15"/>
  <c r="F62" i="15"/>
  <c r="AB62" i="15"/>
  <c r="AW62" i="15"/>
  <c r="BA62" i="15"/>
  <c r="F63" i="15"/>
  <c r="AB63" i="15"/>
  <c r="AW63" i="15"/>
  <c r="BA63" i="15"/>
  <c r="F64" i="15"/>
  <c r="AB64" i="15"/>
  <c r="AW64" i="15"/>
  <c r="BA64" i="15"/>
  <c r="F65" i="15"/>
  <c r="AB65" i="15"/>
  <c r="AW65" i="15"/>
  <c r="BA65" i="15"/>
  <c r="F66" i="15"/>
  <c r="AB66" i="15"/>
  <c r="AW66" i="15"/>
  <c r="BA66" i="15"/>
  <c r="F67" i="15"/>
  <c r="AB67" i="15"/>
  <c r="AW67" i="15"/>
  <c r="BA67" i="15"/>
  <c r="F68" i="15"/>
  <c r="AB68" i="15"/>
  <c r="AW68" i="15"/>
  <c r="BA68" i="15"/>
  <c r="F69" i="15"/>
  <c r="AB69" i="15"/>
  <c r="AW69" i="15"/>
  <c r="BA69" i="15"/>
  <c r="F70" i="15"/>
  <c r="AB70" i="15"/>
  <c r="AW70" i="15"/>
  <c r="BA70" i="15"/>
  <c r="F71" i="15"/>
  <c r="AB71" i="15"/>
  <c r="AW71" i="15"/>
  <c r="BA71" i="15"/>
  <c r="F72" i="15"/>
  <c r="AB72" i="15"/>
  <c r="AW72" i="15"/>
  <c r="BA72" i="15"/>
  <c r="F73" i="15"/>
  <c r="AB73" i="15"/>
  <c r="AW73" i="15"/>
  <c r="BA73" i="15"/>
  <c r="F74" i="15"/>
  <c r="AB74" i="15"/>
  <c r="AW74" i="15"/>
  <c r="BA74" i="15"/>
  <c r="F75" i="15"/>
  <c r="AW75" i="15"/>
  <c r="BA75" i="15"/>
  <c r="F76" i="15"/>
  <c r="AW76" i="15"/>
  <c r="BA76" i="15"/>
  <c r="F77" i="15"/>
  <c r="AW77" i="15"/>
  <c r="F78" i="15"/>
  <c r="F79" i="15"/>
  <c r="F80" i="15"/>
  <c r="F81" i="15"/>
  <c r="F82" i="15"/>
  <c r="F83" i="15"/>
  <c r="F85" i="15"/>
  <c r="F91" i="15"/>
  <c r="F92" i="15"/>
  <c r="F93" i="15"/>
  <c r="F13" i="16" l="1"/>
  <c r="F14" i="16"/>
  <c r="F15" i="16"/>
  <c r="F16" i="16"/>
  <c r="F17" i="16"/>
  <c r="F18" i="16"/>
  <c r="F19" i="16"/>
  <c r="F21" i="16"/>
  <c r="F22" i="16"/>
  <c r="F23" i="16"/>
  <c r="F24" i="16"/>
  <c r="F25" i="16"/>
  <c r="F26" i="16"/>
  <c r="W18" i="14" l="1"/>
  <c r="X18" i="14"/>
  <c r="Y18" i="14"/>
  <c r="AC18" i="14" s="1"/>
  <c r="Z18" i="14"/>
  <c r="AA18" i="14"/>
  <c r="AB18" i="14"/>
  <c r="AD18" i="14"/>
  <c r="AE18" i="14"/>
  <c r="AF18" i="14"/>
  <c r="AG18" i="14"/>
  <c r="W16" i="14"/>
  <c r="X16" i="14"/>
  <c r="Y16" i="14"/>
  <c r="AC16" i="14" s="1"/>
  <c r="Z16" i="14"/>
  <c r="AA16" i="14"/>
  <c r="AB16" i="14"/>
  <c r="AD16" i="14"/>
  <c r="AE16" i="14"/>
  <c r="AF16" i="14"/>
  <c r="AG16" i="14"/>
  <c r="W17" i="14"/>
  <c r="X17" i="14"/>
  <c r="Y17" i="14"/>
  <c r="AC17" i="14" s="1"/>
  <c r="Z17" i="14"/>
  <c r="AA17" i="14"/>
  <c r="AB17" i="14"/>
  <c r="AD17" i="14"/>
  <c r="AE17" i="14"/>
  <c r="AF17" i="14"/>
  <c r="AG17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BA17" i="15" l="1"/>
  <c r="BA18" i="15"/>
  <c r="BA19" i="15"/>
  <c r="BA20" i="15"/>
  <c r="BA21" i="15"/>
  <c r="BA22" i="15"/>
  <c r="BA23" i="15"/>
  <c r="BA24" i="15"/>
  <c r="AW17" i="15"/>
  <c r="AW18" i="15"/>
  <c r="AW19" i="15"/>
  <c r="AW20" i="15"/>
  <c r="AW21" i="15"/>
  <c r="AW22" i="15"/>
  <c r="AW23" i="15"/>
  <c r="AW24" i="15"/>
  <c r="AB17" i="15"/>
  <c r="AB18" i="15"/>
  <c r="AB19" i="15"/>
  <c r="AB20" i="15"/>
  <c r="AB21" i="15"/>
  <c r="AB22" i="15"/>
  <c r="AB23" i="15"/>
  <c r="AB24" i="15"/>
  <c r="F17" i="15"/>
  <c r="F18" i="15"/>
  <c r="F19" i="15"/>
  <c r="F20" i="15"/>
  <c r="F21" i="15"/>
  <c r="F22" i="15"/>
  <c r="F23" i="15"/>
  <c r="F24" i="15"/>
  <c r="M18" i="20"/>
  <c r="M20" i="20"/>
  <c r="M21" i="20"/>
  <c r="M22" i="20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5" i="19"/>
  <c r="Y36" i="19"/>
  <c r="Y37" i="19"/>
  <c r="Y38" i="19"/>
  <c r="Y39" i="19"/>
  <c r="Y32" i="19"/>
  <c r="Y33" i="19"/>
  <c r="Y34" i="19"/>
  <c r="Y42" i="19"/>
  <c r="Y43" i="19"/>
  <c r="Y44" i="19"/>
  <c r="Y45" i="19"/>
  <c r="Y46" i="19"/>
  <c r="Y47" i="19"/>
  <c r="Y48" i="19"/>
  <c r="Y49" i="19"/>
  <c r="Y50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5" i="19"/>
  <c r="R36" i="19"/>
  <c r="R37" i="19"/>
  <c r="R38" i="19"/>
  <c r="R39" i="19"/>
  <c r="R32" i="19"/>
  <c r="R33" i="19"/>
  <c r="R34" i="19"/>
  <c r="R42" i="19"/>
  <c r="R43" i="19"/>
  <c r="R44" i="19"/>
  <c r="R45" i="19"/>
  <c r="R46" i="19"/>
  <c r="R47" i="19"/>
  <c r="R48" i="19"/>
  <c r="R49" i="19"/>
  <c r="R50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5" i="19"/>
  <c r="L36" i="19"/>
  <c r="L37" i="19"/>
  <c r="L38" i="19"/>
  <c r="L39" i="19"/>
  <c r="L32" i="19"/>
  <c r="L33" i="19"/>
  <c r="L34" i="19"/>
  <c r="L42" i="19"/>
  <c r="L43" i="19"/>
  <c r="L44" i="19"/>
  <c r="L45" i="19"/>
  <c r="L46" i="19"/>
  <c r="L47" i="19"/>
  <c r="L48" i="19"/>
  <c r="L49" i="19"/>
  <c r="L50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5" i="19"/>
  <c r="I36" i="19"/>
  <c r="I37" i="19"/>
  <c r="I38" i="19"/>
  <c r="I39" i="19"/>
  <c r="I32" i="19"/>
  <c r="I33" i="19"/>
  <c r="I34" i="19"/>
  <c r="I42" i="19"/>
  <c r="I43" i="19"/>
  <c r="I44" i="19"/>
  <c r="I45" i="19"/>
  <c r="I46" i="19"/>
  <c r="I47" i="19"/>
  <c r="I48" i="19"/>
  <c r="I49" i="19"/>
  <c r="I50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5" i="19"/>
  <c r="F36" i="19"/>
  <c r="F37" i="19"/>
  <c r="F38" i="19"/>
  <c r="F39" i="19"/>
  <c r="F32" i="19"/>
  <c r="F33" i="19"/>
  <c r="F34" i="19"/>
  <c r="F42" i="19"/>
  <c r="F43" i="19"/>
  <c r="F44" i="19"/>
  <c r="F45" i="19"/>
  <c r="F46" i="19"/>
  <c r="F47" i="19"/>
  <c r="F48" i="19"/>
  <c r="F49" i="19"/>
  <c r="F50" i="19"/>
  <c r="F12" i="16"/>
  <c r="F32" i="16"/>
  <c r="F33" i="16"/>
  <c r="F34" i="16"/>
  <c r="F35" i="16"/>
  <c r="F36" i="16"/>
  <c r="F37" i="16"/>
  <c r="W11" i="14"/>
  <c r="X11" i="14"/>
  <c r="Y11" i="14"/>
  <c r="AC11" i="14" s="1"/>
  <c r="Z11" i="14"/>
  <c r="AA11" i="14"/>
  <c r="AB11" i="14"/>
  <c r="AD11" i="14"/>
  <c r="AE11" i="14"/>
  <c r="AF11" i="14"/>
  <c r="AG11" i="14"/>
  <c r="W13" i="14"/>
  <c r="X13" i="14"/>
  <c r="Y13" i="14"/>
  <c r="AC13" i="14" s="1"/>
  <c r="Z13" i="14"/>
  <c r="AA13" i="14"/>
  <c r="AB13" i="14"/>
  <c r="AD13" i="14"/>
  <c r="AE13" i="14"/>
  <c r="AF13" i="14"/>
  <c r="AG13" i="14"/>
  <c r="W14" i="14"/>
  <c r="X14" i="14"/>
  <c r="Y14" i="14"/>
  <c r="AC14" i="14" s="1"/>
  <c r="Z14" i="14"/>
  <c r="AA14" i="14"/>
  <c r="AB14" i="14"/>
  <c r="AD14" i="14"/>
  <c r="AE14" i="14"/>
  <c r="AF14" i="14"/>
  <c r="AG14" i="14"/>
  <c r="W15" i="14"/>
  <c r="X15" i="14"/>
  <c r="Y15" i="14"/>
  <c r="AC15" i="14" s="1"/>
  <c r="Z15" i="14"/>
  <c r="AA15" i="14"/>
  <c r="AB15" i="14"/>
  <c r="AD15" i="14"/>
  <c r="AE15" i="14"/>
  <c r="AF15" i="14"/>
  <c r="AG15" i="14"/>
  <c r="G12" i="10"/>
  <c r="G13" i="10"/>
  <c r="G14" i="10"/>
  <c r="G15" i="10"/>
  <c r="G16" i="10"/>
  <c r="G17" i="10"/>
  <c r="G18" i="10"/>
  <c r="G19" i="10"/>
  <c r="G20" i="10"/>
  <c r="BX11" i="8"/>
  <c r="BV11" i="8"/>
  <c r="BU11" i="8"/>
  <c r="BT11" i="8"/>
  <c r="BS11" i="8"/>
  <c r="BW11" i="8" s="1"/>
  <c r="BR11" i="8"/>
  <c r="BQ11" i="8"/>
  <c r="BC11" i="8"/>
  <c r="AZ11" i="8"/>
  <c r="AT11" i="8"/>
  <c r="AS11" i="8"/>
  <c r="AK11" i="8"/>
  <c r="AJ11" i="8"/>
  <c r="AI11" i="8"/>
  <c r="AB12" i="14"/>
  <c r="AA12" i="14"/>
  <c r="Z12" i="14"/>
  <c r="Y12" i="14"/>
  <c r="AC12" i="14" s="1"/>
  <c r="X12" i="14"/>
  <c r="AD12" i="14"/>
  <c r="L15" i="19" l="1"/>
  <c r="H11" i="7"/>
  <c r="BA16" i="15"/>
  <c r="W12" i="14"/>
  <c r="AG12" i="14"/>
  <c r="AF12" i="14"/>
  <c r="AE12" i="14"/>
  <c r="H39" i="15" l="1"/>
  <c r="H84" i="15"/>
  <c r="H40" i="15"/>
  <c r="H34" i="15"/>
  <c r="H91" i="15"/>
  <c r="H88" i="15"/>
  <c r="H86" i="15"/>
  <c r="H85" i="15"/>
  <c r="H87" i="15"/>
  <c r="H90" i="15"/>
  <c r="H89" i="15"/>
  <c r="H48" i="15"/>
  <c r="H29" i="15"/>
  <c r="H13" i="15"/>
  <c r="H16" i="15"/>
  <c r="H27" i="15"/>
  <c r="H51" i="15"/>
  <c r="H49" i="15"/>
  <c r="H46" i="15"/>
  <c r="H37" i="15"/>
  <c r="H38" i="15"/>
  <c r="H14" i="15"/>
  <c r="H44" i="15"/>
  <c r="H53" i="15"/>
  <c r="H35" i="15"/>
  <c r="H32" i="15"/>
  <c r="H12" i="15"/>
  <c r="H54" i="15"/>
  <c r="H36" i="15"/>
  <c r="H47" i="15"/>
  <c r="H30" i="15"/>
  <c r="H42" i="15"/>
  <c r="H43" i="15"/>
  <c r="H56" i="15"/>
  <c r="H60" i="15"/>
  <c r="H64" i="15"/>
  <c r="H68" i="15"/>
  <c r="H72" i="15"/>
  <c r="H76" i="15"/>
  <c r="H80" i="15"/>
  <c r="H93" i="15"/>
  <c r="H67" i="15"/>
  <c r="H75" i="15"/>
  <c r="H83" i="15"/>
  <c r="H62" i="15"/>
  <c r="H70" i="15"/>
  <c r="H82" i="15"/>
  <c r="H73" i="15"/>
  <c r="H55" i="15"/>
  <c r="H59" i="15"/>
  <c r="H63" i="15"/>
  <c r="H71" i="15"/>
  <c r="H79" i="15"/>
  <c r="H92" i="15"/>
  <c r="H58" i="15"/>
  <c r="H74" i="15"/>
  <c r="H57" i="15"/>
  <c r="H61" i="15"/>
  <c r="H69" i="15"/>
  <c r="H81" i="15"/>
  <c r="H66" i="15"/>
  <c r="H78" i="15"/>
  <c r="H65" i="15"/>
  <c r="H77" i="15"/>
  <c r="H52" i="15"/>
  <c r="H33" i="15"/>
  <c r="H45" i="15"/>
  <c r="H28" i="15"/>
  <c r="H11" i="15"/>
  <c r="H50" i="15"/>
  <c r="H31" i="15"/>
  <c r="H41" i="15"/>
  <c r="H26" i="15"/>
  <c r="H15" i="15"/>
  <c r="H25" i="15"/>
  <c r="H24" i="15"/>
  <c r="H20" i="15"/>
  <c r="H17" i="15"/>
  <c r="H21" i="15"/>
  <c r="H18" i="15"/>
  <c r="H22" i="15"/>
  <c r="H19" i="15"/>
  <c r="H23" i="15"/>
  <c r="Y15" i="19"/>
  <c r="AV11" i="8" l="1"/>
  <c r="BP11" i="8"/>
  <c r="BN11" i="8"/>
  <c r="BM11" i="8"/>
  <c r="BL11" i="8"/>
  <c r="BK11" i="8"/>
  <c r="BO11" i="8" s="1"/>
  <c r="BJ11" i="8"/>
  <c r="BH11" i="8"/>
  <c r="BF11" i="8"/>
  <c r="BE11" i="8"/>
  <c r="BD11" i="8"/>
  <c r="BG11" i="8"/>
  <c r="BB11" i="8"/>
  <c r="BA11" i="8"/>
  <c r="AL11" i="8" l="1"/>
  <c r="AU11" i="8"/>
  <c r="AM11" i="8"/>
  <c r="J12" i="7"/>
  <c r="J13" i="7"/>
  <c r="J14" i="7"/>
  <c r="J15" i="7"/>
  <c r="J16" i="7"/>
  <c r="J17" i="7"/>
  <c r="J18" i="7"/>
  <c r="J19" i="7"/>
  <c r="J20" i="7"/>
  <c r="J21" i="7"/>
  <c r="J11" i="7"/>
  <c r="I15" i="19"/>
  <c r="F11" i="16"/>
  <c r="F16" i="15"/>
  <c r="R15" i="19"/>
  <c r="L84" i="15" s="1"/>
  <c r="F15" i="19"/>
  <c r="BI11" i="8"/>
  <c r="V12" i="14" l="1"/>
  <c r="L91" i="15"/>
  <c r="L90" i="15"/>
  <c r="L83" i="15"/>
  <c r="L92" i="15"/>
  <c r="L86" i="15"/>
  <c r="L88" i="15"/>
  <c r="L85" i="15"/>
  <c r="L87" i="15"/>
  <c r="L89" i="15"/>
  <c r="U19" i="14"/>
  <c r="V19" i="14"/>
  <c r="L43" i="15"/>
  <c r="L42" i="15"/>
  <c r="L14" i="15"/>
  <c r="L72" i="15"/>
  <c r="L80" i="15"/>
  <c r="L93" i="15"/>
  <c r="L67" i="15"/>
  <c r="L79" i="15"/>
  <c r="L73" i="15"/>
  <c r="L11" i="15"/>
  <c r="L56" i="15"/>
  <c r="L60" i="15"/>
  <c r="L64" i="15"/>
  <c r="L68" i="15"/>
  <c r="L76" i="15"/>
  <c r="L13" i="15"/>
  <c r="L63" i="15"/>
  <c r="L12" i="15"/>
  <c r="L61" i="15"/>
  <c r="L65" i="15"/>
  <c r="L69" i="15"/>
  <c r="L55" i="15"/>
  <c r="L59" i="15"/>
  <c r="L71" i="15"/>
  <c r="L75" i="15"/>
  <c r="L15" i="15"/>
  <c r="L58" i="15"/>
  <c r="L62" i="15"/>
  <c r="L66" i="15"/>
  <c r="L70" i="15"/>
  <c r="L74" i="15"/>
  <c r="L78" i="15"/>
  <c r="L82" i="15"/>
  <c r="L57" i="15"/>
  <c r="L77" i="15"/>
  <c r="L81" i="15"/>
  <c r="L40" i="15"/>
  <c r="L41" i="15"/>
  <c r="L52" i="15"/>
  <c r="L39" i="15"/>
  <c r="L37" i="15"/>
  <c r="L53" i="15"/>
  <c r="L46" i="15"/>
  <c r="L47" i="15"/>
  <c r="L28" i="15"/>
  <c r="L35" i="15"/>
  <c r="L31" i="15"/>
  <c r="L50" i="15"/>
  <c r="L51" i="15"/>
  <c r="L32" i="15"/>
  <c r="L54" i="15"/>
  <c r="L27" i="15"/>
  <c r="L26" i="15"/>
  <c r="L29" i="15"/>
  <c r="L30" i="15"/>
  <c r="L38" i="15"/>
  <c r="L45" i="15"/>
  <c r="L33" i="15"/>
  <c r="L34" i="15"/>
  <c r="L44" i="15"/>
  <c r="L49" i="15"/>
  <c r="L36" i="15"/>
  <c r="L48" i="15"/>
  <c r="L25" i="15"/>
  <c r="U18" i="14"/>
  <c r="V18" i="14"/>
  <c r="U16" i="14"/>
  <c r="V16" i="14"/>
  <c r="U17" i="14"/>
  <c r="V17" i="14"/>
  <c r="L22" i="15"/>
  <c r="L23" i="15"/>
  <c r="L20" i="15"/>
  <c r="L24" i="15"/>
  <c r="L21" i="15"/>
  <c r="L19" i="15"/>
  <c r="L17" i="15"/>
  <c r="L18" i="15"/>
  <c r="U11" i="14"/>
  <c r="U14" i="14"/>
  <c r="L16" i="15"/>
  <c r="U12" i="14"/>
  <c r="V11" i="14"/>
  <c r="V13" i="14"/>
  <c r="V15" i="14"/>
  <c r="U13" i="14"/>
  <c r="U15" i="14"/>
  <c r="V14" i="14"/>
  <c r="AO11" i="8" l="1"/>
  <c r="AX11" i="8"/>
  <c r="AN11" i="8"/>
  <c r="AW11" i="8"/>
  <c r="G11" i="10"/>
  <c r="AP11" i="8" l="1"/>
  <c r="AW16" i="15"/>
  <c r="AB16" i="15" l="1"/>
  <c r="S13" i="9" l="1"/>
  <c r="R13" i="9"/>
  <c r="Q13" i="9"/>
  <c r="P13" i="9"/>
  <c r="O13" i="9"/>
  <c r="S12" i="9"/>
  <c r="R12" i="9"/>
  <c r="Q12" i="9"/>
  <c r="P12" i="9"/>
  <c r="O12" i="9"/>
  <c r="AY11" i="8" l="1"/>
  <c r="AQ11" i="8"/>
</calcChain>
</file>

<file path=xl/sharedStrings.xml><?xml version="1.0" encoding="utf-8"?>
<sst xmlns="http://schemas.openxmlformats.org/spreadsheetml/2006/main" count="11548" uniqueCount="3023">
  <si>
    <t>펀드명</t>
  </si>
  <si>
    <t>성과보수제안</t>
  </si>
  <si>
    <t>관리보수제안</t>
  </si>
  <si>
    <t>중소기업창업투자조합</t>
  </si>
  <si>
    <t>수시납</t>
  </si>
  <si>
    <t>출자자유형</t>
  </si>
  <si>
    <t>출자자명</t>
  </si>
  <si>
    <t>비고</t>
  </si>
  <si>
    <t>주관기관(당행)</t>
  </si>
  <si>
    <t>미정</t>
  </si>
  <si>
    <t>제안사</t>
  </si>
  <si>
    <t>운용사</t>
  </si>
  <si>
    <t>제안사계열사</t>
  </si>
  <si>
    <t>LOC</t>
  </si>
  <si>
    <t>연기금</t>
  </si>
  <si>
    <t>LOI</t>
  </si>
  <si>
    <t>공제회</t>
  </si>
  <si>
    <t>우정사업본부</t>
  </si>
  <si>
    <t>펀드</t>
  </si>
  <si>
    <t>일반기업</t>
  </si>
  <si>
    <t>한국산업은행</t>
    <phoneticPr fontId="5" type="noConversion"/>
  </si>
  <si>
    <t>기본정보</t>
    <phoneticPr fontId="5" type="noConversion"/>
  </si>
  <si>
    <t>업력</t>
    <phoneticPr fontId="5" type="noConversion"/>
  </si>
  <si>
    <t>주소</t>
    <phoneticPr fontId="5" type="noConversion"/>
  </si>
  <si>
    <t>인원</t>
    <phoneticPr fontId="5" type="noConversion"/>
  </si>
  <si>
    <t>담당자</t>
    <phoneticPr fontId="5" type="noConversion"/>
  </si>
  <si>
    <t>청산완료 펀드</t>
    <phoneticPr fontId="5" type="noConversion"/>
  </si>
  <si>
    <t>운용(결성)예정/운용중/청산중 펀드</t>
    <phoneticPr fontId="5" type="noConversion"/>
  </si>
  <si>
    <t>대표자명</t>
  </si>
  <si>
    <t>설립일</t>
  </si>
  <si>
    <t>우편번호</t>
  </si>
  <si>
    <t>주소</t>
  </si>
  <si>
    <t>주소상세</t>
  </si>
  <si>
    <t>성명</t>
    <phoneticPr fontId="5" type="noConversion"/>
  </si>
  <si>
    <t>부서</t>
    <phoneticPr fontId="5" type="noConversion"/>
  </si>
  <si>
    <t>전화</t>
    <phoneticPr fontId="5" type="noConversion"/>
  </si>
  <si>
    <t>펀드수</t>
  </si>
  <si>
    <t>납입총액</t>
    <phoneticPr fontId="5" type="noConversion"/>
  </si>
  <si>
    <t>투자총액</t>
    <phoneticPr fontId="5" type="noConversion"/>
  </si>
  <si>
    <t>회수총액</t>
  </si>
  <si>
    <t>출자자앞
분배총액</t>
    <phoneticPr fontId="5" type="noConversion"/>
  </si>
  <si>
    <t>납입총액
가중평균
펀드
수익률
(IRR)</t>
    <phoneticPr fontId="5" type="noConversion"/>
  </si>
  <si>
    <t>펀드수</t>
    <phoneticPr fontId="5" type="noConversion"/>
  </si>
  <si>
    <t>약정총액</t>
  </si>
  <si>
    <t>회수총액</t>
    <phoneticPr fontId="5" type="noConversion"/>
  </si>
  <si>
    <t>펀드
순자산</t>
    <phoneticPr fontId="5" type="noConversion"/>
  </si>
  <si>
    <t>투자건수</t>
    <phoneticPr fontId="5" type="noConversion"/>
  </si>
  <si>
    <t>투자건수
(회수료)</t>
    <phoneticPr fontId="5" type="noConversion"/>
  </si>
  <si>
    <t>미회수
투자자산
가치총액</t>
    <phoneticPr fontId="5" type="noConversion"/>
  </si>
  <si>
    <t>투자금액
가중평균
수익율</t>
    <phoneticPr fontId="5" type="noConversion"/>
  </si>
  <si>
    <t>투자금액
가중수익율</t>
    <phoneticPr fontId="5" type="noConversion"/>
  </si>
  <si>
    <t>투자금액
가중평균
수익율
(회수료)</t>
    <phoneticPr fontId="5" type="noConversion"/>
  </si>
  <si>
    <t>(가)결산일자</t>
    <phoneticPr fontId="5" type="noConversion"/>
  </si>
  <si>
    <t>총자산</t>
    <phoneticPr fontId="5" type="noConversion"/>
  </si>
  <si>
    <t>유동자산</t>
  </si>
  <si>
    <t>총부채</t>
    <phoneticPr fontId="5" type="noConversion"/>
  </si>
  <si>
    <t>유동부채</t>
    <phoneticPr fontId="5" type="noConversion"/>
  </si>
  <si>
    <t>자기자본</t>
    <phoneticPr fontId="5" type="noConversion"/>
  </si>
  <si>
    <t>자본금</t>
    <phoneticPr fontId="5" type="noConversion"/>
  </si>
  <si>
    <t>영업수익</t>
    <phoneticPr fontId="5" type="noConversion"/>
  </si>
  <si>
    <t>영업비용</t>
  </si>
  <si>
    <t>당기순이익</t>
  </si>
  <si>
    <t>유동비율</t>
  </si>
  <si>
    <t>부채비율</t>
  </si>
  <si>
    <t>자본충실률</t>
    <phoneticPr fontId="5" type="noConversion"/>
  </si>
  <si>
    <t>영업수지율</t>
  </si>
  <si>
    <t>자기자본순이익률</t>
    <phoneticPr fontId="5" type="noConversion"/>
  </si>
  <si>
    <t>미회수투자자산</t>
    <phoneticPr fontId="5" type="noConversion"/>
  </si>
  <si>
    <t>성과보수</t>
    <phoneticPr fontId="5" type="noConversion"/>
  </si>
  <si>
    <t>청산료</t>
  </si>
  <si>
    <t>블라인드펀드</t>
  </si>
  <si>
    <t>국내설립법인</t>
  </si>
  <si>
    <t>보통주</t>
  </si>
  <si>
    <t>초과수익의 20%</t>
  </si>
  <si>
    <t>출자비율</t>
  </si>
  <si>
    <t>펀드
상태</t>
    <phoneticPr fontId="5" type="noConversion"/>
  </si>
  <si>
    <t>투자기업의
주된
법인유형</t>
    <phoneticPr fontId="5" type="noConversion"/>
  </si>
  <si>
    <t>납입
총액</t>
    <phoneticPr fontId="5" type="noConversion"/>
  </si>
  <si>
    <t>투자기간
종료(예정)일</t>
    <phoneticPr fontId="5" type="noConversion"/>
  </si>
  <si>
    <t>기간(연)</t>
    <phoneticPr fontId="5" type="noConversion"/>
  </si>
  <si>
    <t>IRR</t>
    <phoneticPr fontId="5" type="noConversion"/>
  </si>
  <si>
    <t>회수
총액</t>
    <phoneticPr fontId="5" type="noConversion"/>
  </si>
  <si>
    <t>가치
총액</t>
    <phoneticPr fontId="5" type="noConversion"/>
  </si>
  <si>
    <t>성과보수지급총액</t>
    <phoneticPr fontId="5" type="noConversion"/>
  </si>
  <si>
    <t>관리보수
지급총액</t>
    <phoneticPr fontId="5" type="noConversion"/>
  </si>
  <si>
    <t>종료일</t>
    <phoneticPr fontId="3" type="noConversion"/>
  </si>
  <si>
    <t>제안사명</t>
    <phoneticPr fontId="3" type="noConversion"/>
  </si>
  <si>
    <t>약정액</t>
    <phoneticPr fontId="5" type="noConversion"/>
  </si>
  <si>
    <t>우선손실
충당액</t>
    <phoneticPr fontId="5" type="noConversion"/>
  </si>
  <si>
    <t>운용사명</t>
    <phoneticPr fontId="3" type="noConversion"/>
  </si>
  <si>
    <t>출자자명</t>
    <phoneticPr fontId="3" type="noConversion"/>
  </si>
  <si>
    <t>약정액</t>
    <phoneticPr fontId="3" type="noConversion"/>
  </si>
  <si>
    <t>일반 중소기업</t>
    <phoneticPr fontId="5" type="noConversion"/>
  </si>
  <si>
    <t>펀드유형</t>
    <phoneticPr fontId="5" type="noConversion"/>
  </si>
  <si>
    <t>휴대전화
번호</t>
    <phoneticPr fontId="5" type="noConversion"/>
  </si>
  <si>
    <t>미회수
투자자산
투자원금
총액</t>
    <phoneticPr fontId="5" type="noConversion"/>
  </si>
  <si>
    <t>회수투자자산</t>
    <phoneticPr fontId="5" type="noConversion"/>
  </si>
  <si>
    <t>기타사항</t>
    <phoneticPr fontId="5" type="noConversion"/>
  </si>
  <si>
    <t>피투자기업
법인유형</t>
    <phoneticPr fontId="5" type="noConversion"/>
  </si>
  <si>
    <t>회수구분</t>
    <phoneticPr fontId="5" type="noConversion"/>
  </si>
  <si>
    <t>투자
수익율
(IRR)</t>
    <phoneticPr fontId="5" type="noConversion"/>
  </si>
  <si>
    <t>동반투자자</t>
    <phoneticPr fontId="5" type="noConversion"/>
  </si>
  <si>
    <t>최종회수일</t>
    <phoneticPr fontId="5" type="noConversion"/>
  </si>
  <si>
    <t>투자원금</t>
    <phoneticPr fontId="5" type="noConversion"/>
  </si>
  <si>
    <t>회수방법</t>
    <phoneticPr fontId="5" type="noConversion"/>
  </si>
  <si>
    <t>감액
여부</t>
    <phoneticPr fontId="5" type="noConversion"/>
  </si>
  <si>
    <t>가치</t>
    <phoneticPr fontId="5" type="noConversion"/>
  </si>
  <si>
    <t>현재
담당자
성명</t>
    <phoneticPr fontId="5" type="noConversion"/>
  </si>
  <si>
    <t>발굴및 
투자검토</t>
  </si>
  <si>
    <t>사후
관리</t>
  </si>
  <si>
    <t>회수</t>
  </si>
  <si>
    <t>PE펀드계정</t>
  </si>
  <si>
    <t>보통주</t>
    <phoneticPr fontId="5" type="noConversion"/>
  </si>
  <si>
    <t>회수료</t>
    <phoneticPr fontId="5" type="noConversion"/>
  </si>
  <si>
    <t>코스닥</t>
  </si>
  <si>
    <t>해외출자법인</t>
  </si>
  <si>
    <t>CB</t>
  </si>
  <si>
    <t>NO</t>
  </si>
  <si>
    <t>부실발생기준에 의거한 회계상
감액내역</t>
    <phoneticPr fontId="5" type="noConversion"/>
  </si>
  <si>
    <t>참여자정보</t>
    <phoneticPr fontId="5" type="noConversion"/>
  </si>
  <si>
    <t>피투자기업명</t>
    <phoneticPr fontId="5" type="noConversion"/>
  </si>
  <si>
    <t>피투자기업
주요산업분야</t>
    <phoneticPr fontId="5" type="noConversion"/>
  </si>
  <si>
    <t>투자일</t>
    <phoneticPr fontId="5" type="noConversion"/>
  </si>
  <si>
    <t>투자금액</t>
    <phoneticPr fontId="5" type="noConversion"/>
  </si>
  <si>
    <t>투자기간</t>
    <phoneticPr fontId="5" type="noConversion"/>
  </si>
  <si>
    <t>감액
금액</t>
    <phoneticPr fontId="5" type="noConversion"/>
  </si>
  <si>
    <t>대한민국</t>
  </si>
  <si>
    <t>대표펀드매니저</t>
  </si>
  <si>
    <t>핵심운용인력</t>
  </si>
  <si>
    <t>주민등록번호상 앞6자리</t>
    <phoneticPr fontId="5" type="noConversion"/>
  </si>
  <si>
    <t>펀드명</t>
    <phoneticPr fontId="5" type="noConversion"/>
  </si>
  <si>
    <t>YES</t>
  </si>
  <si>
    <t>회수료</t>
  </si>
  <si>
    <t>우선주</t>
  </si>
  <si>
    <t>장외매각</t>
  </si>
  <si>
    <t>외국법인</t>
  </si>
  <si>
    <t>투자
계정
구분</t>
  </si>
  <si>
    <t>기타</t>
  </si>
  <si>
    <t>일반운용인력</t>
  </si>
  <si>
    <t>학력사항</t>
    <phoneticPr fontId="5" type="noConversion"/>
  </si>
  <si>
    <t>졸업일/수료일</t>
    <phoneticPr fontId="5" type="noConversion"/>
  </si>
  <si>
    <t>졸업/수료 학교명</t>
    <phoneticPr fontId="5" type="noConversion"/>
  </si>
  <si>
    <t>학과(전공)명</t>
  </si>
  <si>
    <t>학위명</t>
  </si>
  <si>
    <t>취득국명</t>
  </si>
  <si>
    <t>학사</t>
  </si>
  <si>
    <t>납입</t>
  </si>
  <si>
    <t>현금분배</t>
  </si>
  <si>
    <t>성과보수</t>
  </si>
  <si>
    <t>가상분배</t>
  </si>
  <si>
    <t>산업은행
위탁펀드
여부</t>
    <phoneticPr fontId="1" type="noConversion"/>
  </si>
  <si>
    <t>2. 일자는  yyyy-mm-dd, 주민등록번호 앞  6자리까지만 '111111'로 기재(외국인의 경우 생일 6자리)</t>
    <phoneticPr fontId="3" type="noConversion"/>
  </si>
  <si>
    <t>6. 펀드명, 회사명 등은 정식명칭을 기입하기 바람</t>
    <phoneticPr fontId="3" type="noConversion"/>
  </si>
  <si>
    <t>제안서 작성 기준일</t>
  </si>
  <si>
    <t>※ M&amp;A 또는 회사분할 등이 있었던 경우 변경전의 펀드운용업무시작일을 기재</t>
  </si>
  <si>
    <t>펀드운용</t>
  </si>
  <si>
    <t>펀드결성(예정)일</t>
  </si>
  <si>
    <t>펀드해산(예정)일</t>
  </si>
  <si>
    <t>투자대상이 확정되지 않은 펀드</t>
  </si>
  <si>
    <t>프로젝트펀드</t>
  </si>
  <si>
    <t>투자대상이 확정되어 있는 펀드</t>
  </si>
  <si>
    <t>결성예정</t>
  </si>
  <si>
    <t>운용예정</t>
  </si>
  <si>
    <t>출자자 구성을 완료하고 투자규약(또는 정관)은 체결되었으나 납입출자금이 없는 경우</t>
  </si>
  <si>
    <t>운용중</t>
  </si>
  <si>
    <t>펀드결성일의 기준에 따라 펀드를 결성한 경우로서 납입출자금 있는 경우</t>
  </si>
  <si>
    <t>청산중</t>
  </si>
  <si>
    <t>해산 후 청산절차를 진행중인 경우</t>
  </si>
  <si>
    <t>청산 절차를 완료한 경우</t>
  </si>
  <si>
    <t>펀드 순자산</t>
  </si>
  <si>
    <t>ⅰ) 제안서 작성 기준일 현재 제안사에 재직중이면서</t>
  </si>
  <si>
    <t>출자자가 납입한 출자금</t>
  </si>
  <si>
    <t>현물분배</t>
  </si>
  <si>
    <t>펀드 청산시 출자자에게 현물로 분배한 경우 그 가치</t>
  </si>
  <si>
    <t>펀드 운용중 또는 청산시 운용사에게 지급한 성과보수</t>
  </si>
  <si>
    <t xml:space="preserve">    - 최총회수일은 제안서 작성 기준일 이후일 수 없음</t>
  </si>
  <si>
    <t>구분</t>
    <phoneticPr fontId="5" type="noConversion"/>
  </si>
  <si>
    <t>목록값</t>
    <phoneticPr fontId="5" type="noConversion"/>
  </si>
  <si>
    <t>펀드법적유형</t>
  </si>
  <si>
    <t>BW</t>
  </si>
  <si>
    <t>한국벤처투자조합</t>
  </si>
  <si>
    <t>사모투자전문회사</t>
  </si>
  <si>
    <t>기업구조조정투자회사</t>
  </si>
  <si>
    <t>대여금</t>
  </si>
  <si>
    <t>운용사유형</t>
  </si>
  <si>
    <t>신기술사업금융회사</t>
  </si>
  <si>
    <t>자산운용사</t>
  </si>
  <si>
    <t>은행</t>
  </si>
  <si>
    <t>증권사</t>
  </si>
  <si>
    <t>독립 PEF 운용사</t>
  </si>
  <si>
    <t>펀드상태</t>
  </si>
  <si>
    <t>동반투자자유형</t>
  </si>
  <si>
    <t>타운용사 펀드</t>
  </si>
  <si>
    <t>리스크관리 기준 보유 유무</t>
    <phoneticPr fontId="1" type="noConversion"/>
  </si>
  <si>
    <t>리스크관리전담조직 유무</t>
    <phoneticPr fontId="1" type="noConversion"/>
  </si>
  <si>
    <t>규정상
성과보수
최대지급
비율</t>
    <phoneticPr fontId="1" type="noConversion"/>
  </si>
  <si>
    <t>제안사 내규 현황</t>
    <phoneticPr fontId="1" type="noConversion"/>
  </si>
  <si>
    <t>투자유형</t>
    <phoneticPr fontId="5" type="noConversion"/>
  </si>
  <si>
    <t>시장성
유무</t>
    <phoneticPr fontId="5" type="noConversion"/>
  </si>
  <si>
    <t>제안사 대표이사</t>
  </si>
  <si>
    <t>펀드참여인력(핵심운용인력)</t>
  </si>
  <si>
    <t>내부통제
전담조식
유무</t>
    <phoneticPr fontId="1" type="noConversion"/>
  </si>
  <si>
    <t>기타메자닌증권</t>
  </si>
  <si>
    <t>관리인력</t>
  </si>
  <si>
    <t>대한석탄공사</t>
  </si>
  <si>
    <t>부산항만공사</t>
    <phoneticPr fontId="1" type="noConversion"/>
  </si>
  <si>
    <t>여수광양항만공사</t>
  </si>
  <si>
    <t>울산항만공사</t>
    <phoneticPr fontId="1" type="noConversion"/>
  </si>
  <si>
    <t>인천국제공항공사</t>
  </si>
  <si>
    <t>인천항만공사</t>
  </si>
  <si>
    <t>제주국제자유도시개발센터</t>
    <phoneticPr fontId="1" type="noConversion"/>
  </si>
  <si>
    <t>주택도시보증공사</t>
    <phoneticPr fontId="1" type="noConversion"/>
  </si>
  <si>
    <t>한국가스공사</t>
    <phoneticPr fontId="1" type="noConversion"/>
  </si>
  <si>
    <t>한국감정원</t>
  </si>
  <si>
    <t>한국공항공사</t>
  </si>
  <si>
    <t>한국관광공사</t>
  </si>
  <si>
    <t>한국광물자원공사</t>
  </si>
  <si>
    <t>한국도로공사</t>
  </si>
  <si>
    <t>한국마사회</t>
  </si>
  <si>
    <t>한국방송광고진흥공사</t>
  </si>
  <si>
    <t>한국석유공사</t>
  </si>
  <si>
    <t>한국수자원공사</t>
  </si>
  <si>
    <t>한국전력공사</t>
  </si>
  <si>
    <t>한국조폐공사</t>
  </si>
  <si>
    <t>한국지역난방공사</t>
  </si>
  <si>
    <t>한국철도공사</t>
  </si>
  <si>
    <t>한국토지주택공사</t>
  </si>
  <si>
    <t>해양환경관리공단</t>
  </si>
  <si>
    <t>가평군시설관리공단</t>
  </si>
  <si>
    <t>강남구도시관리공단</t>
  </si>
  <si>
    <t>강동구도시관리공단</t>
    <phoneticPr fontId="1" type="noConversion"/>
  </si>
  <si>
    <t>강릉관광개발공사</t>
  </si>
  <si>
    <t>강북구도시관리공단</t>
  </si>
  <si>
    <t>강서구시설관리공단</t>
  </si>
  <si>
    <t>강원도개발공사</t>
  </si>
  <si>
    <t>거제해양관광개발공사</t>
  </si>
  <si>
    <t>경기관광공사</t>
  </si>
  <si>
    <t>경기도시공사</t>
  </si>
  <si>
    <t>경기평택항만공사</t>
  </si>
  <si>
    <t>경남개발공사</t>
  </si>
  <si>
    <t>경상북도개발공사</t>
  </si>
  <si>
    <t>경상북도관광공사</t>
  </si>
  <si>
    <t>고양도시관리공사</t>
  </si>
  <si>
    <t>과천시시설관리공단</t>
  </si>
  <si>
    <t>관악구시설관리공단</t>
  </si>
  <si>
    <t>광명시시설관리공단</t>
  </si>
  <si>
    <t>광산구시설관리공단</t>
  </si>
  <si>
    <t>광주광역시도시공사</t>
  </si>
  <si>
    <t>광주도시관리공사</t>
  </si>
  <si>
    <t>광주도시철도공사</t>
  </si>
  <si>
    <t>광주환경공단</t>
  </si>
  <si>
    <t>광진구시설관리공단</t>
  </si>
  <si>
    <t>구로구시설관리공단</t>
  </si>
  <si>
    <t>구리농수산물공사</t>
  </si>
  <si>
    <t>구리도시공사</t>
  </si>
  <si>
    <t>구미시설공단</t>
  </si>
  <si>
    <t>군포시시설관리공단</t>
  </si>
  <si>
    <t>금천구시설관리공단</t>
  </si>
  <si>
    <t>기장군도시관리공단</t>
  </si>
  <si>
    <t>김대중컨벤션센터</t>
  </si>
  <si>
    <t>김포도시공사</t>
  </si>
  <si>
    <t>김해시도시개발공사</t>
  </si>
  <si>
    <t>남양주도시공사</t>
  </si>
  <si>
    <t>노원구서비스공단</t>
  </si>
  <si>
    <t>단양관광관리공단</t>
  </si>
  <si>
    <t>달성군시설관리공단</t>
  </si>
  <si>
    <t>당진항만관광공사</t>
  </si>
  <si>
    <t>대구광역시시설관리공단</t>
  </si>
  <si>
    <t>대구도시공사</t>
  </si>
  <si>
    <t>대구도시철도공사</t>
  </si>
  <si>
    <t>대구환경공단</t>
  </si>
  <si>
    <t>대전광역시도시철도공사</t>
  </si>
  <si>
    <t>대전광역시시설관리공단</t>
  </si>
  <si>
    <t>대전도시공사</t>
  </si>
  <si>
    <t>대전마케팅공사</t>
  </si>
  <si>
    <t>도봉구시설관리공단</t>
  </si>
  <si>
    <t>동대문구시설관리공단</t>
  </si>
  <si>
    <t>동작구시설관리공단</t>
  </si>
  <si>
    <t>동해시시설관리공단</t>
  </si>
  <si>
    <t>마포구시설관리공단</t>
  </si>
  <si>
    <t>문경관광진흥공단</t>
  </si>
  <si>
    <t>밀양시시설관리공단</t>
    <phoneticPr fontId="1" type="noConversion"/>
  </si>
  <si>
    <t>보령시시설관리공단</t>
  </si>
  <si>
    <t>부산관광공사</t>
  </si>
  <si>
    <t>부산교통공사</t>
  </si>
  <si>
    <t>부산도시공사</t>
  </si>
  <si>
    <t>부산시설공단</t>
  </si>
  <si>
    <t>부산지방공단스포원</t>
  </si>
  <si>
    <t>부산환경공단</t>
  </si>
  <si>
    <t>부여군시설관리공단</t>
  </si>
  <si>
    <t>부천시시설관리공단</t>
  </si>
  <si>
    <t>서대문구도시관리공단</t>
  </si>
  <si>
    <t>서울메트로</t>
  </si>
  <si>
    <t>서울특별시농수산식품공사</t>
  </si>
  <si>
    <t>서울특별시도시철도공사</t>
  </si>
  <si>
    <t>서울특별시시설관리공단</t>
  </si>
  <si>
    <t>성남도시개발공사</t>
  </si>
  <si>
    <t>성동구도시관리공단</t>
  </si>
  <si>
    <t>성북구도시관리공단</t>
  </si>
  <si>
    <t>세종특별자치시시설관리공단</t>
    <phoneticPr fontId="1" type="noConversion"/>
  </si>
  <si>
    <t>속초시시설관리공단</t>
  </si>
  <si>
    <t>송파구시설관리공단</t>
  </si>
  <si>
    <t>수원시시설관리공단</t>
  </si>
  <si>
    <t>시흥시시설관리공단</t>
  </si>
  <si>
    <t>아산시시설관리공단</t>
  </si>
  <si>
    <t>안동시시설관리공단</t>
  </si>
  <si>
    <t>안산도시공사</t>
  </si>
  <si>
    <t>안성시시설관리공단</t>
  </si>
  <si>
    <t>안양시시설관리공단</t>
  </si>
  <si>
    <t>양산시시설관리공단</t>
  </si>
  <si>
    <t>양주시시설관리공단</t>
  </si>
  <si>
    <t>양천구시설관리공단</t>
  </si>
  <si>
    <t>양평공사</t>
  </si>
  <si>
    <t>여수시도시공사</t>
  </si>
  <si>
    <t>여주도시관리공단</t>
  </si>
  <si>
    <t>연천군시설관리공단</t>
  </si>
  <si>
    <t>영등포구시설관리공단</t>
  </si>
  <si>
    <t>영양고추유통공사</t>
  </si>
  <si>
    <t>영월군시설관리공단</t>
  </si>
  <si>
    <t>오산시시설관리공단</t>
  </si>
  <si>
    <t>용산구시설관리공단</t>
  </si>
  <si>
    <t>용인도시공사</t>
  </si>
  <si>
    <t>울산광역시남구도시관리공단</t>
  </si>
  <si>
    <t>울산광역시도시공사</t>
  </si>
  <si>
    <t>울산광역시중구도시관리공단</t>
  </si>
  <si>
    <t>울산시설공단</t>
  </si>
  <si>
    <t>울주군시설관리공단</t>
  </si>
  <si>
    <t>은평구시설관리공단</t>
  </si>
  <si>
    <t>의왕도시공사</t>
  </si>
  <si>
    <t>의정부시시설관리공단</t>
  </si>
  <si>
    <t>이천시시설관리공단</t>
  </si>
  <si>
    <t>인천관광공사</t>
  </si>
  <si>
    <t>인천광역시강화군시설관리공단</t>
  </si>
  <si>
    <t>인천광역시계양구시설관리공단</t>
  </si>
  <si>
    <t>인천광역시남구시설관리공단</t>
  </si>
  <si>
    <t>인천광역시남동구도시관리공단</t>
  </si>
  <si>
    <t>인천광역시부평구시설관리공단</t>
  </si>
  <si>
    <t>인천광역시서구시설관리공단</t>
  </si>
  <si>
    <t>인천광역시시설관리공단</t>
  </si>
  <si>
    <t>인천광역시중구시설관리공단</t>
  </si>
  <si>
    <t>인천교통공사</t>
  </si>
  <si>
    <t>인천도시공사</t>
  </si>
  <si>
    <t>인천환경공단</t>
  </si>
  <si>
    <t>장수한우지방공사</t>
  </si>
  <si>
    <t>전남개발공사</t>
  </si>
  <si>
    <t>전북개발공사</t>
  </si>
  <si>
    <t>전주시시설관리공단</t>
  </si>
  <si>
    <t>정선군시설관리공단</t>
  </si>
  <si>
    <t>제주관광공사</t>
  </si>
  <si>
    <t>제주에너지공사</t>
  </si>
  <si>
    <t>제주특별자치도개발공사</t>
  </si>
  <si>
    <t>종로구시설관리공단</t>
  </si>
  <si>
    <t>중구시설관리공단</t>
  </si>
  <si>
    <t>중랑구시설관리공단</t>
  </si>
  <si>
    <t>창녕군개발공사</t>
  </si>
  <si>
    <t>창원경륜공단</t>
  </si>
  <si>
    <t>창원시시설관리공단</t>
  </si>
  <si>
    <t>천안시시설관리공단</t>
  </si>
  <si>
    <t>청도공영사업공사</t>
  </si>
  <si>
    <t>청송사과유통공사</t>
  </si>
  <si>
    <t>청주시시설관리공단</t>
  </si>
  <si>
    <t>춘천도시공사</t>
  </si>
  <si>
    <t>충북개발공사</t>
  </si>
  <si>
    <t>충청남도개발공사</t>
  </si>
  <si>
    <t>통영관광개발공사</t>
  </si>
  <si>
    <t>파주시시설관리공단</t>
  </si>
  <si>
    <t>평택도시공사</t>
  </si>
  <si>
    <t>포천시시설관리공단</t>
  </si>
  <si>
    <t>포항시시설관리공단</t>
  </si>
  <si>
    <t>하남도시공사</t>
  </si>
  <si>
    <t>함안지방공사</t>
  </si>
  <si>
    <t>화성도시공사</t>
  </si>
  <si>
    <t>5･18기념재단</t>
  </si>
  <si>
    <t>88관광개발주식회사</t>
  </si>
  <si>
    <t>DYETEC연구원</t>
  </si>
  <si>
    <t>ECO융합섬유연구원</t>
  </si>
  <si>
    <t>가축위생방역지원본부</t>
  </si>
  <si>
    <t>강원도산업경제진흥원</t>
  </si>
  <si>
    <t>강원도장애인체육회</t>
  </si>
  <si>
    <t>강원도체육회</t>
  </si>
  <si>
    <t>강원인재육성재단</t>
  </si>
  <si>
    <t>강원재활원</t>
  </si>
  <si>
    <t>경기도장애인체육회</t>
  </si>
  <si>
    <t>경기도체육회</t>
  </si>
  <si>
    <t>경기복지재단</t>
  </si>
  <si>
    <t>경기시흥작은자리지역자활센터</t>
  </si>
  <si>
    <t>경상북도여성정책개발원</t>
  </si>
  <si>
    <t>경상북도장애인체육회</t>
  </si>
  <si>
    <t>경상북도체육회</t>
  </si>
  <si>
    <t>경제인문사회연구회</t>
  </si>
  <si>
    <t>고양시체육회</t>
    <phoneticPr fontId="1" type="noConversion"/>
  </si>
  <si>
    <t>고흥군유통주식회사</t>
  </si>
  <si>
    <t>과학기술정책연구원</t>
  </si>
  <si>
    <t>광주과학기술원</t>
  </si>
  <si>
    <t>광주광역시장애인체육회</t>
  </si>
  <si>
    <t>광주광역시체육회</t>
  </si>
  <si>
    <t>국립공원관리공단</t>
  </si>
  <si>
    <t>국립생태원</t>
  </si>
  <si>
    <t>국립중앙의료원</t>
  </si>
  <si>
    <t>국립해양생물자원관</t>
  </si>
  <si>
    <t>국립현대무용단</t>
    <phoneticPr fontId="1" type="noConversion"/>
  </si>
  <si>
    <t>국토연구원</t>
  </si>
  <si>
    <t>군포문화재단</t>
  </si>
  <si>
    <t>기초과학연구원</t>
  </si>
  <si>
    <t>농림수산식품교육문화정보원</t>
  </si>
  <si>
    <t>농림수산식품기술기획평가원</t>
  </si>
  <si>
    <t>농업정책보험금융원</t>
  </si>
  <si>
    <t>대구경북연구원</t>
  </si>
  <si>
    <t>대구광역시장애인체육회</t>
  </si>
  <si>
    <t>대구광역시체육회</t>
  </si>
  <si>
    <t>대외경제정책연구원</t>
  </si>
  <si>
    <t>대전광역시장애인체육회</t>
  </si>
  <si>
    <t>대전광역시체육회</t>
  </si>
  <si>
    <t>대전평생교육진흥원</t>
  </si>
  <si>
    <t>대한결핵협회</t>
  </si>
  <si>
    <t>대한무역투자진흥공사</t>
  </si>
  <si>
    <t>대한민국재향군인회</t>
  </si>
  <si>
    <t>대한장애인체육회</t>
  </si>
  <si>
    <t>대한적십자사</t>
  </si>
  <si>
    <t>대한체육회</t>
  </si>
  <si>
    <t>밀알재활원</t>
  </si>
  <si>
    <t>부산광역시장애인체육회</t>
  </si>
  <si>
    <t>부산광역시체육회</t>
  </si>
  <si>
    <t>부천혜림요양원</t>
  </si>
  <si>
    <t>부천혜림원</t>
  </si>
  <si>
    <t>북한이탈주민지원재단</t>
  </si>
  <si>
    <t>사단법인 경상남도교통문화연수원</t>
  </si>
  <si>
    <t>사단법인 국제금융센터</t>
  </si>
  <si>
    <t>사단법인 대한노인회</t>
  </si>
  <si>
    <t>사단법인 디엠지국제다큐영화제</t>
    <phoneticPr fontId="1" type="noConversion"/>
  </si>
  <si>
    <t>사단법인 부산광역시교통문화연수원</t>
  </si>
  <si>
    <t>사단법인 서울특별시자원봉사센터</t>
  </si>
  <si>
    <t>사단법인 수원시종합자원봉사센터</t>
  </si>
  <si>
    <t>사단법인 한국과학기술한림원</t>
  </si>
  <si>
    <t>사단법인 한국잡지협회</t>
  </si>
  <si>
    <t>사단법인 화성시자원봉사센터</t>
  </si>
  <si>
    <t>산림조합중앙회</t>
  </si>
  <si>
    <t>산업연구원</t>
  </si>
  <si>
    <t>새마을세계화재단</t>
  </si>
  <si>
    <t>서울연구원</t>
  </si>
  <si>
    <t>서울장학재단</t>
  </si>
  <si>
    <t>서울특별시여성가족재단</t>
  </si>
  <si>
    <t>서울특별시장애인체육회</t>
  </si>
  <si>
    <t>서울특별시체육회</t>
  </si>
  <si>
    <t>성남시청소년재단</t>
  </si>
  <si>
    <t>세종특별자치시체육회</t>
  </si>
  <si>
    <t>세종학당재단</t>
  </si>
  <si>
    <t>수산업협동조합중앙회</t>
  </si>
  <si>
    <t>수원FC</t>
    <phoneticPr fontId="1" type="noConversion"/>
  </si>
  <si>
    <t>수원시청소년육성재단</t>
  </si>
  <si>
    <t>수원시체육회</t>
    <phoneticPr fontId="1" type="noConversion"/>
  </si>
  <si>
    <t>수원지역자활센터</t>
  </si>
  <si>
    <t>시일건강타운</t>
    <phoneticPr fontId="1" type="noConversion"/>
  </si>
  <si>
    <t>시흥일꾼지역자활센터</t>
  </si>
  <si>
    <t>신혜정신요양원</t>
  </si>
  <si>
    <t>아시아문화원</t>
  </si>
  <si>
    <t>안양시청소년육성재단</t>
  </si>
  <si>
    <t>언론중재위원회</t>
    <phoneticPr fontId="1" type="noConversion"/>
  </si>
  <si>
    <t>에너지경제연구원</t>
  </si>
  <si>
    <t>울산광역시장애인체육회</t>
  </si>
  <si>
    <t>울산광역시체육회</t>
  </si>
  <si>
    <t>울진군장학재단</t>
  </si>
  <si>
    <t>원주문화재단</t>
  </si>
  <si>
    <t>유네스코아태무형유산센터</t>
  </si>
  <si>
    <t>인천광역시장애인체육회</t>
  </si>
  <si>
    <t>인천광역시체육회</t>
  </si>
  <si>
    <t>인천글로벌캠퍼스운영재단</t>
  </si>
  <si>
    <t>재단법인 강남문화재단</t>
  </si>
  <si>
    <t>재단법인 강릉과학산업진흥원</t>
  </si>
  <si>
    <t>재단법인 강원정보문화진흥원</t>
  </si>
  <si>
    <t>재단법인 경기과학기술진흥원</t>
  </si>
  <si>
    <t>재단법인 경기농림진흥재단</t>
  </si>
  <si>
    <t>재단법인 경기도가족여성연구원</t>
  </si>
  <si>
    <t>재단법인 경기도교육연구원</t>
  </si>
  <si>
    <t>재단법인 경기연구원</t>
  </si>
  <si>
    <t>재단법인 경기중소기업종합지원센터</t>
  </si>
  <si>
    <t>재단법인 경북장학회</t>
  </si>
  <si>
    <t>재단법인 경북해양바이오산업연구원</t>
  </si>
  <si>
    <t>재단법인 경북행복재단</t>
  </si>
  <si>
    <t>재단법인 경상남도청소년지원재단</t>
    <phoneticPr fontId="1" type="noConversion"/>
  </si>
  <si>
    <t>재단법인 경상북도환경연수원</t>
  </si>
  <si>
    <t>재단법인 경주문화재단</t>
  </si>
  <si>
    <t>재단법인 계룡군문화재단</t>
    <phoneticPr fontId="1" type="noConversion"/>
  </si>
  <si>
    <t>재단법인 고래문화재단</t>
  </si>
  <si>
    <t>재단법인 고양지식정보산업진흥원</t>
  </si>
  <si>
    <t>재단법인 광주과학기술교류협력센터</t>
  </si>
  <si>
    <t>재단법인 광주광역시경제고용진흥원</t>
  </si>
  <si>
    <t>재단법인 광주광역시 광주문화재단</t>
  </si>
  <si>
    <t>재단법인 광주그린카진흥원</t>
  </si>
  <si>
    <t>재단법인 광주디자인센터</t>
  </si>
  <si>
    <t>재단법인 광주복지재단</t>
  </si>
  <si>
    <t>재단법인 광주영어방송</t>
  </si>
  <si>
    <t>재단법인 광주정보문화산업진흥원</t>
  </si>
  <si>
    <t>재단법인 구미전자정보기술원</t>
  </si>
  <si>
    <t>재단법인 국제결핵연구소</t>
  </si>
  <si>
    <t>재단법인 금산국제인삼약초연구소</t>
  </si>
  <si>
    <t>재단법인 김포시청소년육성재단</t>
  </si>
  <si>
    <t>재단법인 김해시차세대의생명융합산업지원센터</t>
  </si>
  <si>
    <t>재단법인 나라</t>
  </si>
  <si>
    <t>재단법인 나주교육진흥재단</t>
  </si>
  <si>
    <t>재단법인 남도장학회</t>
  </si>
  <si>
    <t>재단법인 노사발전재단</t>
  </si>
  <si>
    <t>재단법인 녹색에너지연구원</t>
  </si>
  <si>
    <t>재단법인 달성문화재단</t>
  </si>
  <si>
    <t>재단법인 담양군복지재단</t>
  </si>
  <si>
    <t>재단법인 대구경북디자인센터</t>
  </si>
  <si>
    <t>재단법인 대구디지털산업진흥원</t>
  </si>
  <si>
    <t>재단법인 대구문화재단</t>
  </si>
  <si>
    <t>재단법인 대구오페라하우스</t>
  </si>
  <si>
    <t>재단법인 대전경제통상진흥원</t>
  </si>
  <si>
    <t>재단법인 대전문화재단</t>
  </si>
  <si>
    <t>재단법인 대전세종연구원</t>
    <phoneticPr fontId="1" type="noConversion"/>
  </si>
  <si>
    <t>재단법인 대전복지효재단</t>
    <phoneticPr fontId="1" type="noConversion"/>
  </si>
  <si>
    <t>재단법인 대전정보문화산업진흥원</t>
    <phoneticPr fontId="1" type="noConversion"/>
  </si>
  <si>
    <t>재단법인 대전테크노파크</t>
  </si>
  <si>
    <t>재단법인 마포문화재단</t>
  </si>
  <si>
    <t>재단법인 명량대첩기념사업회</t>
  </si>
  <si>
    <t>재단법인 문화엑스포</t>
  </si>
  <si>
    <t>재단법인 백제문화제추진위원회</t>
  </si>
  <si>
    <t>재단법인 베리&amp;바이오식품연구소</t>
  </si>
  <si>
    <t>재단법인 부산광역시국제교류재단</t>
  </si>
  <si>
    <t>재단법인 부산디자인센터</t>
  </si>
  <si>
    <t>재단법인 부산문화재단</t>
  </si>
  <si>
    <t>재단법인 부산발전연구원</t>
  </si>
  <si>
    <t>재단법인 부산복지개발원</t>
  </si>
  <si>
    <t>재단법인 부산여성가족개발원</t>
  </si>
  <si>
    <t>재단법인 부산영어방송재단</t>
    <phoneticPr fontId="1" type="noConversion"/>
  </si>
  <si>
    <t>재단법인 부산정보산업진흥원</t>
  </si>
  <si>
    <t>재단법인 부천문화재단</t>
  </si>
  <si>
    <t>재단법인 부천산업진흥재단</t>
  </si>
  <si>
    <t>재단법인 사천문화재단</t>
  </si>
  <si>
    <t>재단법인 사천시청소년육성재단</t>
  </si>
  <si>
    <t>재단법인 서울디자인재단</t>
  </si>
  <si>
    <t>재단법인 서초다산장학재단</t>
  </si>
  <si>
    <t>재단법인 성남문화재단</t>
  </si>
  <si>
    <t>재단법인 성남산업진흥재단</t>
  </si>
  <si>
    <t>재단법인 성북문화재단</t>
  </si>
  <si>
    <t>재단법인 세종특별자치시인재육성재단</t>
  </si>
  <si>
    <t>재단법인 수성문화재단</t>
  </si>
  <si>
    <t>재단법인 수원문화재단</t>
  </si>
  <si>
    <t>재단법인 수원시정연구원</t>
  </si>
  <si>
    <t>재단법인 성남시상권활성화재단</t>
    <phoneticPr fontId="1" type="noConversion"/>
  </si>
  <si>
    <t>재단법인 시흥산업진흥원</t>
  </si>
  <si>
    <t>재단법인 아산문화재단</t>
    <phoneticPr fontId="1" type="noConversion"/>
  </si>
  <si>
    <t>재단법인 안산시문화재단</t>
  </si>
  <si>
    <t>재단법인 안산시청소년수련관</t>
  </si>
  <si>
    <t>재단법인 안산환경재단</t>
  </si>
  <si>
    <t>재단법인 안양문화예술재단</t>
  </si>
  <si>
    <t>재단법인 안양시민프로축구단</t>
  </si>
  <si>
    <t>재단법인 안양창조산업진흥원</t>
  </si>
  <si>
    <t>재단법인 영등포문화재단</t>
  </si>
  <si>
    <t>재단법인 영월문화재단</t>
    <phoneticPr fontId="1" type="noConversion"/>
  </si>
  <si>
    <t>재단법인 영월청정소재산업진흥원</t>
  </si>
  <si>
    <t>재단법인 영화의전당</t>
  </si>
  <si>
    <t>재단법인 오산문화재단</t>
  </si>
  <si>
    <t>재단법인 오송바이오진흥재단</t>
  </si>
  <si>
    <t>재단법인 완도군행복복지재단</t>
  </si>
  <si>
    <t>재단법인 옹진군장학재단</t>
    <phoneticPr fontId="1" type="noConversion"/>
  </si>
  <si>
    <t>재단법인 용인문화재단</t>
  </si>
  <si>
    <t>재단법인 용인시축구센터</t>
  </si>
  <si>
    <t>재단법인 용인시디지털산업진흥원</t>
  </si>
  <si>
    <t>재단법인 용인시청소년미래재단</t>
  </si>
  <si>
    <t>재단법인 울산경제진흥원</t>
  </si>
  <si>
    <t>재단법인 울산발전연구원</t>
  </si>
  <si>
    <t>재단법인 의정부예술의전당</t>
  </si>
  <si>
    <t>재단법인 인제군문화재단</t>
  </si>
  <si>
    <t>재단법인 인천발전연구원</t>
  </si>
  <si>
    <t>재단법인 인천인재육성재단</t>
  </si>
  <si>
    <t>재단법인 장보고장학회</t>
  </si>
  <si>
    <t>재단법인 장애인기업종합지원센터</t>
    <phoneticPr fontId="1" type="noConversion"/>
  </si>
  <si>
    <t>재단법인 전남생물산업진흥원</t>
  </si>
  <si>
    <t>재단법인 전남여성플라자</t>
  </si>
  <si>
    <t>재단법인 전남인재육성재단</t>
  </si>
  <si>
    <t>재단법인 전남정보문화산업진흥원</t>
  </si>
  <si>
    <t>재단법인 전라남도국제농업박람회조직위원회</t>
  </si>
  <si>
    <t>재단법인 전라남도문화관광재단</t>
  </si>
  <si>
    <t>재단법인 전라남도청소년미래재단</t>
  </si>
  <si>
    <t>재단법인 전라북도경제통상진흥원</t>
  </si>
  <si>
    <t>재단법인 전라북도생물산업진흥원</t>
  </si>
  <si>
    <t>재단법인 전라북도인재육성재단</t>
  </si>
  <si>
    <t>재단법인 자동차융합기술원</t>
    <phoneticPr fontId="1" type="noConversion"/>
  </si>
  <si>
    <t>재단법인 전주정보문화산업진흥원</t>
  </si>
  <si>
    <t>재단법인 제주문화예술재단</t>
  </si>
  <si>
    <t>재단법인 제주발전연구원</t>
  </si>
  <si>
    <t>재단법인 제주테크노파크</t>
  </si>
  <si>
    <t>재단법인 중구문화재단</t>
  </si>
  <si>
    <t>재단법인 중원문화체육관광진흥재단</t>
  </si>
  <si>
    <t>재단법인 증평복지재단</t>
  </si>
  <si>
    <t>재단법인 진도군인재육성장학회</t>
  </si>
  <si>
    <t>재단법인 진안홍삼연구소</t>
  </si>
  <si>
    <t>재단법인 차세대융합기술연구원</t>
  </si>
  <si>
    <t>재단법인 천안문화재단</t>
  </si>
  <si>
    <t>재단법인 천안시축구단</t>
  </si>
  <si>
    <t>재단법인 철원플라즈마산업기술연구원</t>
  </si>
  <si>
    <t>재단법인 청주복지재단</t>
  </si>
  <si>
    <t>재단법인 청주시문화산업진흥재단</t>
  </si>
  <si>
    <t>재단법인 춘천바이오산업진흥원</t>
  </si>
  <si>
    <t>재단법인 춘천시문화재단</t>
  </si>
  <si>
    <t>재단법인 충남문화산업진흥원</t>
  </si>
  <si>
    <t>재단법인 충남문화재단</t>
  </si>
  <si>
    <t>재단법인 충남연구원</t>
  </si>
  <si>
    <t>재단법인 충북연구원</t>
    <phoneticPr fontId="1" type="noConversion"/>
  </si>
  <si>
    <t>재단법인 충북학사</t>
  </si>
  <si>
    <t>재단법인 충청남도경제진흥원</t>
  </si>
  <si>
    <t>재단법인 충청남도여성정책개발원</t>
  </si>
  <si>
    <t>재단법인 충청남도청소년진흥원</t>
  </si>
  <si>
    <t>재단법인 충청북도지방기업진흥원</t>
  </si>
  <si>
    <t>재단법인 충청북도지식산업진흥원</t>
  </si>
  <si>
    <t>재단법인 코리아심포니오케스트라</t>
    <phoneticPr fontId="1" type="noConversion"/>
  </si>
  <si>
    <t>재단법인 포뮬러원국제자동차경주대회조직위원회</t>
  </si>
  <si>
    <t>재단법인 포항금속소재산업진흥원</t>
  </si>
  <si>
    <t>재단법인 하남문화재단</t>
  </si>
  <si>
    <t>재단법인 한국국학진흥원</t>
  </si>
  <si>
    <t>재단법인 한국마약퇴치운동본부</t>
  </si>
  <si>
    <t>재단법인 한국만화영상진흥원</t>
  </si>
  <si>
    <t>재단법인 한국문화예술회관연합회</t>
  </si>
  <si>
    <t>재단법인 한국탄소융합기술원</t>
  </si>
  <si>
    <t>재단법인 한식재단</t>
  </si>
  <si>
    <t>재단법인 한일산업기술협력재단</t>
  </si>
  <si>
    <t>재단법인 홍천메디칼허브연구소</t>
  </si>
  <si>
    <t>재단법인 화성시문화재단</t>
  </si>
  <si>
    <t>재단법인 화성시인재육성재단</t>
  </si>
  <si>
    <t>전라남도교통연수원</t>
  </si>
  <si>
    <t>전라남도장애인체육회</t>
  </si>
  <si>
    <t>전라남도체육회</t>
  </si>
  <si>
    <t>전라남도환경산업진흥원</t>
  </si>
  <si>
    <t>전라북도장애인체육회</t>
  </si>
  <si>
    <t>전라북도체육회</t>
  </si>
  <si>
    <t>전략물자관리원</t>
  </si>
  <si>
    <t>전북연구원</t>
  </si>
  <si>
    <t>정보통신산업진흥원</t>
  </si>
  <si>
    <t>정보통신정책연구원</t>
  </si>
  <si>
    <t>제주특별자치도체육회</t>
  </si>
  <si>
    <t>중소기업기술정보진흥원</t>
  </si>
  <si>
    <t>중소기업중앙회</t>
  </si>
  <si>
    <t>참사랑의집</t>
  </si>
  <si>
    <t>충북문화재단</t>
  </si>
  <si>
    <t>충북인재양성재단</t>
  </si>
  <si>
    <t>충청남도교통연수원</t>
  </si>
  <si>
    <t>충청남도역사문화연구원</t>
  </si>
  <si>
    <t>충청남도장애인체육회</t>
  </si>
  <si>
    <t>충청남도체육회</t>
  </si>
  <si>
    <t>충청북도교통연수원</t>
  </si>
  <si>
    <t>충청북도장애인체육회</t>
  </si>
  <si>
    <t>충청북도체육회</t>
  </si>
  <si>
    <t>태권도진흥재단</t>
  </si>
  <si>
    <t>통일연구원</t>
  </si>
  <si>
    <t>한국가정법률상담소</t>
  </si>
  <si>
    <t>한국개발연구원</t>
  </si>
  <si>
    <t>한국건설기술연구원</t>
  </si>
  <si>
    <t>한국공정거래조정원</t>
  </si>
  <si>
    <t>한국과학기술기획평가원</t>
  </si>
  <si>
    <t>한국과학기술연구원</t>
  </si>
  <si>
    <t>한국과학기술원</t>
  </si>
  <si>
    <t>한국과학기술정보연구원</t>
  </si>
  <si>
    <t>한국과학창의재단</t>
  </si>
  <si>
    <t>한국교육개발원</t>
  </si>
  <si>
    <t>한국교육과정평가원</t>
  </si>
  <si>
    <t>한국교육방송공사</t>
  </si>
  <si>
    <t>한국교통연구원</t>
  </si>
  <si>
    <t>한국기계연구원</t>
  </si>
  <si>
    <t>한국기초과학지원연구원</t>
  </si>
  <si>
    <t>한국노동연구원</t>
  </si>
  <si>
    <t>한국농수산식품유통공사</t>
  </si>
  <si>
    <t>한국농어촌공사</t>
  </si>
  <si>
    <t>한국농촌경제연구원</t>
  </si>
  <si>
    <t>한국디자인진흥원</t>
  </si>
  <si>
    <t>한국로봇산업진흥원</t>
  </si>
  <si>
    <t>한국문화산업교류재단</t>
  </si>
  <si>
    <t>한국법제연구원</t>
  </si>
  <si>
    <t>한국보건복지인력개발원</t>
  </si>
  <si>
    <t>한국보건사회연구원</t>
  </si>
  <si>
    <t>한국사회복지협의회</t>
  </si>
  <si>
    <t>한국사회적기업진흥원</t>
  </si>
  <si>
    <t>한국산업기술시험원</t>
  </si>
  <si>
    <t>한국산업기술평가관리원</t>
  </si>
  <si>
    <t>한국산업단지공단</t>
  </si>
  <si>
    <t>한국생명공학연구원</t>
  </si>
  <si>
    <t>한국생산기술연구원</t>
  </si>
  <si>
    <t>한국생산성본부</t>
  </si>
  <si>
    <t>한국석유관리원</t>
  </si>
  <si>
    <t>한국섬유개발연구원</t>
  </si>
  <si>
    <t>한국세라믹기술원</t>
  </si>
  <si>
    <t>한국수산자원관리공단</t>
  </si>
  <si>
    <t>한국식품연구원</t>
  </si>
  <si>
    <t>한국실크연구원</t>
  </si>
  <si>
    <t>한국어촌어항협회</t>
  </si>
  <si>
    <t>한국에너지기술연구원</t>
  </si>
  <si>
    <t>한국에이즈퇴치연맹</t>
  </si>
  <si>
    <t>한국여성정책연구원</t>
  </si>
  <si>
    <t>한국연구재단</t>
  </si>
  <si>
    <t>한국영상자료원</t>
  </si>
  <si>
    <t>한국원자력문화재단</t>
  </si>
  <si>
    <t>한국원자력연구원</t>
  </si>
  <si>
    <t>한국원자력환경공단</t>
  </si>
  <si>
    <t>한국인터넷진흥원</t>
  </si>
  <si>
    <t>한국저작권위원회</t>
  </si>
  <si>
    <t>한국전기연구원</t>
  </si>
  <si>
    <t>한국전자통신연구원</t>
  </si>
  <si>
    <t>한국정보화진흥원</t>
  </si>
  <si>
    <t>한국조세재정연구원</t>
  </si>
  <si>
    <t>한국지방세연구원</t>
  </si>
  <si>
    <t>한국지식재산연구원</t>
  </si>
  <si>
    <t>한국지질자원연구원</t>
  </si>
  <si>
    <t>한국직업능력개발원</t>
  </si>
  <si>
    <t>한국천문연구원</t>
  </si>
  <si>
    <t>한국철도기술연구원</t>
  </si>
  <si>
    <t>한국청소년상담복지개발원</t>
  </si>
  <si>
    <t>한국청소년정책연구원</t>
  </si>
  <si>
    <t>한국청소년활동진흥원</t>
  </si>
  <si>
    <t>한국콘텐츠진흥원</t>
  </si>
  <si>
    <t>한국패션산업연구원</t>
  </si>
  <si>
    <t>한국표준과학연구원</t>
  </si>
  <si>
    <t>한국표준협회</t>
  </si>
  <si>
    <t>한국한센복지협회</t>
  </si>
  <si>
    <t>한국한의학연구원</t>
  </si>
  <si>
    <t>한국항공우주연구원</t>
  </si>
  <si>
    <t>한국해양과학기술원</t>
  </si>
  <si>
    <t>한국해양과학기술진흥원</t>
  </si>
  <si>
    <t>한국해양수산개발원</t>
  </si>
  <si>
    <t>한국행정연구원</t>
  </si>
  <si>
    <t>한국형사정책연구원</t>
  </si>
  <si>
    <t>한국화학연구원</t>
  </si>
  <si>
    <t>한국환경공단</t>
  </si>
  <si>
    <t>해남지역자활센터</t>
  </si>
  <si>
    <t>홈에버그린</t>
  </si>
  <si>
    <t>화성시체육회</t>
  </si>
  <si>
    <t>하이원상동테마파크</t>
  </si>
  <si>
    <t>하이원엔터테인먼트</t>
  </si>
  <si>
    <t>하이원추추파크</t>
  </si>
  <si>
    <t>한국기술자격검정원</t>
    <phoneticPr fontId="1" type="noConversion"/>
  </si>
  <si>
    <t>전국재해구호협회</t>
  </si>
  <si>
    <t>농업협동조합중앙회</t>
  </si>
  <si>
    <t>대한건설기계안전관리원</t>
  </si>
  <si>
    <t>사단법인 대한산업안전협회</t>
  </si>
  <si>
    <t>사단법인 한국선급</t>
  </si>
  <si>
    <t>사단법인 한국창업보육협회</t>
    <phoneticPr fontId="1" type="noConversion"/>
  </si>
  <si>
    <t>인구보건복지협회</t>
  </si>
  <si>
    <t>재단법인 한국에너지재단</t>
  </si>
  <si>
    <t>재단법인 한국특허정보원</t>
  </si>
  <si>
    <t>재단법인 한국해사위험물검사원</t>
  </si>
  <si>
    <t>한국거래소</t>
  </si>
  <si>
    <t>한국건설기술인협회</t>
  </si>
  <si>
    <t>한국보건의료인국가시험원</t>
  </si>
  <si>
    <t>한국엔지니어링협회</t>
  </si>
  <si>
    <t>한국우편사업진흥원</t>
  </si>
  <si>
    <t>2012여수세계박람회재단</t>
  </si>
  <si>
    <t>강릉원주대학교치과병원</t>
  </si>
  <si>
    <t>강원대학교병원</t>
  </si>
  <si>
    <t>강원도강릉의료원</t>
  </si>
  <si>
    <t>강원도삼척의료원</t>
  </si>
  <si>
    <t>강원도속초의료원</t>
  </si>
  <si>
    <t>강원도영월의료원</t>
  </si>
  <si>
    <t>강원도원주의료원</t>
  </si>
  <si>
    <t>강원문화재단</t>
  </si>
  <si>
    <t>강원발전연구원</t>
  </si>
  <si>
    <t>강원신용보증재단</t>
  </si>
  <si>
    <t>강화고려역사재단</t>
  </si>
  <si>
    <t>개성공업지구지원재단</t>
  </si>
  <si>
    <t>거제시문화예술재단</t>
  </si>
  <si>
    <t>건강보험심사평가원</t>
  </si>
  <si>
    <t>건설근로자공제회</t>
  </si>
  <si>
    <t>게임물관리위원회</t>
  </si>
  <si>
    <t>겨레말큰사전남북공동편찬사업회</t>
  </si>
  <si>
    <t>경기대진테크노파크</t>
    <phoneticPr fontId="1" type="noConversion"/>
  </si>
  <si>
    <t>경기도의료원</t>
  </si>
  <si>
    <t>경기신용보증재단</t>
  </si>
  <si>
    <t>경기평생교육진흥원</t>
  </si>
  <si>
    <t>경남문화예술진흥원</t>
  </si>
  <si>
    <t>경남신용보증재단</t>
  </si>
  <si>
    <t>경북농민사관학교</t>
  </si>
  <si>
    <t>경북대학교병원</t>
  </si>
  <si>
    <t>경북대학교치과병원</t>
    <phoneticPr fontId="1" type="noConversion"/>
  </si>
  <si>
    <t>경북신용보증재단</t>
  </si>
  <si>
    <t>경북차량용임베디드기술연구원</t>
  </si>
  <si>
    <t>경상남도람사르환경재단</t>
  </si>
  <si>
    <t>경상남도마산의료원</t>
  </si>
  <si>
    <t>경상남도자원봉사센터</t>
  </si>
  <si>
    <t>경상남도장애인체육회</t>
  </si>
  <si>
    <t>경상남도체육회</t>
  </si>
  <si>
    <t xml:space="preserve">경상대학교병원 </t>
  </si>
  <si>
    <t>경상북도교통문화연수원</t>
  </si>
  <si>
    <t>경상북도김천의료원</t>
  </si>
  <si>
    <t>경상북도안동의료원</t>
  </si>
  <si>
    <t>경상북도울진군의료원</t>
  </si>
  <si>
    <t>경상북도종합자원봉사센터</t>
  </si>
  <si>
    <t>경상북도포항의료원</t>
  </si>
  <si>
    <t>경찰공제회</t>
  </si>
  <si>
    <t>고양시자원봉사센터</t>
    <phoneticPr fontId="1" type="noConversion"/>
  </si>
  <si>
    <t>공무원연금공단</t>
  </si>
  <si>
    <t>과학기술연합대학원대학교</t>
  </si>
  <si>
    <t>과학기술인공제회</t>
  </si>
  <si>
    <t>광주광역시교통약자이동센터</t>
  </si>
  <si>
    <t>광주신용보증재단</t>
  </si>
  <si>
    <t>교육시설재난공제회</t>
  </si>
  <si>
    <t>교정공제회</t>
  </si>
  <si>
    <t>교통안전공단</t>
  </si>
  <si>
    <t>국가과학기술연구회</t>
  </si>
  <si>
    <t>국가평생교육진흥원</t>
  </si>
  <si>
    <t>국립광주과학관</t>
  </si>
  <si>
    <t>국립낙동강생물자원관</t>
  </si>
  <si>
    <t>국립대구과학관</t>
  </si>
  <si>
    <t>국립대학법인 서울대학교</t>
  </si>
  <si>
    <t>국립대학법인 인천대학교</t>
  </si>
  <si>
    <t>국립암센터</t>
  </si>
  <si>
    <t>국립해양박물관</t>
  </si>
  <si>
    <t>국민건강보험공단</t>
  </si>
  <si>
    <t>국민연금공단</t>
  </si>
  <si>
    <t>국방과학연구소</t>
  </si>
  <si>
    <t>국방기술품질원</t>
  </si>
  <si>
    <t>국방전직교육원</t>
  </si>
  <si>
    <t>국외소재문화재재단</t>
  </si>
  <si>
    <t>국제식물검역인증원</t>
  </si>
  <si>
    <t>국토교통과학기술진흥원</t>
  </si>
  <si>
    <t>군인공제회</t>
  </si>
  <si>
    <t>근로복지공단</t>
  </si>
  <si>
    <t>금융감독원</t>
  </si>
  <si>
    <t>기술신용보증기금</t>
  </si>
  <si>
    <t>농업기술실용화재단</t>
  </si>
  <si>
    <t>대구경북과학기술원</t>
  </si>
  <si>
    <t>대구경북첨단의료산업진흥재단</t>
  </si>
  <si>
    <t>대구광역시교통연수원</t>
  </si>
  <si>
    <t>대구신용보증재단</t>
  </si>
  <si>
    <t>대구의료원</t>
  </si>
  <si>
    <t>대전신용보증재단</t>
  </si>
  <si>
    <t>대중소기업협력재단</t>
  </si>
  <si>
    <t>대한법률구조공단</t>
  </si>
  <si>
    <t>대한소방공제회</t>
  </si>
  <si>
    <t>대한지방행정공제회</t>
  </si>
  <si>
    <t>도로교통공단</t>
  </si>
  <si>
    <t>독도재단</t>
  </si>
  <si>
    <t>독립기념관</t>
  </si>
  <si>
    <t>목포시의료원</t>
  </si>
  <si>
    <t>민주화운동기념사업회</t>
  </si>
  <si>
    <t>방송문화진흥회</t>
  </si>
  <si>
    <t>방송통신심의위원회</t>
  </si>
  <si>
    <t>법령정보관리원</t>
  </si>
  <si>
    <t>별정우체국연금관리단</t>
  </si>
  <si>
    <t>부산광역시의료원</t>
  </si>
  <si>
    <t>부산대학교병원</t>
  </si>
  <si>
    <t>부산대학교치과병원</t>
  </si>
  <si>
    <t>부산신용보증재단</t>
  </si>
  <si>
    <t>사단법인 남북교류협력지원협회</t>
  </si>
  <si>
    <t>사단법인 전국지방의료원연합회</t>
  </si>
  <si>
    <t>사단법인 한국방사선진흥협회</t>
  </si>
  <si>
    <t>사단법인 한국산업기술보호협회</t>
  </si>
  <si>
    <t>사단법인 한국수상레저안전협회</t>
  </si>
  <si>
    <t>사단법인 한국여성발명협회</t>
  </si>
  <si>
    <t>사립학교교직원연금공단</t>
  </si>
  <si>
    <t>사회보장정보원</t>
  </si>
  <si>
    <t>서민금융진흥원</t>
    <phoneticPr fontId="1" type="noConversion"/>
  </si>
  <si>
    <t>서울대학교병원</t>
  </si>
  <si>
    <t>서울대학교치과병원</t>
  </si>
  <si>
    <t>서울산업진흥원</t>
  </si>
  <si>
    <t>서울신용보증재단</t>
  </si>
  <si>
    <t>서울올림픽기념국민체육진흥공단</t>
  </si>
  <si>
    <t>서울특별시50플러스재단</t>
    <phoneticPr fontId="1" type="noConversion"/>
  </si>
  <si>
    <t>서울특별시서울의료원</t>
  </si>
  <si>
    <t>서울특별시평생교육진흥원</t>
  </si>
  <si>
    <t>선박안전기술공단</t>
  </si>
  <si>
    <t>성남시의료원</t>
    <phoneticPr fontId="1" type="noConversion"/>
  </si>
  <si>
    <t>성남시체육회</t>
    <phoneticPr fontId="1" type="noConversion"/>
  </si>
  <si>
    <t>소방산업공제조합</t>
  </si>
  <si>
    <t>소상공인시장진흥공단</t>
  </si>
  <si>
    <t>소프트웨어공제조합</t>
  </si>
  <si>
    <t>수도권매립지관리공사</t>
  </si>
  <si>
    <t>수원시지속가능도시재단</t>
    <phoneticPr fontId="1" type="noConversion"/>
  </si>
  <si>
    <t>시청자미디어재단</t>
  </si>
  <si>
    <t>식품안전정보원</t>
  </si>
  <si>
    <t>신용보증기금</t>
  </si>
  <si>
    <t>신용보증재단중앙회</t>
  </si>
  <si>
    <t>신용회복위원회</t>
    <phoneticPr fontId="1" type="noConversion"/>
  </si>
  <si>
    <t>안산인재육성재단</t>
  </si>
  <si>
    <t>연구개발특구진흥재단</t>
  </si>
  <si>
    <t>영상물등급위원회</t>
  </si>
  <si>
    <t>영화진흥위원회</t>
  </si>
  <si>
    <t>예금보험공사</t>
  </si>
  <si>
    <t>예산군청소년복지재단</t>
  </si>
  <si>
    <t>예술의전당</t>
  </si>
  <si>
    <t>오송첨단의료산업진흥재단</t>
  </si>
  <si>
    <t>우체국금융개발원</t>
  </si>
  <si>
    <t>우체국물류지원단</t>
  </si>
  <si>
    <t>우체국시설관리단</t>
  </si>
  <si>
    <t>울산과학기술원</t>
  </si>
  <si>
    <t>울산신용보증재단</t>
  </si>
  <si>
    <t>유네스코한국위원회</t>
  </si>
  <si>
    <t>의료기기정보기술지원센터</t>
  </si>
  <si>
    <t>의정부시자원봉사센터</t>
    <phoneticPr fontId="1" type="noConversion"/>
  </si>
  <si>
    <t>의정부시청소년육성재단</t>
    <phoneticPr fontId="1" type="noConversion"/>
  </si>
  <si>
    <t>이주배경청소년재원재단</t>
  </si>
  <si>
    <t>인천광역시의료원</t>
  </si>
  <si>
    <t>인천신용보증재단</t>
  </si>
  <si>
    <t>일제강제동원피해자지원재단</t>
  </si>
  <si>
    <t>재단법인 APEC기후센터</t>
  </si>
  <si>
    <t>재단법인 강남복지재단</t>
  </si>
  <si>
    <t>재단법인 강원창조경제혁신센터</t>
    <phoneticPr fontId="1" type="noConversion"/>
  </si>
  <si>
    <t>재단법인 강원테크노파크</t>
  </si>
  <si>
    <t>재단법인 거제시희망복지재단</t>
  </si>
  <si>
    <t>재단법인 경기도문화의전당</t>
  </si>
  <si>
    <t>재단법인 경기도수원월드컵경기장관리재단</t>
  </si>
  <si>
    <t>재단법인 경기도일자리재단</t>
    <phoneticPr fontId="1" type="noConversion"/>
  </si>
  <si>
    <t>재단법인 경기도청소년수련원</t>
  </si>
  <si>
    <t>재단법인 경기문화재단</t>
  </si>
  <si>
    <t>재단법인 경기영어마을</t>
  </si>
  <si>
    <t>재단법인 경기창조경제혁신센터</t>
    <phoneticPr fontId="1" type="noConversion"/>
  </si>
  <si>
    <t>재단법인 경기콘텐츠진흥원</t>
  </si>
  <si>
    <t>재단법인 경기테크노파크</t>
  </si>
  <si>
    <t>재단법인 경남로봇랜드재단</t>
  </si>
  <si>
    <t>재단법인 경남발전연구원</t>
  </si>
  <si>
    <t>재단법인 경남창조경제혁신센터</t>
    <phoneticPr fontId="1" type="noConversion"/>
  </si>
  <si>
    <t>재단법인 경남테크노파크</t>
  </si>
  <si>
    <t>재단법인 경남한방약초연구소</t>
  </si>
  <si>
    <t>재단법인 경북바이오산업연구원</t>
  </si>
  <si>
    <t>재단법인 경북창조경제혁신센터</t>
    <phoneticPr fontId="1" type="noConversion"/>
  </si>
  <si>
    <t>재단법인 경북테크노파크</t>
  </si>
  <si>
    <t>재단법인 경북하이브리드부품연구원</t>
  </si>
  <si>
    <t>재단법인 경상북도경제진흥원</t>
  </si>
  <si>
    <t>재단법인 경상북도문화콘텐츠진흥원</t>
  </si>
  <si>
    <t>재단법인 경상북도청소년육성재단</t>
  </si>
  <si>
    <t>재단법인 고양국제꽃박람회</t>
  </si>
  <si>
    <t>재단법인 고양문화재단</t>
  </si>
  <si>
    <t>재단법인 광주광역시광주여성재단</t>
  </si>
  <si>
    <t>재단법인 광주전남연구원</t>
  </si>
  <si>
    <t>재단법인 광주창조경제혁신센터</t>
    <phoneticPr fontId="1" type="noConversion"/>
  </si>
  <si>
    <t>재단법인 광주테크노파크</t>
  </si>
  <si>
    <t>재단법인 광진문화재단</t>
  </si>
  <si>
    <t>재단법인 구로문화재단</t>
  </si>
  <si>
    <t>재단법인 국립극단</t>
  </si>
  <si>
    <t>재단법인 국립박물관문화재단</t>
  </si>
  <si>
    <t>재단법인 국립발레단</t>
  </si>
  <si>
    <t>재단법인 국립오페라단</t>
  </si>
  <si>
    <t>재단법인 국립합창단</t>
  </si>
  <si>
    <t>재단법인 국악방송</t>
  </si>
  <si>
    <t>재단법인 국제방송교류재단</t>
  </si>
  <si>
    <t>재단법인 금정문화재단</t>
    <phoneticPr fontId="1" type="noConversion"/>
  </si>
  <si>
    <t>재단법인 김포문화재단</t>
  </si>
  <si>
    <t>재단법인 김포복지재단</t>
  </si>
  <si>
    <t>재단법인 김해문화재단</t>
  </si>
  <si>
    <t>재단법인 김해시복지재단</t>
  </si>
  <si>
    <t>재단법인 남해마늘연구소</t>
  </si>
  <si>
    <t>재단법인 달서문화재단</t>
  </si>
  <si>
    <t>재단법인 대구광역시동구문화재단</t>
  </si>
  <si>
    <t>재단법인 대구기계부품연구원</t>
  </si>
  <si>
    <t>재단법인 대구북구청소년회관</t>
  </si>
  <si>
    <t>재단법인 대구창조경제혁신센터</t>
    <phoneticPr fontId="1" type="noConversion"/>
  </si>
  <si>
    <t>재단법인 대구청소년지원재단</t>
    <phoneticPr fontId="1" type="noConversion"/>
  </si>
  <si>
    <t>재단법인 대구테크노파크</t>
  </si>
  <si>
    <t>재단법인 대전고암미술문화재단</t>
  </si>
  <si>
    <t>재단법인 대전창조경제혁신센터</t>
    <phoneticPr fontId="1" type="noConversion"/>
  </si>
  <si>
    <t>재단법인 동북아역사재단</t>
  </si>
  <si>
    <t>재단법인 목포국제축구센터</t>
  </si>
  <si>
    <t>재단법인 목포수산식품지원센터</t>
  </si>
  <si>
    <t>재단법인 밀양문화재단</t>
  </si>
  <si>
    <t>재단법인 부산경제진흥원</t>
  </si>
  <si>
    <t>재단법인 부산과학기술기획평가원</t>
  </si>
  <si>
    <t>재단법인 부산광역시재생지원센터</t>
    <phoneticPr fontId="1" type="noConversion"/>
  </si>
  <si>
    <t>재단법인 부산창조경제혁신센터</t>
    <phoneticPr fontId="1" type="noConversion"/>
  </si>
  <si>
    <t>재단법인 부산테크노파크</t>
  </si>
  <si>
    <t>재단법인 부천시여성청소년재단</t>
  </si>
  <si>
    <t>재단법인 서산시복지재단</t>
  </si>
  <si>
    <t>재단법인 서울문화재단</t>
  </si>
  <si>
    <t>재단법인 서울시립교향악단</t>
  </si>
  <si>
    <t>재단법인 서울시복지재단</t>
  </si>
  <si>
    <t>재단법인 서울예술단</t>
  </si>
  <si>
    <t>재단법인 서울창조경제혁신센터</t>
    <phoneticPr fontId="1" type="noConversion"/>
  </si>
  <si>
    <t>재단법인 서울테크노파크</t>
  </si>
  <si>
    <t>재단법인 서초문화재단</t>
  </si>
  <si>
    <t>재단법인 성동문화재단</t>
  </si>
  <si>
    <t>재단법인 세종문화회관</t>
  </si>
  <si>
    <t>재단법인 세종창조경제혁신센터</t>
  </si>
  <si>
    <t>재단법인 스크립스코리아항체연구원</t>
  </si>
  <si>
    <t>재단법인 양산시복지재단</t>
  </si>
  <si>
    <t>재단법인 양천사랑복지재단</t>
    <phoneticPr fontId="1" type="noConversion"/>
  </si>
  <si>
    <t>재단법인 예술경영지원센터</t>
  </si>
  <si>
    <t>재단법인 용산복지재단</t>
    <phoneticPr fontId="1" type="noConversion"/>
  </si>
  <si>
    <t>재단법인 울산광역시여성가족개발원</t>
  </si>
  <si>
    <t>재단법인 울산창조경제혁신센터</t>
  </si>
  <si>
    <t>재단법인 울산테크노파크</t>
  </si>
  <si>
    <t>재단법인 원주의료기기테크노밸리</t>
  </si>
  <si>
    <t>재단법인 인천광역시부평구문화재단</t>
  </si>
  <si>
    <t>재단법인 인천광역시여성가족재단</t>
  </si>
  <si>
    <t>재단법인 인천경제산업정보테크노파크</t>
    <phoneticPr fontId="1" type="noConversion"/>
  </si>
  <si>
    <t>재단법인 인천문화재단</t>
  </si>
  <si>
    <t>재단법인 인천창조경제혁신센터</t>
    <phoneticPr fontId="1" type="noConversion"/>
  </si>
  <si>
    <t>재단법인 임실치즈앤식품연구소</t>
    <phoneticPr fontId="1" type="noConversion"/>
  </si>
  <si>
    <t>재단법인 임실치즈테마파크</t>
  </si>
  <si>
    <t>재단법인 전남복지재단</t>
  </si>
  <si>
    <t>재단법인 전남창조경제혁신센터</t>
    <phoneticPr fontId="1" type="noConversion"/>
  </si>
  <si>
    <t>재단법인 전남테크노파크</t>
  </si>
  <si>
    <t>재단법인 전라남도중소기업종합지원센터</t>
  </si>
  <si>
    <t>재단법인 전북여성교육문화센터</t>
  </si>
  <si>
    <t>재단법인 전북창조경제혁신센터</t>
    <phoneticPr fontId="1" type="noConversion"/>
  </si>
  <si>
    <t>재단법인 전북테크노파크</t>
  </si>
  <si>
    <t>재단법인 전통공연예술진흥재단</t>
  </si>
  <si>
    <t>재단법인 정동극장</t>
  </si>
  <si>
    <t>재단법인 정선아리랑문화재단</t>
  </si>
  <si>
    <t>재단법인 제주창조경제혁신센터</t>
    <phoneticPr fontId="1" type="noConversion"/>
  </si>
  <si>
    <t>재단법인 제천한방바이오진흥재단</t>
  </si>
  <si>
    <t>재단법인 진주바이오산업진흥원</t>
  </si>
  <si>
    <t>재단법인 진주시좋은세상복지재단</t>
  </si>
  <si>
    <t>재단법인 창원문화재단</t>
  </si>
  <si>
    <t>재단법인 천안시복지재단</t>
  </si>
  <si>
    <t>재단법인 청송문화관광재단</t>
  </si>
  <si>
    <t>재단법인 충남창조경제혁신센터</t>
    <phoneticPr fontId="1" type="noConversion"/>
  </si>
  <si>
    <t>재단법인 충남테크노파크</t>
  </si>
  <si>
    <t>재단법인 충북창조경제혁신센터</t>
    <phoneticPr fontId="1" type="noConversion"/>
  </si>
  <si>
    <t>재단법인 충북테크노파크</t>
  </si>
  <si>
    <t>재단법인 충청남도인재육성재단</t>
  </si>
  <si>
    <t>재단법인 통영국제음악재단</t>
  </si>
  <si>
    <t>재단법인 평택시국제교류재단</t>
  </si>
  <si>
    <t>재단법인 평택시청소년재단</t>
  </si>
  <si>
    <t>재단법인 포항테크노파크</t>
  </si>
  <si>
    <t>재단법인 하동녹차연구소</t>
  </si>
  <si>
    <t>재단법인 한국공예디자인문화진흥원</t>
  </si>
  <si>
    <t>재단법인 한국군사문제연구원</t>
  </si>
  <si>
    <t>재단법인 한국나노기술원</t>
  </si>
  <si>
    <t>재단법인 한국노인인력개발원</t>
  </si>
  <si>
    <t>재단법인 한국도자재단</t>
  </si>
  <si>
    <t>재단법인 한국스마트그리드사업단</t>
  </si>
  <si>
    <t>재단법인 한국여성수련원</t>
  </si>
  <si>
    <t>재단법인 한국장애인개발원</t>
  </si>
  <si>
    <t>재단법인 한국전통문화전당</t>
  </si>
  <si>
    <t>재단법인 한국지방행정연구원</t>
  </si>
  <si>
    <t>재단법인 한국지식재산보호원</t>
  </si>
  <si>
    <t>재단법인 한국형수치예보모델개발사업단</t>
  </si>
  <si>
    <t>재단법인 화성푸드통합지원센터</t>
  </si>
  <si>
    <t>재외동포재단</t>
  </si>
  <si>
    <t>전기공사공제조합</t>
  </si>
  <si>
    <t>전남대학교병원</t>
  </si>
  <si>
    <t>전남신용보증재단</t>
  </si>
  <si>
    <t>전라남도 강진의료원</t>
  </si>
  <si>
    <t>전라남도 순천의료원</t>
  </si>
  <si>
    <t>전라북도군산의료원</t>
  </si>
  <si>
    <t>전라북도남원의료원</t>
  </si>
  <si>
    <t>전북대학교병원</t>
  </si>
  <si>
    <t>전북신용보증재단</t>
  </si>
  <si>
    <t>전자부품연구원</t>
  </si>
  <si>
    <t>전쟁기념사업회</t>
  </si>
  <si>
    <t>정부법무공단</t>
  </si>
  <si>
    <t>제주대학교병원</t>
  </si>
  <si>
    <t>제주신용보증재단</t>
  </si>
  <si>
    <t>제주특별자치도서귀포의료원</t>
  </si>
  <si>
    <t>제주특별자치도제주의료원</t>
  </si>
  <si>
    <t>종로문화재단</t>
  </si>
  <si>
    <t>중소기업연구원</t>
  </si>
  <si>
    <t>중소기업은행</t>
  </si>
  <si>
    <t>중소기업진흥공단</t>
  </si>
  <si>
    <t>중앙입양원</t>
  </si>
  <si>
    <t>중앙자활센터</t>
  </si>
  <si>
    <t>지방공기업평가원</t>
  </si>
  <si>
    <t>진안군의료원</t>
  </si>
  <si>
    <t>창업진흥원</t>
  </si>
  <si>
    <t>총포화약안전기술협회</t>
  </si>
  <si>
    <t>축산물안전관리인증원</t>
  </si>
  <si>
    <t>축산물품질평가원</t>
  </si>
  <si>
    <t>춘천지역자활센터</t>
  </si>
  <si>
    <t>충남대학교병원</t>
  </si>
  <si>
    <t>충남신용보증재단</t>
  </si>
  <si>
    <t>충북대학교병원</t>
  </si>
  <si>
    <t>충북신용보증재단</t>
  </si>
  <si>
    <t>충청남도 공주의료원</t>
  </si>
  <si>
    <t>충청남도 서산의료원</t>
  </si>
  <si>
    <t>충청남도 천안의료원</t>
  </si>
  <si>
    <t>충청남도 홍성의료원</t>
  </si>
  <si>
    <t>충청남도평생교육진흥원</t>
  </si>
  <si>
    <t>충청북도 문화재연구원</t>
  </si>
  <si>
    <t>충청북도청주의료원</t>
  </si>
  <si>
    <t>충청북도충주의료원</t>
  </si>
  <si>
    <t>평택복지재단</t>
  </si>
  <si>
    <t>평택지역자활센터</t>
  </si>
  <si>
    <t>학교법인 한국기술교육대학교</t>
  </si>
  <si>
    <t>학교법인 한국폴리텍</t>
  </si>
  <si>
    <t>한국가스안전공사</t>
  </si>
  <si>
    <t>한국건강가정진흥원</t>
  </si>
  <si>
    <t>한국건강증진개발원</t>
  </si>
  <si>
    <t>한국고용정보원</t>
  </si>
  <si>
    <t>한국고전번역원</t>
  </si>
  <si>
    <t>한국과학기술단체총연합회</t>
  </si>
  <si>
    <t>한국광기술원</t>
  </si>
  <si>
    <t>한국광해관리공단</t>
  </si>
  <si>
    <t>한국교육학술정보원</t>
  </si>
  <si>
    <t>한국교직원공제회</t>
  </si>
  <si>
    <t>한국국방연구원</t>
  </si>
  <si>
    <t>한국국제교류재단</t>
  </si>
  <si>
    <t>한국국제보건의료재단</t>
  </si>
  <si>
    <t>한국국제협력단</t>
  </si>
  <si>
    <t>한국국토정보공사</t>
  </si>
  <si>
    <t>한국기상산업진흥원</t>
  </si>
  <si>
    <t>한국대학교육협의회</t>
  </si>
  <si>
    <t>한국데이터진흥원</t>
    <phoneticPr fontId="1" type="noConversion"/>
  </si>
  <si>
    <t>한국무역보험공사</t>
  </si>
  <si>
    <t>한국문학번역원</t>
  </si>
  <si>
    <t>한국문화관광연구원</t>
  </si>
  <si>
    <t>한국문화예술교육진흥원</t>
  </si>
  <si>
    <t>한국문화예술위원회</t>
  </si>
  <si>
    <t>한국문화재재단</t>
  </si>
  <si>
    <t>한국문화정보원</t>
  </si>
  <si>
    <t>한국발명진흥회</t>
  </si>
  <si>
    <t>한국방송공사</t>
  </si>
  <si>
    <t>한국방송통신전파진흥원</t>
  </si>
  <si>
    <t>한국법무보호복지공단</t>
  </si>
  <si>
    <t>한국보건산업진흥원</t>
  </si>
  <si>
    <t>한국보건의료연구원</t>
  </si>
  <si>
    <t>한국보육진흥원</t>
  </si>
  <si>
    <t>한국보훈복지의료공단</t>
  </si>
  <si>
    <t>한국사학진흥재단</t>
  </si>
  <si>
    <t>한국사회복지공제회</t>
    <phoneticPr fontId="1" type="noConversion"/>
  </si>
  <si>
    <t>한국산업기술진흥원</t>
  </si>
  <si>
    <t>한국산업기술진흥협회</t>
  </si>
  <si>
    <t>한국산업안전보건공단</t>
  </si>
  <si>
    <t>한국산업은행</t>
  </si>
  <si>
    <t>한국산업인력공단</t>
  </si>
  <si>
    <t>한국선원복지고용센터</t>
  </si>
  <si>
    <t>한국소방산업기술원</t>
  </si>
  <si>
    <t>한국소방시설관리협회</t>
  </si>
  <si>
    <t>한국소방시설협회</t>
  </si>
  <si>
    <t>한국소방안전협회</t>
  </si>
  <si>
    <t>한국소비자원</t>
  </si>
  <si>
    <t>한국수출입은행</t>
  </si>
  <si>
    <t>한국승강기안전공단</t>
    <phoneticPr fontId="1" type="noConversion"/>
  </si>
  <si>
    <t>한국시설안전공단</t>
  </si>
  <si>
    <t>한국식품안전관리인증원</t>
  </si>
  <si>
    <t>한국양성평등교육진흥원</t>
  </si>
  <si>
    <t>한국언론진흥재단</t>
  </si>
  <si>
    <t>한국에너지공단</t>
  </si>
  <si>
    <t>한국에너지기술평가원</t>
  </si>
  <si>
    <t>한국여성인권진흥원</t>
  </si>
  <si>
    <t>한국예술인복지재단</t>
  </si>
  <si>
    <t>한국예탁결제원</t>
  </si>
  <si>
    <t>한국원자력안전기술원</t>
  </si>
  <si>
    <t>한국원자력안전재단</t>
  </si>
  <si>
    <t>한국원자력의학원</t>
  </si>
  <si>
    <t>한국원자력통제기술원</t>
  </si>
  <si>
    <t>한국의료분쟁조정중재원</t>
  </si>
  <si>
    <t>한국의약품안전관리원</t>
  </si>
  <si>
    <t>한국임업진흥원</t>
  </si>
  <si>
    <t>한국자산관리공사</t>
  </si>
  <si>
    <t>한국잡월드</t>
  </si>
  <si>
    <t>한국장애인고용공단</t>
  </si>
  <si>
    <t>한국장학재단</t>
  </si>
  <si>
    <t>한국재정정보원</t>
    <phoneticPr fontId="1" type="noConversion"/>
  </si>
  <si>
    <t>한국저작권보호원</t>
    <phoneticPr fontId="1" type="noConversion"/>
  </si>
  <si>
    <t>한국전기공사협회</t>
  </si>
  <si>
    <t>한국전기기술인협회</t>
  </si>
  <si>
    <t>한국전기안전공사</t>
  </si>
  <si>
    <t>한국전력거래소</t>
  </si>
  <si>
    <t>한국전문대학교육협의회</t>
  </si>
  <si>
    <t>한국전파진흥협회</t>
  </si>
  <si>
    <t>한국정보기술연구원</t>
  </si>
  <si>
    <t>한국정보통신기술협회</t>
  </si>
  <si>
    <t>한국정보통신진흥협회</t>
  </si>
  <si>
    <t>한국주택금융공사</t>
  </si>
  <si>
    <t>한국지방재정공제회</t>
  </si>
  <si>
    <t>한국지식재산전략원</t>
  </si>
  <si>
    <t>한국지역정보개발원</t>
  </si>
  <si>
    <t>한국지역진흥재단</t>
  </si>
  <si>
    <t>한국철도시설공단</t>
  </si>
  <si>
    <t>한국출판문화산업진흥원</t>
  </si>
  <si>
    <t>한국투자공사</t>
  </si>
  <si>
    <t>한국티브이홈쇼핑협회</t>
  </si>
  <si>
    <t>한국학중앙연구원</t>
  </si>
  <si>
    <t>한국해양구조협회</t>
  </si>
  <si>
    <t>한국해양수산연수원</t>
  </si>
  <si>
    <t>한국해양조사협회</t>
  </si>
  <si>
    <t>한국해운조합</t>
  </si>
  <si>
    <t>한국환경산업기술원</t>
  </si>
  <si>
    <t>한국희귀의약품센터</t>
  </si>
  <si>
    <t>한약진흥재단</t>
  </si>
  <si>
    <t>항공안전기술원</t>
  </si>
  <si>
    <t>항로표지기술협회</t>
  </si>
  <si>
    <t>해외건설협회</t>
  </si>
  <si>
    <t>IOM이민정책연구원</t>
  </si>
  <si>
    <t>국제원산지정보원</t>
  </si>
  <si>
    <t>재단법인 기초전력연구원</t>
  </si>
  <si>
    <t>재단법인 한국장기기증원</t>
    <phoneticPr fontId="1" type="noConversion"/>
  </si>
  <si>
    <t>한국도박문제관리센터</t>
  </si>
  <si>
    <t>한국상하수도협회</t>
  </si>
  <si>
    <t>한국인체조직기증원</t>
    <phoneticPr fontId="1" type="noConversion"/>
  </si>
  <si>
    <t>한국은행</t>
    <phoneticPr fontId="1" type="noConversion"/>
  </si>
  <si>
    <t>칭다오aT물류유한공사</t>
  </si>
  <si>
    <t>에스에이치(SH)공사</t>
  </si>
  <si>
    <t>제주4·3평화재단</t>
  </si>
  <si>
    <t>한국신발·피혁연구원</t>
  </si>
  <si>
    <t>한국환경정책·평가연구원</t>
  </si>
  <si>
    <t>코드</t>
    <phoneticPr fontId="1" type="noConversion"/>
  </si>
  <si>
    <t>VC펀드계정</t>
  </si>
  <si>
    <t>장외매각(M&amp;A)</t>
  </si>
  <si>
    <t>대표이사/참여인력</t>
    <phoneticPr fontId="5" type="noConversion"/>
  </si>
  <si>
    <t>Ⅰ. 열제목별 목록값</t>
    <phoneticPr fontId="5" type="noConversion"/>
  </si>
  <si>
    <t>PE펀드계정 투자</t>
    <phoneticPr fontId="5" type="noConversion"/>
  </si>
  <si>
    <t>VC펀드계정 투자</t>
    <phoneticPr fontId="5" type="noConversion"/>
  </si>
  <si>
    <t>비고</t>
    <phoneticPr fontId="5" type="noConversion"/>
  </si>
  <si>
    <t>부분회수</t>
  </si>
  <si>
    <t>미회수</t>
  </si>
  <si>
    <t>Ⅰ. 공직유관단체명 및 코드</t>
    <phoneticPr fontId="5" type="noConversion"/>
  </si>
  <si>
    <t>공직유관단체</t>
    <phoneticPr fontId="1" type="noConversion"/>
  </si>
  <si>
    <t>한국남동발전㈜</t>
  </si>
  <si>
    <t>한국남부발전㈜</t>
  </si>
  <si>
    <t>한국동서발전㈜</t>
  </si>
  <si>
    <t>한국서부발전㈜</t>
  </si>
  <si>
    <t>한국수력원자력㈜</t>
  </si>
  <si>
    <t>한국중부발전㈜</t>
  </si>
  <si>
    <t>㈜강원랜드</t>
  </si>
  <si>
    <t>㈜벡스코</t>
  </si>
  <si>
    <t>㈜엑스코</t>
  </si>
  <si>
    <t>㈜울릉도친환경에너지자립섬</t>
  </si>
  <si>
    <t>㈜인천투자펀드</t>
  </si>
  <si>
    <t>㈜제주국제컨벤션센터</t>
  </si>
  <si>
    <t>㈜킨텍스</t>
  </si>
  <si>
    <t>㈜파주장단콩웰빙마루</t>
  </si>
  <si>
    <t>합천유통㈜</t>
  </si>
  <si>
    <t>부산김해경전철운영㈜</t>
  </si>
  <si>
    <t>서울메트로9호선운영㈜</t>
  </si>
  <si>
    <t>아이비케이신용정보㈜</t>
  </si>
  <si>
    <t>㈜KIB보험중개</t>
  </si>
  <si>
    <t>㈜SBC인증원</t>
  </si>
  <si>
    <t>㈜부산항보안공사</t>
  </si>
  <si>
    <t>㈜서울도시철도그린환경</t>
  </si>
  <si>
    <t>㈜서울메트로환경</t>
  </si>
  <si>
    <t>㈜송도아메리칸타운</t>
  </si>
  <si>
    <t>㈜알펜시아</t>
  </si>
  <si>
    <t>㈜에트리홀딩스</t>
  </si>
  <si>
    <t>㈜워터웨이플러스</t>
  </si>
  <si>
    <t>㈜인천항보안공사</t>
  </si>
  <si>
    <t>㈜중소기업유통센터</t>
  </si>
  <si>
    <t>㈜한국가스기술공사</t>
  </si>
  <si>
    <t>㈜해울</t>
  </si>
  <si>
    <t>서울도시철도엔지니어링㈜</t>
  </si>
  <si>
    <t>주택관리공단㈜</t>
  </si>
  <si>
    <t>코레일유통㈜</t>
  </si>
  <si>
    <t>한국문화진흥㈜</t>
  </si>
  <si>
    <t>한국벤처투자㈜</t>
  </si>
  <si>
    <t>한전KDN㈜</t>
  </si>
  <si>
    <t>한전원자력연료㈜</t>
  </si>
  <si>
    <t>서울관광마케팅㈜</t>
  </si>
  <si>
    <t>㈜서남환경</t>
  </si>
  <si>
    <t>㈜탄천환경</t>
  </si>
  <si>
    <t>한국검정㈜</t>
  </si>
  <si>
    <t>한국증권금융㈜</t>
  </si>
  <si>
    <t>인천유시티㈜</t>
  </si>
  <si>
    <t>그랜드코리아레저㈜</t>
  </si>
  <si>
    <t>㈜한국건설관리공사</t>
  </si>
  <si>
    <t>코레일관광개발㈜</t>
  </si>
  <si>
    <t>코레일네트웍스㈜</t>
  </si>
  <si>
    <t>코레일로지스㈜</t>
  </si>
  <si>
    <t>코레일테크㈜</t>
  </si>
  <si>
    <t>한국전력기술㈜</t>
  </si>
  <si>
    <t>한국체육산업개발㈜</t>
  </si>
  <si>
    <t>한전KPS㈜</t>
  </si>
  <si>
    <t>경영참여형 사모집합투자기구</t>
  </si>
  <si>
    <t>설립</t>
  </si>
  <si>
    <t>설립시(대표펀드매니저)</t>
  </si>
  <si>
    <t>설립시(핵심운용인력)</t>
  </si>
  <si>
    <t>유출</t>
  </si>
  <si>
    <t>퇴사</t>
  </si>
  <si>
    <t>유입</t>
  </si>
  <si>
    <t>청산시 또는 제안서기준일</t>
  </si>
  <si>
    <t>펀드법적유형</t>
    <phoneticPr fontId="1" type="noConversion"/>
  </si>
  <si>
    <t>거래구분</t>
    <phoneticPr fontId="5" type="noConversion"/>
  </si>
  <si>
    <t>거래일자</t>
    <phoneticPr fontId="5" type="noConversion"/>
  </si>
  <si>
    <t>이름</t>
    <phoneticPr fontId="5" type="noConversion"/>
  </si>
  <si>
    <t>PE펀드운용</t>
  </si>
  <si>
    <t>VC펀드운용</t>
  </si>
  <si>
    <t>펀드구분</t>
    <phoneticPr fontId="1" type="noConversion"/>
  </si>
  <si>
    <t>기타공직유관단체</t>
  </si>
  <si>
    <t>공직유관단체</t>
  </si>
  <si>
    <t>3) 청산시 또는 제안서작성기준일 현재 기재대상핵심인력 전원을 기재</t>
  </si>
  <si>
    <t xml:space="preserve">    - 기존 기재대상핵심인력 2인을 동시에 변경하는 경우 : </t>
  </si>
  <si>
    <t xml:space="preserve">    - 기존 기재대상핵심인력의 변경 없이 1인을 추가 선임하는 경우 : "유입"으로 기재</t>
  </si>
  <si>
    <t xml:space="preserve">    - 변경선임없이 기존 기재대상핵심인력 1인이 퇴사하는 경우 : "유출"로 기재</t>
  </si>
  <si>
    <t xml:space="preserve">    - 공석의 기재대상핵심인력 1인을 선임하는 경우 : "유입"으로 기재</t>
  </si>
  <si>
    <t xml:space="preserve">    - 일반기재대상핵심인력을 대표펀드매니저로 변경하는 경우 : "기타"로 기재하며, 기타로 분류한 사유를 비고에 적시</t>
  </si>
  <si>
    <t xml:space="preserve">    - 기재대상핵심인력 1인이 퇴사하고 2인을 추가로 선임하는 경우 : 각각 "유출", "유입" 총 3개 행으로 기재</t>
  </si>
  <si>
    <t>금융투자기관</t>
  </si>
  <si>
    <t>기타 주식등 투자펀드계정</t>
  </si>
  <si>
    <t>기타 주식등 투자펀드 계정</t>
    <phoneticPr fontId="5" type="noConversion"/>
  </si>
  <si>
    <t>PE펀드계정투자</t>
  </si>
  <si>
    <t>PE고유계정투자</t>
  </si>
  <si>
    <t>비투자업무</t>
  </si>
  <si>
    <t>대표이사</t>
  </si>
  <si>
    <t>VC고유계정투자</t>
  </si>
  <si>
    <t>기타 투자</t>
  </si>
  <si>
    <t>참여 예정</t>
  </si>
  <si>
    <t>제안사 펀드</t>
  </si>
  <si>
    <t>대표이사/참여인력</t>
    <phoneticPr fontId="5" type="noConversion"/>
  </si>
  <si>
    <t>성명</t>
    <phoneticPr fontId="5" type="noConversion"/>
  </si>
  <si>
    <t>주민등록번호상 앞6자리</t>
    <phoneticPr fontId="5" type="noConversion"/>
  </si>
  <si>
    <t>재직회사
유형</t>
    <phoneticPr fontId="5" type="noConversion"/>
  </si>
  <si>
    <t>재직회사명</t>
    <phoneticPr fontId="5" type="noConversion"/>
  </si>
  <si>
    <t>공직유관단체
코드</t>
    <phoneticPr fontId="1" type="noConversion"/>
  </si>
  <si>
    <t>시작일</t>
    <phoneticPr fontId="1" type="noConversion"/>
  </si>
  <si>
    <t>종료일</t>
    <phoneticPr fontId="1" type="noConversion"/>
  </si>
  <si>
    <t>기간(년수)</t>
    <phoneticPr fontId="1" type="noConversion"/>
  </si>
  <si>
    <t>재직회사</t>
    <phoneticPr fontId="5" type="noConversion"/>
  </si>
  <si>
    <t>회사 재직기간</t>
    <phoneticPr fontId="1" type="noConversion"/>
  </si>
  <si>
    <t>재직부서 및 담당업무</t>
    <phoneticPr fontId="1" type="noConversion"/>
  </si>
  <si>
    <t>부서 재직기간</t>
    <phoneticPr fontId="1" type="noConversion"/>
  </si>
  <si>
    <t>업무상세내역</t>
    <phoneticPr fontId="1" type="noConversion"/>
  </si>
  <si>
    <t>업무수행기간</t>
    <phoneticPr fontId="1" type="noConversion"/>
  </si>
  <si>
    <t>재직시 소속부서명</t>
    <phoneticPr fontId="5" type="noConversion"/>
  </si>
  <si>
    <t>재직시 직위</t>
    <phoneticPr fontId="5" type="noConversion"/>
  </si>
  <si>
    <t>재직시 담당업무(자세히 기재)</t>
    <phoneticPr fontId="5" type="noConversion"/>
  </si>
  <si>
    <t>투자업무
수행여부</t>
    <phoneticPr fontId="1" type="noConversion"/>
  </si>
  <si>
    <t>제안펀드 신청분야 관련여부</t>
    <phoneticPr fontId="1" type="noConversion"/>
  </si>
  <si>
    <t>제안펀드 신청분야
관련성 상세서술</t>
    <phoneticPr fontId="1" type="noConversion"/>
  </si>
  <si>
    <t>주요업무
수행내역</t>
    <phoneticPr fontId="5" type="noConversion"/>
  </si>
  <si>
    <t>참여인력구분</t>
    <phoneticPr fontId="5" type="noConversion"/>
  </si>
  <si>
    <t>KDB출자
요청액</t>
    <phoneticPr fontId="5" type="noConversion"/>
  </si>
  <si>
    <t>투자유형</t>
    <phoneticPr fontId="1" type="noConversion"/>
  </si>
  <si>
    <t>신청분야</t>
    <phoneticPr fontId="1" type="noConversion"/>
  </si>
  <si>
    <t>납입방식</t>
    <phoneticPr fontId="1" type="noConversion"/>
  </si>
  <si>
    <t>공동투자약정
상대방 유형</t>
    <phoneticPr fontId="1" type="noConversion"/>
  </si>
  <si>
    <t>회수구분</t>
    <phoneticPr fontId="1" type="noConversion"/>
  </si>
  <si>
    <t>회수유형</t>
    <phoneticPr fontId="1" type="noConversion"/>
  </si>
  <si>
    <t>펀드거래유형</t>
    <phoneticPr fontId="1" type="noConversion"/>
  </si>
  <si>
    <t>펀드유형
(투자대상확정여부)</t>
    <phoneticPr fontId="5" type="noConversion"/>
  </si>
  <si>
    <t>투자계정구분</t>
    <phoneticPr fontId="5" type="noConversion"/>
  </si>
  <si>
    <t>출자자유형</t>
    <phoneticPr fontId="5" type="noConversion"/>
  </si>
  <si>
    <t>투자기업
법인유형</t>
    <phoneticPr fontId="1" type="noConversion"/>
  </si>
  <si>
    <t>담당역할</t>
    <phoneticPr fontId="1" type="noConversion"/>
  </si>
  <si>
    <t>출자확정구분</t>
    <phoneticPr fontId="5" type="noConversion"/>
  </si>
  <si>
    <t>주요업무수행내역</t>
    <phoneticPr fontId="1" type="noConversion"/>
  </si>
  <si>
    <t>재직회사
유형</t>
    <phoneticPr fontId="1" type="noConversion"/>
  </si>
  <si>
    <t>업무협력유형</t>
    <phoneticPr fontId="1" type="noConversion"/>
  </si>
  <si>
    <t>제안펀드의
신청분야와
관련성</t>
    <phoneticPr fontId="1" type="noConversion"/>
  </si>
  <si>
    <t>대표이사 구분</t>
    <phoneticPr fontId="1" type="noConversion"/>
  </si>
  <si>
    <t>펀드계정구분</t>
    <phoneticPr fontId="1" type="noConversion"/>
  </si>
  <si>
    <t>여부</t>
    <phoneticPr fontId="1" type="noConversion"/>
  </si>
  <si>
    <t>핵심운용인력
변경구분</t>
    <phoneticPr fontId="1" type="noConversion"/>
  </si>
  <si>
    <t>스튜어드십 코드
참여여부</t>
    <phoneticPr fontId="1" type="noConversion"/>
  </si>
  <si>
    <t>목적 달성을 위해 판단하고 있는 투자기간의 종료(예정)일</t>
  </si>
  <si>
    <t>펀드
사업자번호(고유번호)</t>
    <phoneticPr fontId="5" type="noConversion"/>
  </si>
  <si>
    <t xml:space="preserve">  - 공동제안일 경우 [제안펀드] 및 [출자예상내역] Sheet은 동일 내용으로 작성하여 개별 제출</t>
  </si>
  <si>
    <t xml:space="preserve">   - [자본시장과금융투자업에관한법률]제9조18항7호('15.7.24자 삭제되기 전의 것을 말함)에</t>
  </si>
  <si>
    <t xml:space="preserve">   - [자본시장과금융투자업에관한법률]제9조19항1호에 따른 경영참여형 사모집합투자기구</t>
  </si>
  <si>
    <t xml:space="preserve">   - [중소기업창원지원법]제2조제5호에 따른 중소기업창업투자조합</t>
  </si>
  <si>
    <t xml:space="preserve">   - [벤처기업육성에관한특별조치법]제4조의3에 따른 한국벤처투자조합</t>
  </si>
  <si>
    <t xml:space="preserve">   - [부품·소재전문기업등의육성에관한특별조치법]제6조에 따른 부품·소재전문투자조합</t>
  </si>
  <si>
    <t xml:space="preserve">   - [여신전문금융업법]제41조제3항에 따른 신기술사업투자조합</t>
  </si>
  <si>
    <t xml:space="preserve">   - [농림수산식품투자조합결성및운용에관한법률]제8조1항1호 및 동법률제8조1항6호에 따른 조합</t>
  </si>
  <si>
    <t xml:space="preserve">   - [자본시장과금융투자업에관한법률]제9조18항1호에 따른 사모투자신탁 (채권형 제외)</t>
  </si>
  <si>
    <t xml:space="preserve">   - [자본시장과금융투자업에관한법률]제9조18항2호에 따른 사모투자회사</t>
  </si>
  <si>
    <t xml:space="preserve">   - [해외자원개발사업법]제13조2항에 따른 해외자원개발투자전문회사</t>
  </si>
  <si>
    <t xml:space="preserve">   - [산업발전법] 제15조(법률 제9584호 산업발전법 전부개정 법률로 개정되기 전의 것을 말함)에 따라</t>
  </si>
  <si>
    <t xml:space="preserve">      등록된 기업구조조정조합 및 [산업발전법]제20조에 따른 기업구조개선 경영참여형 사모집합투자기구</t>
  </si>
  <si>
    <t>[(미회수투자자산 가치총액) + (예금 등 투자자산 이외 자산총액) - (미지급 등 부채총액)]</t>
  </si>
  <si>
    <t>※  [2.5 제안사 펀드현황] ·  [4.2 핵심운용인력 변경이력] 작성관련 정의</t>
  </si>
  <si>
    <t xml:space="preserve">     ※ [공직유관단체 코드] Sheet 상의 단체목록 참고하여 공직유관단체명 작성, 코드가 자동입력되는지 확인 필요</t>
  </si>
  <si>
    <t xml:space="preserve">   - 재직회사 : 재직회사 유형 선택, 공직유관단체일 경우 [공직유관단체 코드] Sheet 상의 단체목록 참고하여 작성</t>
  </si>
  <si>
    <t>회수투자자산</t>
    <phoneticPr fontId="5" type="noConversion"/>
  </si>
  <si>
    <t>부실발생기준에 의거한 회계상
감액내역</t>
    <phoneticPr fontId="5" type="noConversion"/>
  </si>
  <si>
    <t>미회수투자자산</t>
    <phoneticPr fontId="5" type="noConversion"/>
  </si>
  <si>
    <t>기타사항</t>
    <phoneticPr fontId="5" type="noConversion"/>
  </si>
  <si>
    <t>펀드
사업자번호(고유번호)</t>
    <phoneticPr fontId="5" type="noConversion"/>
  </si>
  <si>
    <t>투자원금</t>
    <phoneticPr fontId="5" type="noConversion"/>
  </si>
  <si>
    <t>가치산출근거</t>
    <phoneticPr fontId="5" type="noConversion"/>
  </si>
  <si>
    <t>펀드명칭</t>
    <phoneticPr fontId="5" type="noConversion"/>
  </si>
  <si>
    <t>펀드개요</t>
    <phoneticPr fontId="5" type="noConversion"/>
  </si>
  <si>
    <t>펀드규모</t>
    <phoneticPr fontId="5" type="noConversion"/>
  </si>
  <si>
    <t>펀드 존속기간</t>
    <phoneticPr fontId="5" type="noConversion"/>
  </si>
  <si>
    <t>보수</t>
    <phoneticPr fontId="5" type="noConversion"/>
  </si>
  <si>
    <t>펀드수익율</t>
    <phoneticPr fontId="5" type="noConversion"/>
  </si>
  <si>
    <t>투자 및 회수</t>
    <phoneticPr fontId="5" type="noConversion"/>
  </si>
  <si>
    <t>미회수투자자산</t>
    <phoneticPr fontId="5" type="noConversion"/>
  </si>
  <si>
    <t>분배 및 비용</t>
    <phoneticPr fontId="5" type="noConversion"/>
  </si>
  <si>
    <t>예금 등
투자자산
이외 
자산총액</t>
    <phoneticPr fontId="5" type="noConversion"/>
  </si>
  <si>
    <t>미지급등
부채총액</t>
    <phoneticPr fontId="5" type="noConversion"/>
  </si>
  <si>
    <t>펀드
 순자산</t>
    <phoneticPr fontId="5" type="noConversion"/>
  </si>
  <si>
    <t>추가투자
예상금액</t>
    <phoneticPr fontId="5" type="noConversion"/>
  </si>
  <si>
    <t>핵심운용인력1 (최초규약상)</t>
    <phoneticPr fontId="5" type="noConversion"/>
  </si>
  <si>
    <t>핵심운용인력2 (최초규약상)</t>
    <phoneticPr fontId="5" type="noConversion"/>
  </si>
  <si>
    <t>핵심운용인력3 (최초규약상)</t>
    <phoneticPr fontId="5" type="noConversion"/>
  </si>
  <si>
    <t>최초규약상 핵심 운용인력 수</t>
    <phoneticPr fontId="5" type="noConversion"/>
  </si>
  <si>
    <t>핵심운용인력1(청산시 or 작성기준일 상)</t>
    <phoneticPr fontId="5" type="noConversion"/>
  </si>
  <si>
    <t>핵심운용인력2(청산시 or 작성기준일 상)</t>
    <phoneticPr fontId="5" type="noConversion"/>
  </si>
  <si>
    <t>핵심운용인력3(청산시 or 작성기준일 상)</t>
    <phoneticPr fontId="5" type="noConversion"/>
  </si>
  <si>
    <t>핵심인력변경횟수</t>
    <phoneticPr fontId="5" type="noConversion"/>
  </si>
  <si>
    <t>운용사수</t>
    <phoneticPr fontId="5" type="noConversion"/>
  </si>
  <si>
    <t>제안사출자</t>
    <phoneticPr fontId="3" type="noConversion"/>
  </si>
  <si>
    <t>공동운용사1출자</t>
    <phoneticPr fontId="3" type="noConversion"/>
  </si>
  <si>
    <t>공동운용사2출자</t>
    <phoneticPr fontId="3" type="noConversion"/>
  </si>
  <si>
    <t>투자자1 출자</t>
    <phoneticPr fontId="3" type="noConversion"/>
  </si>
  <si>
    <t>투자자2 출자</t>
    <phoneticPr fontId="3" type="noConversion"/>
  </si>
  <si>
    <t>투자자3 출자</t>
    <phoneticPr fontId="3" type="noConversion"/>
  </si>
  <si>
    <t>펀드법적유형</t>
    <phoneticPr fontId="5" type="noConversion"/>
  </si>
  <si>
    <t>주목적투자분야</t>
    <phoneticPr fontId="5" type="noConversion"/>
  </si>
  <si>
    <t>주된
투자유형</t>
    <phoneticPr fontId="5" type="noConversion"/>
  </si>
  <si>
    <t>약정
총액</t>
    <phoneticPr fontId="5" type="noConversion"/>
  </si>
  <si>
    <t>결성(예정)일</t>
    <phoneticPr fontId="5" type="noConversion"/>
  </si>
  <si>
    <t>해산(예정)일</t>
    <phoneticPr fontId="5" type="noConversion"/>
  </si>
  <si>
    <t>기준
수익률</t>
    <phoneticPr fontId="5" type="noConversion"/>
  </si>
  <si>
    <t>관리보수</t>
    <phoneticPr fontId="5" type="noConversion"/>
  </si>
  <si>
    <t>Multiple</t>
    <phoneticPr fontId="5" type="noConversion"/>
  </si>
  <si>
    <t>투자
총액</t>
    <phoneticPr fontId="5" type="noConversion"/>
  </si>
  <si>
    <t>투자
원금
총액</t>
    <phoneticPr fontId="5" type="noConversion"/>
  </si>
  <si>
    <t>출자자앞
분배총액</t>
    <phoneticPr fontId="5" type="noConversion"/>
  </si>
  <si>
    <t>성과보수
운용인력
분배총액</t>
    <phoneticPr fontId="5" type="noConversion"/>
  </si>
  <si>
    <t>비용
지급총액</t>
    <phoneticPr fontId="5" type="noConversion"/>
  </si>
  <si>
    <t>성명</t>
    <phoneticPr fontId="3" type="noConversion"/>
  </si>
  <si>
    <t>시작일</t>
    <phoneticPr fontId="3" type="noConversion"/>
  </si>
  <si>
    <t>재직여부</t>
    <phoneticPr fontId="3" type="noConversion"/>
  </si>
  <si>
    <t>약정액</t>
    <phoneticPr fontId="5" type="noConversion"/>
  </si>
  <si>
    <t>운용사명</t>
    <phoneticPr fontId="3" type="noConversion"/>
  </si>
  <si>
    <t>우선손실
충당액</t>
    <phoneticPr fontId="5" type="noConversion"/>
  </si>
  <si>
    <t>제안사 대표이사</t>
    <phoneticPr fontId="1" type="noConversion"/>
  </si>
  <si>
    <t>대표이사 재직기간</t>
    <phoneticPr fontId="1" type="noConversion"/>
  </si>
  <si>
    <t>비고</t>
    <phoneticPr fontId="1" type="noConversion"/>
  </si>
  <si>
    <t>구분</t>
    <phoneticPr fontId="1" type="noConversion"/>
  </si>
  <si>
    <t>이름</t>
    <phoneticPr fontId="1" type="noConversion"/>
  </si>
  <si>
    <t>시작일</t>
    <phoneticPr fontId="1" type="noConversion"/>
  </si>
  <si>
    <t>종료일</t>
    <phoneticPr fontId="1" type="noConversion"/>
  </si>
  <si>
    <t>기간(년수)</t>
    <phoneticPr fontId="1" type="noConversion"/>
  </si>
  <si>
    <t>주주명</t>
    <phoneticPr fontId="5" type="noConversion"/>
  </si>
  <si>
    <t>보유주식수</t>
    <phoneticPr fontId="1" type="noConversion"/>
  </si>
  <si>
    <t>지분율</t>
    <phoneticPr fontId="5" type="noConversion"/>
  </si>
  <si>
    <t>최대주주와의 관계</t>
    <phoneticPr fontId="5" type="noConversion"/>
  </si>
  <si>
    <t>핵심운용인력 여부</t>
    <phoneticPr fontId="1" type="noConversion"/>
  </si>
  <si>
    <t>비고</t>
    <phoneticPr fontId="5" type="noConversion"/>
  </si>
  <si>
    <t>제안사명</t>
    <phoneticPr fontId="5" type="noConversion"/>
  </si>
  <si>
    <t>법인
등록번호</t>
    <phoneticPr fontId="1" type="noConversion"/>
  </si>
  <si>
    <t>사업자
등록번호</t>
    <phoneticPr fontId="1" type="noConversion"/>
  </si>
  <si>
    <t>제안사유형</t>
    <phoneticPr fontId="5" type="noConversion"/>
  </si>
  <si>
    <t>총발행주식수</t>
    <phoneticPr fontId="1" type="noConversion"/>
  </si>
  <si>
    <t>스튜어드십 코드 참여여부</t>
    <phoneticPr fontId="1" type="noConversion"/>
  </si>
  <si>
    <t>펀드운용
업무
시작일</t>
    <phoneticPr fontId="5" type="noConversion"/>
  </si>
  <si>
    <t>운용펀드
최초결성일
(VC)</t>
    <phoneticPr fontId="5" type="noConversion"/>
  </si>
  <si>
    <t>운용펀드
최초결성일
(VC외)</t>
    <phoneticPr fontId="5" type="noConversion"/>
  </si>
  <si>
    <t>전체
인원수</t>
    <phoneticPr fontId="5" type="noConversion"/>
  </si>
  <si>
    <t>펀드운용
담당
인력수</t>
    <phoneticPr fontId="5" type="noConversion"/>
  </si>
  <si>
    <t>자본계정
투자
담당인력수</t>
    <phoneticPr fontId="5" type="noConversion"/>
  </si>
  <si>
    <t>내부통제
기준 보유
유무</t>
    <phoneticPr fontId="1" type="noConversion"/>
  </si>
  <si>
    <t>운용인력앞성과보수
지급규정
보유 유무</t>
    <phoneticPr fontId="1" type="noConversion"/>
  </si>
  <si>
    <t>성명</t>
    <phoneticPr fontId="5" type="noConversion"/>
  </si>
  <si>
    <t>직위</t>
    <phoneticPr fontId="5" type="noConversion"/>
  </si>
  <si>
    <t>팩스</t>
    <phoneticPr fontId="5" type="noConversion"/>
  </si>
  <si>
    <t>Email</t>
    <phoneticPr fontId="5" type="noConversion"/>
  </si>
  <si>
    <t>약정총액</t>
    <phoneticPr fontId="5" type="noConversion"/>
  </si>
  <si>
    <t>투자총액</t>
    <phoneticPr fontId="5" type="noConversion"/>
  </si>
  <si>
    <t>성과보수
지급총액</t>
    <phoneticPr fontId="5" type="noConversion"/>
  </si>
  <si>
    <t>펀드
수익율
(Multiple)</t>
    <phoneticPr fontId="5" type="noConversion"/>
  </si>
  <si>
    <t>납입총액</t>
    <phoneticPr fontId="5" type="noConversion"/>
  </si>
  <si>
    <t>회수총액</t>
    <phoneticPr fontId="5" type="noConversion"/>
  </si>
  <si>
    <t>투자건수
(회수료)</t>
    <phoneticPr fontId="5" type="noConversion"/>
  </si>
  <si>
    <t>미회수
투자자산
가치총액</t>
    <phoneticPr fontId="5" type="noConversion"/>
  </si>
  <si>
    <t>투자금액
가중평균
수익율
(회수료)</t>
    <phoneticPr fontId="5" type="noConversion"/>
  </si>
  <si>
    <t>대표이사/참여인력</t>
    <phoneticPr fontId="5" type="noConversion"/>
  </si>
  <si>
    <t>현재 재직회사</t>
    <phoneticPr fontId="5" type="noConversion"/>
  </si>
  <si>
    <t>인력구분</t>
    <phoneticPr fontId="5" type="noConversion"/>
  </si>
  <si>
    <t>주요평가
대상3인</t>
    <phoneticPr fontId="1" type="noConversion"/>
  </si>
  <si>
    <t>제재</t>
    <phoneticPr fontId="5" type="noConversion"/>
  </si>
  <si>
    <t>투자관련
경력
(년수)</t>
    <phoneticPr fontId="5" type="noConversion"/>
  </si>
  <si>
    <t>산업경력
(년수)</t>
    <phoneticPr fontId="1" type="noConversion"/>
  </si>
  <si>
    <t>투자 및 회수실적</t>
    <phoneticPr fontId="5" type="noConversion"/>
  </si>
  <si>
    <t>현재 관리중인 투자</t>
    <phoneticPr fontId="3" type="noConversion"/>
  </si>
  <si>
    <t>성명</t>
    <phoneticPr fontId="5" type="noConversion"/>
  </si>
  <si>
    <t>주민등록번호상 앞6자리</t>
    <phoneticPr fontId="5" type="noConversion"/>
  </si>
  <si>
    <t>국적</t>
    <phoneticPr fontId="5" type="noConversion"/>
  </si>
  <si>
    <t>회사명</t>
    <phoneticPr fontId="5" type="noConversion"/>
  </si>
  <si>
    <t>부서</t>
    <phoneticPr fontId="5" type="noConversion"/>
  </si>
  <si>
    <t>직위</t>
    <phoneticPr fontId="5" type="noConversion"/>
  </si>
  <si>
    <t>제안사
지분보유
여부</t>
    <phoneticPr fontId="1" type="noConversion"/>
  </si>
  <si>
    <t>제안사
등기임원
등재여부</t>
    <phoneticPr fontId="1" type="noConversion"/>
  </si>
  <si>
    <t>주요담당업무</t>
    <phoneticPr fontId="5" type="noConversion"/>
  </si>
  <si>
    <t>전화번호</t>
    <phoneticPr fontId="5" type="noConversion"/>
  </si>
  <si>
    <t>휴대전화번호</t>
    <phoneticPr fontId="5" type="noConversion"/>
  </si>
  <si>
    <t>이메일</t>
    <phoneticPr fontId="5" type="noConversion"/>
  </si>
  <si>
    <t>제재경력여부</t>
    <phoneticPr fontId="5" type="noConversion"/>
  </si>
  <si>
    <t>제재내역</t>
    <phoneticPr fontId="5" type="noConversion"/>
  </si>
  <si>
    <t>투자
건수</t>
    <phoneticPr fontId="5" type="noConversion"/>
  </si>
  <si>
    <t>투자건수
(회수료)</t>
    <phoneticPr fontId="5" type="noConversion"/>
  </si>
  <si>
    <t>투자총액</t>
    <phoneticPr fontId="5" type="noConversion"/>
  </si>
  <si>
    <t>회수총액</t>
    <phoneticPr fontId="5" type="noConversion"/>
  </si>
  <si>
    <t>미회수
투자자산
투자원금
총액</t>
    <phoneticPr fontId="5" type="noConversion"/>
  </si>
  <si>
    <t>미회수
투자자산
가치총액</t>
    <phoneticPr fontId="5" type="noConversion"/>
  </si>
  <si>
    <t>투자금액
가중평균
수익율</t>
    <phoneticPr fontId="5" type="noConversion"/>
  </si>
  <si>
    <t>투자금액
가중평균수익율
(회수료)</t>
    <phoneticPr fontId="5" type="noConversion"/>
  </si>
  <si>
    <t>미회수
투자건수</t>
    <phoneticPr fontId="3" type="noConversion"/>
  </si>
  <si>
    <t>미회수투자자산
투자원금총액</t>
    <phoneticPr fontId="3" type="noConversion"/>
  </si>
  <si>
    <t>미회수투자자산가치총액</t>
    <phoneticPr fontId="3" type="noConversion"/>
  </si>
  <si>
    <t>펀드명</t>
    <phoneticPr fontId="5" type="noConversion"/>
  </si>
  <si>
    <t>회사경력</t>
    <phoneticPr fontId="1" type="noConversion"/>
  </si>
  <si>
    <t>부서경력</t>
    <phoneticPr fontId="1" type="noConversion"/>
  </si>
  <si>
    <t>투자 내역</t>
    <phoneticPr fontId="1" type="noConversion"/>
  </si>
  <si>
    <t>투자건 담당 기간</t>
    <phoneticPr fontId="5" type="noConversion"/>
  </si>
  <si>
    <t>담당 역할(중복선택 가능)</t>
    <phoneticPr fontId="1" type="noConversion"/>
  </si>
  <si>
    <t>투자펀드 내역(펀드계정일 경우 작성)</t>
    <phoneticPr fontId="1" type="noConversion"/>
  </si>
  <si>
    <t>검증인</t>
    <phoneticPr fontId="5" type="noConversion"/>
  </si>
  <si>
    <t>재직회사명</t>
    <phoneticPr fontId="5" type="noConversion"/>
  </si>
  <si>
    <t>기간</t>
    <phoneticPr fontId="1" type="noConversion"/>
  </si>
  <si>
    <t>부서명</t>
    <phoneticPr fontId="1" type="noConversion"/>
  </si>
  <si>
    <t>피투자기업명</t>
    <phoneticPr fontId="5" type="noConversion"/>
  </si>
  <si>
    <t>피투자기업
법인유형</t>
    <phoneticPr fontId="5" type="noConversion"/>
  </si>
  <si>
    <t>피투자기업
주요산업분야</t>
    <phoneticPr fontId="5" type="noConversion"/>
  </si>
  <si>
    <t>투자자금 용도 및 사업내용</t>
    <phoneticPr fontId="1" type="noConversion"/>
  </si>
  <si>
    <t>투자일</t>
    <phoneticPr fontId="5" type="noConversion"/>
  </si>
  <si>
    <t>투자형태</t>
    <phoneticPr fontId="5" type="noConversion"/>
  </si>
  <si>
    <t>투자금액</t>
    <phoneticPr fontId="5" type="noConversion"/>
  </si>
  <si>
    <t>투자시점
취득
지분율</t>
    <phoneticPr fontId="1" type="noConversion"/>
  </si>
  <si>
    <t>회수여부</t>
    <phoneticPr fontId="5" type="noConversion"/>
  </si>
  <si>
    <t>투자
수익율
(IRR)</t>
    <phoneticPr fontId="5" type="noConversion"/>
  </si>
  <si>
    <t>최종회수일</t>
    <phoneticPr fontId="5" type="noConversion"/>
  </si>
  <si>
    <t>투자원금</t>
    <phoneticPr fontId="5" type="noConversion"/>
  </si>
  <si>
    <t>회수방법</t>
    <phoneticPr fontId="5" type="noConversion"/>
  </si>
  <si>
    <t>투자
기간</t>
    <phoneticPr fontId="5" type="noConversion"/>
  </si>
  <si>
    <t>감액
여부</t>
    <phoneticPr fontId="5" type="noConversion"/>
  </si>
  <si>
    <t>감액
금액</t>
    <phoneticPr fontId="5" type="noConversion"/>
  </si>
  <si>
    <t>시장성유무</t>
    <phoneticPr fontId="5" type="noConversion"/>
  </si>
  <si>
    <t>가치</t>
    <phoneticPr fontId="5" type="noConversion"/>
  </si>
  <si>
    <t>가치산출근거</t>
    <phoneticPr fontId="5" type="noConversion"/>
  </si>
  <si>
    <t>시작일</t>
    <phoneticPr fontId="5" type="noConversion"/>
  </si>
  <si>
    <t>종료일</t>
    <phoneticPr fontId="5" type="noConversion"/>
  </si>
  <si>
    <t>의사
결정</t>
    <phoneticPr fontId="1" type="noConversion"/>
  </si>
  <si>
    <t>발굴</t>
    <phoneticPr fontId="1" type="noConversion"/>
  </si>
  <si>
    <t>투자
검토 및
실행</t>
    <phoneticPr fontId="5" type="noConversion"/>
  </si>
  <si>
    <t>사후
관리</t>
    <phoneticPr fontId="5" type="noConversion"/>
  </si>
  <si>
    <t>회수</t>
    <phoneticPr fontId="5" type="noConversion"/>
  </si>
  <si>
    <t>담당 역할 상세서술</t>
    <phoneticPr fontId="1" type="noConversion"/>
  </si>
  <si>
    <t>펀드명</t>
    <phoneticPr fontId="5" type="noConversion"/>
  </si>
  <si>
    <t>펀드법적유형</t>
    <phoneticPr fontId="5" type="noConversion"/>
  </si>
  <si>
    <t>해당펀드 주목적투자분야와 
제안펀드의 신청분야 일치여부</t>
    <phoneticPr fontId="1" type="noConversion"/>
  </si>
  <si>
    <t>인력구분</t>
    <phoneticPr fontId="1" type="noConversion"/>
  </si>
  <si>
    <t>참여공직유관단체명</t>
    <phoneticPr fontId="1" type="noConversion"/>
  </si>
  <si>
    <t>공직유관단체
코드</t>
    <phoneticPr fontId="1" type="noConversion"/>
  </si>
  <si>
    <t>펀드
담당업무
시작일</t>
    <phoneticPr fontId="1" type="noConversion"/>
  </si>
  <si>
    <t>펀드
담당업무
종료일</t>
    <phoneticPr fontId="1" type="noConversion"/>
  </si>
  <si>
    <t>기간
(년수)</t>
    <phoneticPr fontId="1" type="noConversion"/>
  </si>
  <si>
    <t>소속</t>
    <phoneticPr fontId="5" type="noConversion"/>
  </si>
  <si>
    <t>연락처</t>
    <phoneticPr fontId="5" type="noConversion"/>
  </si>
  <si>
    <t>거래금액</t>
    <phoneticPr fontId="5" type="noConversion"/>
  </si>
  <si>
    <t>기재대상핵심인력 변경구분</t>
    <phoneticPr fontId="5" type="noConversion"/>
  </si>
  <si>
    <t>변경일자</t>
    <phoneticPr fontId="5" type="noConversion"/>
  </si>
  <si>
    <t>업무협력 개요</t>
    <phoneticPr fontId="5" type="noConversion"/>
  </si>
  <si>
    <t>투자 및 거래</t>
    <phoneticPr fontId="5" type="noConversion"/>
  </si>
  <si>
    <t>업무협력 기간</t>
    <phoneticPr fontId="5" type="noConversion"/>
  </si>
  <si>
    <t>증빙서류
제출여부</t>
    <phoneticPr fontId="5" type="noConversion"/>
  </si>
  <si>
    <t>업무협력
사업명</t>
    <phoneticPr fontId="5" type="noConversion"/>
  </si>
  <si>
    <t>산업은행
담당부서</t>
    <phoneticPr fontId="5" type="noConversion"/>
  </si>
  <si>
    <t>산업은행
담당자</t>
    <phoneticPr fontId="5" type="noConversion"/>
  </si>
  <si>
    <t>업무협력
항목</t>
    <phoneticPr fontId="5" type="noConversion"/>
  </si>
  <si>
    <t>업무협력 내용 상세기술</t>
    <phoneticPr fontId="5" type="noConversion"/>
  </si>
  <si>
    <t>투자 및 거래기업명</t>
    <phoneticPr fontId="5" type="noConversion"/>
  </si>
  <si>
    <t>투자 및 거래금액</t>
    <phoneticPr fontId="5" type="noConversion"/>
  </si>
  <si>
    <t>기간(년수)</t>
    <phoneticPr fontId="5" type="noConversion"/>
  </si>
  <si>
    <t>투자발굴 대상 개요</t>
    <phoneticPr fontId="5" type="noConversion"/>
  </si>
  <si>
    <t>증빙서류
제출여부</t>
    <phoneticPr fontId="5" type="noConversion"/>
  </si>
  <si>
    <t>검토기업
법인유형</t>
    <phoneticPr fontId="1" type="noConversion"/>
  </si>
  <si>
    <t>제안펀드
신청분야
관련성</t>
    <phoneticPr fontId="1" type="noConversion"/>
  </si>
  <si>
    <t>예상
투자형태</t>
    <phoneticPr fontId="5" type="noConversion"/>
  </si>
  <si>
    <t>투자</t>
    <phoneticPr fontId="5" type="noConversion"/>
  </si>
  <si>
    <t>검토기업명</t>
    <phoneticPr fontId="5" type="noConversion"/>
  </si>
  <si>
    <t>검토기업
주요산업분야</t>
    <phoneticPr fontId="1" type="noConversion"/>
  </si>
  <si>
    <t>MOU
체결유무</t>
    <phoneticPr fontId="1" type="noConversion"/>
  </si>
  <si>
    <t>예상
투자금액</t>
    <phoneticPr fontId="5" type="noConversion"/>
  </si>
  <si>
    <t>제안서
작성
기준일</t>
    <phoneticPr fontId="5" type="noConversion"/>
  </si>
  <si>
    <t>제안펀드</t>
    <phoneticPr fontId="5" type="noConversion"/>
  </si>
  <si>
    <t>보수</t>
    <phoneticPr fontId="3" type="noConversion"/>
  </si>
  <si>
    <t>제안펀드 담당자</t>
    <phoneticPr fontId="5" type="noConversion"/>
  </si>
  <si>
    <t>공동투자약정 내역 1</t>
    <phoneticPr fontId="5" type="noConversion"/>
  </si>
  <si>
    <t>공동투자약정 내역 2</t>
    <phoneticPr fontId="5" type="noConversion"/>
  </si>
  <si>
    <t>공동투자약정 내역 3</t>
    <phoneticPr fontId="5" type="noConversion"/>
  </si>
  <si>
    <t>공동투자약정 내역 4</t>
    <phoneticPr fontId="5" type="noConversion"/>
  </si>
  <si>
    <t>투자기구</t>
    <phoneticPr fontId="5" type="noConversion"/>
  </si>
  <si>
    <t>상세 기재
(운용사제안
주목적투자분야 선택시)</t>
    <phoneticPr fontId="1" type="noConversion"/>
  </si>
  <si>
    <t>펀드규모</t>
    <phoneticPr fontId="3" type="noConversion"/>
  </si>
  <si>
    <t>KDB출자
요청액</t>
    <phoneticPr fontId="3" type="noConversion"/>
  </si>
  <si>
    <t>존속기간</t>
    <phoneticPr fontId="5" type="noConversion"/>
  </si>
  <si>
    <t>투자기간</t>
    <phoneticPr fontId="5" type="noConversion"/>
  </si>
  <si>
    <t>납입방식</t>
    <phoneticPr fontId="5" type="noConversion"/>
  </si>
  <si>
    <t>목표
수익율
(IRR)</t>
    <phoneticPr fontId="5" type="noConversion"/>
  </si>
  <si>
    <t>기준
수익률</t>
    <phoneticPr fontId="5" type="noConversion"/>
  </si>
  <si>
    <t>회사명</t>
    <phoneticPr fontId="3" type="noConversion"/>
  </si>
  <si>
    <t>법인등록번호</t>
    <phoneticPr fontId="5" type="noConversion"/>
  </si>
  <si>
    <t>출자약정예상액</t>
    <phoneticPr fontId="5" type="noConversion"/>
  </si>
  <si>
    <t>우선
손실
충당
비율</t>
    <phoneticPr fontId="5" type="noConversion"/>
  </si>
  <si>
    <t>참여
핵심
운용
인력수</t>
    <phoneticPr fontId="3" type="noConversion"/>
  </si>
  <si>
    <t>참여
일반
운용
인력수</t>
    <phoneticPr fontId="3" type="noConversion"/>
  </si>
  <si>
    <t>성명</t>
    <phoneticPr fontId="3" type="noConversion"/>
  </si>
  <si>
    <t>소속</t>
    <phoneticPr fontId="3" type="noConversion"/>
  </si>
  <si>
    <t>연락처</t>
    <phoneticPr fontId="3" type="noConversion"/>
  </si>
  <si>
    <t>약정
체결일자</t>
    <phoneticPr fontId="3" type="noConversion"/>
  </si>
  <si>
    <t>약정체결
상대투자자</t>
    <phoneticPr fontId="3" type="noConversion"/>
  </si>
  <si>
    <t>상대투자자
유형</t>
    <phoneticPr fontId="3" type="noConversion"/>
  </si>
  <si>
    <t>공동투자
약정금액</t>
    <phoneticPr fontId="3" type="noConversion"/>
  </si>
  <si>
    <t>증빙서류
제출여부</t>
    <phoneticPr fontId="1" type="noConversion"/>
  </si>
  <si>
    <t>출자확정구분</t>
    <phoneticPr fontId="5" type="noConversion"/>
  </si>
  <si>
    <t>출자약정예상액</t>
    <phoneticPr fontId="5" type="noConversion"/>
  </si>
  <si>
    <t>우선손실충당비율</t>
    <phoneticPr fontId="5" type="noConversion"/>
  </si>
  <si>
    <t>우선손실충당예상액</t>
    <phoneticPr fontId="5" type="noConversion"/>
  </si>
  <si>
    <t>중소기업창업투자회사</t>
  </si>
  <si>
    <t>펀드구분</t>
    <phoneticPr fontId="1" type="noConversion"/>
  </si>
  <si>
    <t>PE펀드</t>
    <phoneticPr fontId="5" type="noConversion"/>
  </si>
  <si>
    <t>VC펀드</t>
  </si>
  <si>
    <t>VC펀드</t>
    <phoneticPr fontId="5" type="noConversion"/>
  </si>
  <si>
    <t>기타 주식등 투자펀드</t>
    <phoneticPr fontId="1" type="noConversion"/>
  </si>
  <si>
    <t>운용 중 또는 청산 중 펀드에 대해 다음 식으로 계산된 금액</t>
    <phoneticPr fontId="5" type="noConversion"/>
  </si>
  <si>
    <t>분할납</t>
  </si>
  <si>
    <t>전략적투자자(SI)</t>
  </si>
  <si>
    <t>재무적투자자(FI)</t>
  </si>
  <si>
    <t>주관기관(KDB)</t>
  </si>
  <si>
    <t>중기특화금융투자회사</t>
  </si>
  <si>
    <t>금융회사계열 PEF 운용사</t>
  </si>
  <si>
    <t>유한회사형 운용사</t>
  </si>
  <si>
    <t>제안사내 (타)펀드</t>
  </si>
  <si>
    <t>제안사 자본계정</t>
  </si>
  <si>
    <t>타운용사 자본계정</t>
  </si>
  <si>
    <t>공동(각자)대표이사</t>
  </si>
  <si>
    <t>사업부문 대표</t>
  </si>
  <si>
    <t>참여</t>
  </si>
  <si>
    <t>미참여</t>
  </si>
  <si>
    <t>프로젝트투자
(문화·컨텐츠 분야 한정)</t>
  </si>
  <si>
    <t>일반회사채</t>
  </si>
  <si>
    <t>자펀드출자</t>
  </si>
  <si>
    <t>대출채권</t>
  </si>
  <si>
    <t>펀드청산시자본계정투자</t>
  </si>
  <si>
    <t>코스피</t>
  </si>
  <si>
    <t>환매</t>
  </si>
  <si>
    <t>운용사자본계정매각</t>
  </si>
  <si>
    <t>상환</t>
  </si>
  <si>
    <t>VC펀드계정투자</t>
  </si>
  <si>
    <t>외국법인국내지점</t>
  </si>
  <si>
    <t>기타(부동산 및 부실채권 자산의 합계액이 자산총액 50% 이상인 법인 등)</t>
  </si>
  <si>
    <t>M&amp;A자문</t>
  </si>
  <si>
    <t>투자컨설팅</t>
  </si>
  <si>
    <t>부동산 및 부실채권</t>
  </si>
  <si>
    <t>LP업무</t>
  </si>
  <si>
    <t>기타투자업무</t>
  </si>
  <si>
    <t>기타기관</t>
  </si>
  <si>
    <t>공동투자</t>
  </si>
  <si>
    <t>당행거래처에 대한 후속투자 실행</t>
  </si>
  <si>
    <t>당행 앞 후속투자 소개 및 중개</t>
  </si>
  <si>
    <t>당행 앞 여신거래 지원</t>
  </si>
  <si>
    <t>인수금융</t>
  </si>
  <si>
    <t>Co GP</t>
  </si>
  <si>
    <t>수탁업무 위탁</t>
  </si>
  <si>
    <t>√ 공직유관단체 검색하여 아래의 단체명을 기입하고, 코드가 자동입력되는지 확인 필수</t>
    <phoneticPr fontId="1" type="noConversion"/>
  </si>
  <si>
    <t>구분</t>
    <phoneticPr fontId="5" type="noConversion"/>
  </si>
  <si>
    <t>세컨더리</t>
  </si>
  <si>
    <t>세컨더리</t>
    <phoneticPr fontId="1" type="noConversion"/>
  </si>
  <si>
    <t>구분</t>
    <phoneticPr fontId="5" type="noConversion"/>
  </si>
  <si>
    <t>제안사</t>
    <phoneticPr fontId="3" type="noConversion"/>
  </si>
  <si>
    <t>신청분야</t>
    <phoneticPr fontId="5" type="noConversion"/>
  </si>
  <si>
    <t>신기술사업투자조합</t>
  </si>
  <si>
    <t>부품소재전문투자조합</t>
  </si>
  <si>
    <t>농식품투자조합</t>
  </si>
  <si>
    <t>사모투자회사</t>
  </si>
  <si>
    <t>사모투자신탁</t>
  </si>
  <si>
    <t>기업구조개선 경영참여형
사모집합투자기구</t>
  </si>
  <si>
    <t>해외자원개발투자전문회사</t>
  </si>
  <si>
    <t>창업·벤처전문 경영참여형 사모집합투자기구</t>
  </si>
  <si>
    <t>기타 주식 등 투자펀드</t>
  </si>
  <si>
    <t>YES</t>
    <phoneticPr fontId="1" type="noConversion"/>
  </si>
  <si>
    <t>NO</t>
    <phoneticPr fontId="1" type="noConversion"/>
  </si>
  <si>
    <t>Ⅰ.작성시 주의사항</t>
    <phoneticPr fontId="3" type="noConversion"/>
  </si>
  <si>
    <t>[공통사항]</t>
    <phoneticPr fontId="3" type="noConversion"/>
  </si>
  <si>
    <t>1. 별첨(1.1~5.2) 자료 작성전에 본 사항을 반드시 숙지할 것 (별첨번호는 Sheet별 머리글에서 확인 가능)</t>
    <phoneticPr fontId="5" type="noConversion"/>
  </si>
  <si>
    <t xml:space="preserve">   사업자등록번호는 000-00-00000, 법인등록번호는 000000-0000000 형식으로 입력 </t>
    <phoneticPr fontId="3" type="noConversion"/>
  </si>
  <si>
    <t>3. drop down 목록이 있는 셀은 목록에 포함되어 있는 값을 입력하거나 목록에서 선택 ("열제목별 목록값" 참고)</t>
    <phoneticPr fontId="3" type="noConversion"/>
  </si>
  <si>
    <t>4. 'Alt+Enter'나 연이은 공백은 입력하지 말 것</t>
    <phoneticPr fontId="3" type="noConversion"/>
  </si>
  <si>
    <r>
      <t xml:space="preserve">5. </t>
    </r>
    <r>
      <rPr>
        <b/>
        <sz val="10"/>
        <rFont val="맑은 고딕"/>
        <family val="3"/>
        <charset val="129"/>
        <scheme val="major"/>
      </rPr>
      <t>연록색으로 음영처리된 셀은 자동 반영되므로 별도의 입력은 하지 말 것</t>
    </r>
    <phoneticPr fontId="3" type="noConversion"/>
  </si>
  <si>
    <t xml:space="preserve">   - KDB의 사전 허락 없이 수식을 편집한 경우는 허위사실 기재로 간주될 수 있음</t>
    <phoneticPr fontId="5" type="noConversion"/>
  </si>
  <si>
    <r>
      <t xml:space="preserve">7. </t>
    </r>
    <r>
      <rPr>
        <b/>
        <sz val="10"/>
        <rFont val="맑은 고딕"/>
        <family val="3"/>
        <charset val="129"/>
        <scheme val="major"/>
      </rPr>
      <t>목록행(1행~10행)은 절대 삭제 및 수정 금지. 또한, Sheet 삭제 및 명칭 변경 금지</t>
    </r>
    <phoneticPr fontId="3" type="noConversion"/>
  </si>
  <si>
    <r>
      <t xml:space="preserve">8. 단위 : </t>
    </r>
    <r>
      <rPr>
        <b/>
        <sz val="10"/>
        <rFont val="맑은 고딕"/>
        <family val="3"/>
        <charset val="129"/>
        <scheme val="major"/>
      </rPr>
      <t>백만원([4.1. 펀드거래] Sheet 는 단위를 "원"으로 함)</t>
    </r>
    <r>
      <rPr>
        <sz val="10"/>
        <rFont val="맑은 고딕"/>
        <family val="3"/>
        <charset val="129"/>
        <scheme val="major"/>
      </rPr>
      <t>, %, 건</t>
    </r>
    <phoneticPr fontId="3" type="noConversion"/>
  </si>
  <si>
    <r>
      <t xml:space="preserve">9. '열삽입'은 불가능, </t>
    </r>
    <r>
      <rPr>
        <b/>
        <sz val="10"/>
        <rFont val="맑은 고딕"/>
        <family val="3"/>
        <charset val="129"/>
        <scheme val="major"/>
      </rPr>
      <t>'행삽입'</t>
    </r>
    <r>
      <rPr>
        <sz val="10"/>
        <rFont val="맑은 고딕"/>
        <family val="3"/>
        <charset val="129"/>
        <scheme val="major"/>
      </rPr>
      <t>은 가능</t>
    </r>
    <phoneticPr fontId="3" type="noConversion"/>
  </si>
  <si>
    <r>
      <t xml:space="preserve"> </t>
    </r>
    <r>
      <rPr>
        <sz val="10"/>
        <rFont val="맑은 고딕"/>
        <family val="3"/>
        <charset val="129"/>
      </rPr>
      <t>★행삽입시 주의사항 : 지정된 범위 내에서만 행삽입하기</t>
    </r>
    <phoneticPr fontId="5" type="noConversion"/>
  </si>
  <si>
    <t xml:space="preserve">   예시) [4.1.펀드 거래] Sheet 에서 행삽입시 75행 위로만 삽입할것</t>
    <phoneticPr fontId="5" type="noConversion"/>
  </si>
  <si>
    <t xml:space="preserve">       (2행~75행까지 '펀드_거래'라는 이름으로 범위지정되어 있어 이 범위를 벗어나 행삽입시 타시트에서 오류발생)</t>
    <phoneticPr fontId="5" type="noConversion"/>
  </si>
  <si>
    <t>10. 입력값이 없는 부분은 행은 '행 숨기기'  또는 '삭제' 기능을 사용하여 인쇄영역을 조정</t>
    <phoneticPr fontId="3" type="noConversion"/>
  </si>
  <si>
    <r>
      <t xml:space="preserve">11. 제시 자료는 현장실사시 펀드통장사본, 펀드재무제표, 미회수자산가치평가 내역 등을 통해 </t>
    </r>
    <r>
      <rPr>
        <b/>
        <sz val="10"/>
        <rFont val="맑은 고딕"/>
        <family val="3"/>
        <charset val="129"/>
        <scheme val="major"/>
      </rPr>
      <t>증빙가능하여야</t>
    </r>
    <r>
      <rPr>
        <sz val="10"/>
        <rFont val="맑은 고딕"/>
        <family val="3"/>
        <charset val="129"/>
        <scheme val="major"/>
      </rPr>
      <t xml:space="preserve"> 함</t>
    </r>
    <phoneticPr fontId="3" type="noConversion"/>
  </si>
  <si>
    <t>12. 단독제안인 경우 1개 엑셀 파일을 제출하고, 공동제안인 경우 제안사별로 엑셀 파일 제출</t>
    <phoneticPr fontId="3" type="noConversion"/>
  </si>
  <si>
    <t>13. 해당사항이 없을 경우 공란인 상태로 제출</t>
    <phoneticPr fontId="3" type="noConversion"/>
  </si>
  <si>
    <t>14. 외화거래의 경우, 환율은 거래일 당시 최초고시 매매기준율을 적용하여 원화 환산</t>
    <phoneticPr fontId="3" type="noConversion"/>
  </si>
  <si>
    <t>[잦은 기재 오류 내용]</t>
    <phoneticPr fontId="5" type="noConversion"/>
  </si>
  <si>
    <r>
      <t>1. '</t>
    </r>
    <r>
      <rPr>
        <b/>
        <sz val="10"/>
        <rFont val="맑은 고딕"/>
        <family val="3"/>
        <charset val="129"/>
        <scheme val="major"/>
      </rPr>
      <t xml:space="preserve">제안서작성기준일'을 임의로 기입한 </t>
    </r>
    <r>
      <rPr>
        <sz val="10"/>
        <rFont val="맑은 고딕"/>
        <family val="3"/>
        <charset val="129"/>
        <scheme val="major"/>
      </rPr>
      <t>경우 ('Ⅱ. 용어의 정의 등' 참조)</t>
    </r>
    <phoneticPr fontId="5" type="noConversion"/>
  </si>
  <si>
    <r>
      <t xml:space="preserve">2. </t>
    </r>
    <r>
      <rPr>
        <b/>
        <sz val="10"/>
        <rFont val="맑은 고딕"/>
        <family val="3"/>
        <charset val="129"/>
        <scheme val="major"/>
      </rPr>
      <t>대표펀드매니저를 미지정</t>
    </r>
    <r>
      <rPr>
        <sz val="10"/>
        <rFont val="맑은 고딕"/>
        <family val="3"/>
        <charset val="129"/>
        <scheme val="major"/>
      </rPr>
      <t>한 경우</t>
    </r>
    <phoneticPr fontId="5" type="noConversion"/>
  </si>
  <si>
    <r>
      <t xml:space="preserve">3. 제안서작성기준일 현재 </t>
    </r>
    <r>
      <rPr>
        <b/>
        <sz val="10"/>
        <rFont val="맑은 고딕"/>
        <family val="3"/>
        <charset val="129"/>
        <scheme val="major"/>
      </rPr>
      <t>재직하고 있지 않은 인력을 참여인력으로 기재</t>
    </r>
    <r>
      <rPr>
        <sz val="10"/>
        <rFont val="맑은 고딕"/>
        <family val="3"/>
        <charset val="129"/>
        <scheme val="major"/>
      </rPr>
      <t>한 경우</t>
    </r>
    <phoneticPr fontId="5" type="noConversion"/>
  </si>
  <si>
    <r>
      <t>4. 운용중/청산중 펀드에 대해 '</t>
    </r>
    <r>
      <rPr>
        <b/>
        <sz val="10"/>
        <rFont val="맑은 고딕"/>
        <family val="3"/>
        <charset val="129"/>
        <scheme val="major"/>
      </rPr>
      <t>가상분배'를 입력하지 않아 수익률이 미산출</t>
    </r>
    <r>
      <rPr>
        <sz val="10"/>
        <rFont val="맑은 고딕"/>
        <family val="3"/>
        <charset val="129"/>
        <scheme val="major"/>
      </rPr>
      <t>된 경우</t>
    </r>
    <phoneticPr fontId="3" type="noConversion"/>
  </si>
  <si>
    <r>
      <t>5. "3.2 참여인력 투자현황"에 동일투자건에 다수의 인력을 기재한 경우(</t>
    </r>
    <r>
      <rPr>
        <b/>
        <sz val="10"/>
        <rFont val="맑은 고딕"/>
        <family val="3"/>
        <charset val="129"/>
        <scheme val="major"/>
      </rPr>
      <t>기여도 높은 1인만 기재필요</t>
    </r>
    <r>
      <rPr>
        <sz val="10"/>
        <rFont val="맑은 고딕"/>
        <family val="3"/>
        <charset val="129"/>
        <scheme val="major"/>
      </rPr>
      <t>)</t>
    </r>
    <phoneticPr fontId="3" type="noConversion"/>
  </si>
  <si>
    <r>
      <t xml:space="preserve">6. "3.2 참여인력 투자현황"에 </t>
    </r>
    <r>
      <rPr>
        <b/>
        <sz val="10"/>
        <rFont val="맑은 고딕"/>
        <family val="3"/>
        <charset val="129"/>
        <scheme val="major"/>
      </rPr>
      <t>작성대상에 해당하지 않는 투자건을 입력한 경우 (작성대상 확인필수)</t>
    </r>
    <phoneticPr fontId="3" type="noConversion"/>
  </si>
  <si>
    <r>
      <t xml:space="preserve">7. "3.4 참여인력 경력" 상 담당기간이 </t>
    </r>
    <r>
      <rPr>
        <b/>
        <sz val="10"/>
        <rFont val="맑은 고딕"/>
        <family val="3"/>
        <charset val="129"/>
        <scheme val="major"/>
      </rPr>
      <t>경력관련 증빙서류와 불일치</t>
    </r>
    <r>
      <rPr>
        <sz val="10"/>
        <rFont val="맑은 고딕"/>
        <family val="3"/>
        <charset val="129"/>
        <scheme val="major"/>
      </rPr>
      <t xml:space="preserve"> 하는경우</t>
    </r>
    <phoneticPr fontId="3" type="noConversion"/>
  </si>
  <si>
    <r>
      <t xml:space="preserve">8. '행삽입'을 통해 데이터 입력시 </t>
    </r>
    <r>
      <rPr>
        <b/>
        <sz val="10"/>
        <rFont val="맑은 고딕"/>
        <family val="3"/>
        <charset val="129"/>
        <scheme val="major"/>
      </rPr>
      <t>연록색 음영처리된 셀에 데이터가 자동입력되지 않는 경우</t>
    </r>
    <phoneticPr fontId="3" type="noConversion"/>
  </si>
  <si>
    <t>Ⅱ. 용어의 정의 등</t>
    <phoneticPr fontId="3" type="noConversion"/>
  </si>
  <si>
    <t>본건 출자사업 공고일 (2017. 09. 15)</t>
    <phoneticPr fontId="5" type="noConversion"/>
  </si>
  <si>
    <t>제안사 법인등기부등본 상의 설립일</t>
    <phoneticPr fontId="5" type="noConversion"/>
  </si>
  <si>
    <t>펀드운용업무시작일</t>
    <phoneticPr fontId="5" type="noConversion"/>
  </si>
  <si>
    <t>제안사가 펀드법적유형 중 하나에 해당하는 자격을 가지고 있는 경우 해당 자격 취득일</t>
    <phoneticPr fontId="5" type="noConversion"/>
  </si>
  <si>
    <t>자격이 필요 없는 경우는 조직개편일 등</t>
    <phoneticPr fontId="5" type="noConversion"/>
  </si>
  <si>
    <t>운용펀드
최초결성일</t>
    <phoneticPr fontId="5" type="noConversion"/>
  </si>
  <si>
    <r>
      <t xml:space="preserve">펀드 규약(또는 정관) 상에 제안사가 운용사로 기재된 </t>
    </r>
    <r>
      <rPr>
        <b/>
        <sz val="10"/>
        <rFont val="맑은 고딕"/>
        <family val="3"/>
        <charset val="129"/>
        <scheme val="minor"/>
      </rPr>
      <t>펀드 중 아래의 VC펀드 기준을 충족하는 펀드로서,</t>
    </r>
    <phoneticPr fontId="5" type="noConversion"/>
  </si>
  <si>
    <t>결성일이 가장 빠른 펀드의 펀드결성일</t>
    <phoneticPr fontId="5" type="noConversion"/>
  </si>
  <si>
    <t>※ M&amp;A이전 운용 펀드와 회사분할 후 운용한 펀드는 고려하되</t>
    <phoneticPr fontId="3" type="noConversion"/>
  </si>
  <si>
    <t xml:space="preserve">   회사분할 이전에 청산한 펀드는 제외</t>
    <phoneticPr fontId="3" type="noConversion"/>
  </si>
  <si>
    <t>펀드</t>
    <phoneticPr fontId="5" type="noConversion"/>
  </si>
  <si>
    <r>
      <t xml:space="preserve">ⅰ) 투자자를 사모로 모집한 경우로서 </t>
    </r>
    <r>
      <rPr>
        <b/>
        <sz val="10"/>
        <rFont val="맑은 고딕"/>
        <family val="3"/>
        <charset val="129"/>
        <scheme val="minor"/>
      </rPr>
      <t>(즉, 사모펀드)</t>
    </r>
    <phoneticPr fontId="5" type="noConversion"/>
  </si>
  <si>
    <t>ⅱ) 법적유형이 다음 중 하나에 해당하는 경우에 한하며</t>
    <phoneticPr fontId="5" type="noConversion"/>
  </si>
  <si>
    <t xml:space="preserve"> ① PE펀드</t>
    <phoneticPr fontId="1" type="noConversion"/>
  </si>
  <si>
    <t xml:space="preserve">     따른 사모투자전문회사</t>
    <phoneticPr fontId="3" type="noConversion"/>
  </si>
  <si>
    <r>
      <t xml:space="preserve">      (창업</t>
    </r>
    <r>
      <rPr>
        <sz val="10"/>
        <rFont val="맑은 고딕"/>
        <family val="3"/>
        <charset val="129"/>
      </rPr>
      <t>·벤처전문 경영참여형 사모집합투자기구는 제외)</t>
    </r>
    <phoneticPr fontId="3" type="noConversion"/>
  </si>
  <si>
    <t xml:space="preserve"> ② VC펀드</t>
    <phoneticPr fontId="1" type="noConversion"/>
  </si>
  <si>
    <t xml:space="preserve">     (이하 농식품투자조합)</t>
    <phoneticPr fontId="3" type="noConversion"/>
  </si>
  <si>
    <t xml:space="preserve">   - 창업·벤처전문 경영참여형 사모집합투자기구</t>
    <phoneticPr fontId="3" type="noConversion"/>
  </si>
  <si>
    <t xml:space="preserve"> ③ 기타 주식등 투자 펀드 : 주식 및 주식연계채권에 주로 투자하는 펀드로서, </t>
    <phoneticPr fontId="1" type="noConversion"/>
  </si>
  <si>
    <t xml:space="preserve">      등</t>
    <phoneticPr fontId="3" type="noConversion"/>
  </si>
  <si>
    <t>ⅲ) 단, 투자구조와 관계없이 최종 투자대상이 부동산, 무수익대출(NPL), Commodity(현물 및 파생상품)등인</t>
    <phoneticPr fontId="3" type="noConversion"/>
  </si>
  <si>
    <r>
      <t xml:space="preserve">    펀드, 트레이딩 등 단기투자 펀드, </t>
    </r>
    <r>
      <rPr>
        <b/>
        <sz val="10"/>
        <rFont val="맑은 고딕"/>
        <family val="3"/>
        <charset val="129"/>
        <scheme val="minor"/>
      </rPr>
      <t>펀드 결성부터 해산까지의 기간이 1년 이내인 펀드</t>
    </r>
    <r>
      <rPr>
        <sz val="10"/>
        <rFont val="맑은 고딕"/>
        <family val="3"/>
        <charset val="129"/>
        <scheme val="minor"/>
      </rPr>
      <t xml:space="preserve">는 </t>
    </r>
    <r>
      <rPr>
        <b/>
        <sz val="10"/>
        <rFont val="맑은 고딕"/>
        <family val="3"/>
        <charset val="129"/>
        <scheme val="minor"/>
      </rPr>
      <t>제외</t>
    </r>
    <r>
      <rPr>
        <sz val="10"/>
        <rFont val="맑은 고딕"/>
        <family val="3"/>
        <charset val="129"/>
        <scheme val="minor"/>
      </rPr>
      <t>함</t>
    </r>
    <phoneticPr fontId="3" type="noConversion"/>
  </si>
  <si>
    <t>의사결정, 투자대상 발굴, 투자검토 및 투자실행, 사후관리, 회수 업무</t>
    <phoneticPr fontId="5" type="noConversion"/>
  </si>
  <si>
    <t>관련 법령에 따라 감독기관에 등록한 날 또는 그 예정일.</t>
    <phoneticPr fontId="5" type="noConversion"/>
  </si>
  <si>
    <t>등록이 필요없는 경우 결성총회일, 창립총회일 또는 계약체결일</t>
    <phoneticPr fontId="5" type="noConversion"/>
  </si>
  <si>
    <t>투자기간종료(예정)일</t>
    <phoneticPr fontId="5" type="noConversion"/>
  </si>
  <si>
    <t>펀드 투자규약(또는 정관) 상에 기재된 투자기간 종료(예정)일.</t>
    <phoneticPr fontId="5" type="noConversion"/>
  </si>
  <si>
    <r>
      <t xml:space="preserve">프로젝트 펀드 등 펀드 투자규약(또는 정관) 상에 투자기간이 정해지지 않은 경우에는 </t>
    </r>
    <r>
      <rPr>
        <b/>
        <sz val="10"/>
        <rFont val="맑은 고딕"/>
        <family val="3"/>
        <charset val="129"/>
        <scheme val="minor"/>
      </rPr>
      <t>제안사가 펀드운용</t>
    </r>
    <phoneticPr fontId="3" type="noConversion"/>
  </si>
  <si>
    <t>출자자총회에서 의결된 해산일. 또는 투자규약(또는 정관) 상의 해산 예정일</t>
    <phoneticPr fontId="5" type="noConversion"/>
  </si>
  <si>
    <t>펀드
유형</t>
    <phoneticPr fontId="5" type="noConversion"/>
  </si>
  <si>
    <t>펀드
상태</t>
    <phoneticPr fontId="5" type="noConversion"/>
  </si>
  <si>
    <t>제3자로부터 Contest 방식에 의해 펀드운용사로 선정되어 출자자를 모집하고 있는 경우</t>
    <phoneticPr fontId="3" type="noConversion"/>
  </si>
  <si>
    <t>투자
기업
법인
유형</t>
    <phoneticPr fontId="5" type="noConversion"/>
  </si>
  <si>
    <t>국내설립법인</t>
    <phoneticPr fontId="5" type="noConversion"/>
  </si>
  <si>
    <t>본점 소재지가 국내인 법인 및 국내에 법인 등기한 외국법인의 국내 지사</t>
    <phoneticPr fontId="5" type="noConversion"/>
  </si>
  <si>
    <t>해외출자법인</t>
    <phoneticPr fontId="5" type="noConversion"/>
  </si>
  <si>
    <t>국내설립법인의 사업과 관련하여 동 국내설립법인이 출자한 외국법인</t>
    <phoneticPr fontId="5" type="noConversion"/>
  </si>
  <si>
    <t>※ 펀드 또는 운용인력이 국내설립법인과 공동 투자하여 해외출자법인이 된 경우 포함</t>
    <phoneticPr fontId="3" type="noConversion"/>
  </si>
  <si>
    <t>외국법인
국내지점</t>
    <phoneticPr fontId="5" type="noConversion"/>
  </si>
  <si>
    <t>외국환거래규정에 따라 국내에 지점 신고와 영업소를 등기를 완료한 외국법인의 국내 영업소</t>
    <phoneticPr fontId="5" type="noConversion"/>
  </si>
  <si>
    <t>외국법인</t>
    <phoneticPr fontId="3" type="noConversion"/>
  </si>
  <si>
    <t>본점 소재지가 국외인 법인으로서 해외출자법인 및 외국법인 국내지점을 제외한 법인</t>
    <phoneticPr fontId="3" type="noConversion"/>
  </si>
  <si>
    <t>기타</t>
    <phoneticPr fontId="3" type="noConversion"/>
  </si>
  <si>
    <t>법인이 아닌 경우</t>
    <phoneticPr fontId="3" type="noConversion"/>
  </si>
  <si>
    <t>펀드추가투자
예상금액</t>
    <phoneticPr fontId="5" type="noConversion"/>
  </si>
  <si>
    <t xml:space="preserve">ⅰ) 제안서 작성 기준일이 펀드의 투자기간종료(예정)일 이전인 경우로서 </t>
    <phoneticPr fontId="5" type="noConversion"/>
  </si>
  <si>
    <t xml:space="preserve">ⅱ) 펀드 투자규약(또는 정관)상의 투자의무비율 준수 또는 펀드운용목적 달성을 위해 </t>
    <phoneticPr fontId="5" type="noConversion"/>
  </si>
  <si>
    <t>ⅲ) 해당 펀드를 통해 추가로 투자할 계획인 금액</t>
    <phoneticPr fontId="5" type="noConversion"/>
  </si>
  <si>
    <t xml:space="preserve">참여
인력
</t>
    <phoneticPr fontId="5" type="noConversion"/>
  </si>
  <si>
    <t>대표펀드
매니저</t>
    <phoneticPr fontId="5" type="noConversion"/>
  </si>
  <si>
    <t>ⅰ) 핵심운용인력중 규약(또는 정관) 상에 타펀드에 대한 겸임을 금지하는 겸임금지조항 및 교체금지조항이</t>
    <phoneticPr fontId="5" type="noConversion"/>
  </si>
  <si>
    <t xml:space="preserve">    적용될 인력으로</t>
    <phoneticPr fontId="1" type="noConversion"/>
  </si>
  <si>
    <t>ⅱ) 해당 펀드를 대표하는 인력(1인 이상)</t>
    <phoneticPr fontId="3" type="noConversion"/>
  </si>
  <si>
    <t>ⅰ) 제안서작성기준일 현재 제안사에 재직중이면서</t>
    <phoneticPr fontId="5" type="noConversion"/>
  </si>
  <si>
    <t>ⅱ) 금번 제안펀드를 책임지고 전담하여 운용할 인력으로서</t>
    <phoneticPr fontId="5" type="noConversion"/>
  </si>
  <si>
    <t>ⅲ) 제안펀드의 규약(또는 정관)에 기재될 예정인 인력</t>
    <phoneticPr fontId="5" type="noConversion"/>
  </si>
  <si>
    <t>※ KDB가 공고 등을 통해 핵심운용인력 전체에 대해 겸임금지 조항 적용을 요구할 경우 그에 따름</t>
    <phoneticPr fontId="3" type="noConversion"/>
  </si>
  <si>
    <r>
      <rPr>
        <sz val="10"/>
        <rFont val="맑은 고딕"/>
        <family val="3"/>
        <charset val="129"/>
      </rPr>
      <t>ⅳ</t>
    </r>
    <r>
      <rPr>
        <sz val="10"/>
        <rFont val="맑은 고딕"/>
        <family val="3"/>
        <charset val="129"/>
        <scheme val="minor"/>
      </rPr>
      <t xml:space="preserve">) 제안사는 선정 심사시 </t>
    </r>
    <r>
      <rPr>
        <b/>
        <sz val="10"/>
        <rFont val="맑은 고딕"/>
        <family val="3"/>
        <charset val="129"/>
        <scheme val="minor"/>
      </rPr>
      <t>主 평가대상이 되는 핵심운용인력 3인</t>
    </r>
    <r>
      <rPr>
        <sz val="10"/>
        <rFont val="맑은 고딕"/>
        <family val="3"/>
        <charset val="129"/>
        <scheme val="minor"/>
      </rPr>
      <t xml:space="preserve">(대표펀드매니저 1인, 핵심운용인력 2인)을
</t>
    </r>
    <phoneticPr fontId="5" type="noConversion"/>
  </si>
  <si>
    <t xml:space="preserve">    선택하여야 함</t>
    <phoneticPr fontId="1" type="noConversion"/>
  </si>
  <si>
    <t>ⅱ) 핵심운용인력과 관리인력이 아닌 자로서</t>
    <phoneticPr fontId="3" type="noConversion"/>
  </si>
  <si>
    <t>ⅲ) KDB 앞 제안하는 펀드에서 투자대상기업 발굴, 투자검토, 투자실행, 사후관리, 회수 등</t>
    <phoneticPr fontId="5" type="noConversion"/>
  </si>
  <si>
    <t xml:space="preserve">    펀드운용 실무를 담당할 인력</t>
    <phoneticPr fontId="1" type="noConversion"/>
  </si>
  <si>
    <t>관리인력</t>
    <phoneticPr fontId="5" type="noConversion"/>
  </si>
  <si>
    <t>ⅱ) 제안펀드의 운용에는 참여하지 않으나 제안펀드를 관리(회계관리, 리스크관리 등)하는 인력</t>
    <phoneticPr fontId="3" type="noConversion"/>
  </si>
  <si>
    <t>※ 참여인력별 경력요건 및 인력수는 KDB가 공고등을 통해 별도로 지정한 경우 그에 따르며, 참여인력은</t>
    <phoneticPr fontId="5" type="noConversion"/>
  </si>
  <si>
    <t xml:space="preserve">   제안서작성기준일 현재 제안사에 재직중인 것이 원칙이나 접수일 현재 재직자에 한해서도 인정</t>
    <phoneticPr fontId="1" type="noConversion"/>
  </si>
  <si>
    <t>펀드
거래
유형</t>
    <phoneticPr fontId="5" type="noConversion"/>
  </si>
  <si>
    <t>펀드 운용중 또는 청산시 출자자에게 현금으로 분배한 경우 그 금액</t>
    <phoneticPr fontId="3" type="noConversion"/>
  </si>
  <si>
    <t xml:space="preserve"> (원천징수 후 금액을 분배한 경우 원천징수 후 금액)</t>
    <phoneticPr fontId="1" type="noConversion"/>
  </si>
  <si>
    <t>운용중 또는 청산중인 펀드의 수익률 산출을 위한 가상의 거래로 펀드 순자산을 출자자 앞 분배하는 것으로</t>
    <phoneticPr fontId="5" type="noConversion"/>
  </si>
  <si>
    <t>가정한 금액</t>
    <phoneticPr fontId="1" type="noConversion"/>
  </si>
  <si>
    <t>기재대상핵심인력</t>
    <phoneticPr fontId="5" type="noConversion"/>
  </si>
  <si>
    <t>규약(또는 정관) 등에 기재되어 있는 인력</t>
    <phoneticPr fontId="5" type="noConversion"/>
  </si>
  <si>
    <r>
      <t xml:space="preserve">※ 펀드 규약(또는 정관) 상 대표펀드매니저, 핵심운용인력, 운용전문인력 등 </t>
    </r>
    <r>
      <rPr>
        <u/>
        <sz val="10"/>
        <rFont val="맑은 고딕"/>
        <family val="3"/>
        <charset val="129"/>
        <scheme val="minor"/>
      </rPr>
      <t>용어를 불문하고,</t>
    </r>
    <phoneticPr fontId="5" type="noConversion"/>
  </si>
  <si>
    <t xml:space="preserve">   본 작성요령에서 정의하는 "핵심운용인력"에 준하는 인력</t>
    <phoneticPr fontId="5" type="noConversion"/>
  </si>
  <si>
    <t>Ⅲ. Sheet별 작성요령</t>
    <phoneticPr fontId="3" type="noConversion"/>
  </si>
  <si>
    <t>[1.1 제안펀드]</t>
    <phoneticPr fontId="3" type="noConversion"/>
  </si>
  <si>
    <t>1. 구분 : VC펀드</t>
    <phoneticPr fontId="5" type="noConversion"/>
  </si>
  <si>
    <t>2. 신청분야 : 세컨더리</t>
    <phoneticPr fontId="5" type="noConversion"/>
  </si>
  <si>
    <t>3. KDB출자요청금액 : 30,000백만원</t>
    <phoneticPr fontId="5" type="noConversion"/>
  </si>
  <si>
    <t>4. 공동투자약정 내용 : 타투자자[결성(예정)펀드, SI, FI 등]와의 공동투자약정 등을 통해 제안펀드와 공동으로 투자하기로</t>
    <phoneticPr fontId="1" type="noConversion"/>
  </si>
  <si>
    <t xml:space="preserve">   한 경우로서, 공동투자약정금액이 확정되고 증빙가능한 경우에 한하여 기재</t>
    <phoneticPr fontId="1" type="noConversion"/>
  </si>
  <si>
    <t xml:space="preserve">  ※ 4건 이상의 공동투자약정이 있을 경우, 이후 열에 추가적으로 작성 가능</t>
    <phoneticPr fontId="1" type="noConversion"/>
  </si>
  <si>
    <r>
      <t xml:space="preserve">  ※ 증빙서류 제출 여부 "Y" 선택시, [한글 제출양식. </t>
    </r>
    <r>
      <rPr>
        <sz val="10"/>
        <rFont val="맑은 고딕"/>
        <family val="3"/>
        <charset val="129"/>
      </rPr>
      <t>Ⅶ. 공동투자약정]에 관련 증빙 꼭 첨부할 것</t>
    </r>
    <phoneticPr fontId="3" type="noConversion"/>
  </si>
  <si>
    <t>[2.1 제안사 개요]</t>
    <phoneticPr fontId="3" type="noConversion"/>
  </si>
  <si>
    <t>1. 항목별 작성요령</t>
    <phoneticPr fontId="3" type="noConversion"/>
  </si>
  <si>
    <t xml:space="preserve">  1) '스튜어드십 코드 참여 여부'를 "참여", "참여예정", "미참여" 중 선택</t>
    <phoneticPr fontId="3" type="noConversion"/>
  </si>
  <si>
    <t xml:space="preserve">  ※ "참여"를 선택한 경우, 기업지배구조원 및 제안사 홈페이지 상의 증빙가능한 화면 캡처본(한글양식 서식9) 제출 필수</t>
    <phoneticPr fontId="3" type="noConversion"/>
  </si>
  <si>
    <t xml:space="preserve">  ※ "참여예정"을 선택한 경우, 접수일 기준 2주 이내에 기업지배구조원 및 제안사 홈페이지 상의 증빙가능한 화면 캡처본을</t>
    <phoneticPr fontId="3" type="noConversion"/>
  </si>
  <si>
    <t xml:space="preserve">     제출한 경우에만 인정</t>
    <phoneticPr fontId="3" type="noConversion"/>
  </si>
  <si>
    <t xml:space="preserve">  2) 운용펀드최초결성일 : [Ⅱ.용어의 정의 등]의 운용펀드 최초결성일 참조('07.1.1 이전 결성인 경우도 기입)</t>
    <phoneticPr fontId="3" type="noConversion"/>
  </si>
  <si>
    <t xml:space="preserve">  3) '펀드운용업무시작일' 및 '운용펀드최초결성일'에 대한 근거서류를 기초로 작성</t>
    <phoneticPr fontId="3" type="noConversion"/>
  </si>
  <si>
    <t xml:space="preserve">  4) 펀드운용 담당인력수, 자본계정투자 담당인력수</t>
    <phoneticPr fontId="3" type="noConversion"/>
  </si>
  <si>
    <t xml:space="preserve">    - '제안서작성기준일' 현재 제안사에 소속되어 있는 인력을 기준으로 작성</t>
    <phoneticPr fontId="3" type="noConversion"/>
  </si>
  <si>
    <t xml:space="preserve">    - 특정인력이 펀드운용과 자본계정 투자를 동시에 담당하는 경우 주된 업무를 기준으로 작성</t>
    <phoneticPr fontId="3" type="noConversion"/>
  </si>
  <si>
    <t xml:space="preserve">  5) "제안사 내규 현황"은 실제 제안사의 내규 및 규정에 의거하여 작성</t>
    <phoneticPr fontId="3" type="noConversion"/>
  </si>
  <si>
    <t>[2.2 제안사 재무현황]</t>
    <phoneticPr fontId="3" type="noConversion"/>
  </si>
  <si>
    <t xml:space="preserve">  1) 최근 연도순으로 작성</t>
    <phoneticPr fontId="3" type="noConversion"/>
  </si>
  <si>
    <t xml:space="preserve">  2) 최근 3개 회계연도의 감사보고서 상의 금액을 기재</t>
    <phoneticPr fontId="3" type="noConversion"/>
  </si>
  <si>
    <t xml:space="preserve">  3) 공고일이 제안사의 결산일 이후인 경우 대표이사의 확인을 받은 가결산보고서 상의 금액을 기재</t>
    <phoneticPr fontId="3" type="noConversion"/>
  </si>
  <si>
    <t>[2.3 제안사 주주현황]</t>
    <phoneticPr fontId="3" type="noConversion"/>
  </si>
  <si>
    <t>1. 지분율이 높은순으로 작성</t>
    <phoneticPr fontId="3" type="noConversion"/>
  </si>
  <si>
    <t>2. 금번 제안펀드의 핵심운용인력이 지분 보유시, "핵심운용인력 여부" 란에 해당내용 선택</t>
    <phoneticPr fontId="3" type="noConversion"/>
  </si>
  <si>
    <t xml:space="preserve">3. 제안사의 대표이사 및 핵심운용인력이 타법인을 경유하여 출자한 경우, 비고란에 타법인명과 지분율 기재 </t>
    <phoneticPr fontId="3" type="noConversion"/>
  </si>
  <si>
    <t>[2.4 제안사 대표이사 변경이력]</t>
    <phoneticPr fontId="3" type="noConversion"/>
  </si>
  <si>
    <t>1. 제안사 설립일부터 제안서 작성기준일까지의 대표이사 변경이력 모두 기재 단, 설립일부터 대표이사 변경이력 작성 불가한</t>
    <phoneticPr fontId="3" type="noConversion"/>
  </si>
  <si>
    <t xml:space="preserve">   경우, 현 대표이사 포함 최근 5명에 대한 변경이력 작성</t>
    <phoneticPr fontId="3" type="noConversion"/>
  </si>
  <si>
    <t>2. 대표이사 변경이력 작성이 불가한 경우, 현 사업부문 대표의 변경이력으로 변경 가능</t>
    <phoneticPr fontId="3" type="noConversion"/>
  </si>
  <si>
    <t>3. 2인 이상의 대표이사(또는 사업부문 대표)가 재직한 경우에도 모든 인원의 내용을 작성하고 특이사항은 비고란에 작성</t>
    <phoneticPr fontId="3" type="noConversion"/>
  </si>
  <si>
    <t>[2.5 제안사 펀드현황]</t>
    <phoneticPr fontId="3" type="noConversion"/>
  </si>
  <si>
    <t>1. 작성대상</t>
    <phoneticPr fontId="3" type="noConversion"/>
  </si>
  <si>
    <t>1) 펀드 규약(또는 정관) 상에 제안사가 운용사로 기재된 펀드로서</t>
    <phoneticPr fontId="5" type="noConversion"/>
  </si>
  <si>
    <t>2) 펀드 결성일이 2007년 1월 1일 이후인 펀드</t>
    <phoneticPr fontId="3" type="noConversion"/>
  </si>
  <si>
    <t xml:space="preserve">  ※ M&amp;A가 있었던 경우 M&amp;A 이전에 청산한 펀드는 포함</t>
    <phoneticPr fontId="3" type="noConversion"/>
  </si>
  <si>
    <t xml:space="preserve">  ※ 회사분할이 있었던 경우 분할 이전에 청산한 펀드는 제외</t>
    <phoneticPr fontId="3" type="noConversion"/>
  </si>
  <si>
    <t>3) '펀드 구분'은 [Ⅱ. 용어의 정의 등]에서 [펀드] 기준에 따라 "PE펀드", "VC펀드", "기타 주식등 투자펀드"로 구분하여 선택</t>
    <phoneticPr fontId="3" type="noConversion"/>
  </si>
  <si>
    <t>2. 작성순서 : 등록/신고(예정)일이 빠른 순서</t>
    <phoneticPr fontId="3" type="noConversion"/>
  </si>
  <si>
    <t>3. 항목별 작성요령</t>
    <phoneticPr fontId="3" type="noConversion"/>
  </si>
  <si>
    <t xml:space="preserve">  1) 펀드사업자등록번호(또는 고유번호) : 미결성 등으로 인해 사업자등록번호(또는 고유번호)가 없는 경우 제외</t>
    <phoneticPr fontId="3" type="noConversion"/>
  </si>
  <si>
    <t xml:space="preserve">  2) 펀드상태 : 제안서작성기준일을 기준으로 펀드상태를 판단</t>
    <phoneticPr fontId="3" type="noConversion"/>
  </si>
  <si>
    <t xml:space="preserve">  3) 주목적투자분야 : 펀드 투자규약(또는 정관) 상의 주목적투자분야 및 펀드의 주요 투자분야 작성</t>
    <phoneticPr fontId="3" type="noConversion"/>
  </si>
  <si>
    <t xml:space="preserve">  4) 산업은행 위탁펀드 여부 : KDB가 LP로서 출자한 펀드의 경우 "YES" 선택</t>
    <phoneticPr fontId="1" type="noConversion"/>
  </si>
  <si>
    <t xml:space="preserve">  5) 보수(관리보수, 성과보수) : 펀드 투자규약(또는 정관) 상의 보수기준 또는 제안사의 목표 보수기준</t>
    <phoneticPr fontId="3" type="noConversion"/>
  </si>
  <si>
    <t xml:space="preserve">  6) 펀드수익율, 분배 및 비용의 음영부분 : [4.1 펀드 거래] Sheet 작성 후 자동반영</t>
    <phoneticPr fontId="3" type="noConversion"/>
  </si>
  <si>
    <t xml:space="preserve">    ※ 펀드수익율 : 성과보수 배분전 수익율 기준임</t>
    <phoneticPr fontId="3" type="noConversion"/>
  </si>
  <si>
    <t xml:space="preserve">  7) 투자 및 회수, 미회수자산 : [2.6 제안사 투자현황] Sheet 작성 후 자동반영</t>
    <phoneticPr fontId="3" type="noConversion"/>
  </si>
  <si>
    <t xml:space="preserve">    ※ 회수총액 : 투자에 대한 회수금액 총액으로 예금 등 금융상품에 대한 원리금 등 회수금액을 포함하지 않음</t>
    <phoneticPr fontId="3" type="noConversion"/>
  </si>
  <si>
    <t xml:space="preserve">  8) 관리보수지급총액, 성과보수운용인력 지급총액 기타비용지급총액, 기타자산총액, 기타부채총액 : 제안서작성기준일 기준</t>
    <phoneticPr fontId="3" type="noConversion"/>
  </si>
  <si>
    <r>
      <t xml:space="preserve">  9) 기재대상핵심인력 : 해당 펀드의 </t>
    </r>
    <r>
      <rPr>
        <b/>
        <sz val="10"/>
        <rFont val="맑은 고딕"/>
        <family val="3"/>
        <charset val="129"/>
        <scheme val="major"/>
      </rPr>
      <t>기재대상핵심인력</t>
    </r>
    <r>
      <rPr>
        <sz val="10"/>
        <rFont val="맑은 고딕"/>
        <family val="3"/>
        <charset val="129"/>
        <scheme val="major"/>
      </rPr>
      <t>( "Ⅱ.용어의 정의 등"의 정의에 따름)을 모두 기재</t>
    </r>
    <phoneticPr fontId="3" type="noConversion"/>
  </si>
  <si>
    <t xml:space="preserve">    - 핵심운용인력(최초규약 상) : 최초규약상 기재된 핵심운용인력 최대 3인 작성</t>
    <phoneticPr fontId="5" type="noConversion"/>
  </si>
  <si>
    <t xml:space="preserve">    - 핵심운용인력(청산시 or 제안서작성기준일 상) : 청산펀드의 경우, 청산 당시의 핵심운용인력을 최대 3인 작성</t>
    <phoneticPr fontId="5" type="noConversion"/>
  </si>
  <si>
    <t xml:space="preserve">      존속중인 펀드의 경우, 제안서 작성기준일 현재의 핵심운용인력으로 최대 3인 작성</t>
    <phoneticPr fontId="5" type="noConversion"/>
  </si>
  <si>
    <t xml:space="preserve">    - [4.2. 펀드 인력변경이력] Sheet 상 내역과 일치하여야 함</t>
    <phoneticPr fontId="5" type="noConversion"/>
  </si>
  <si>
    <t xml:space="preserve">  10) 운용인력변경횟수 : [4.2 핵심운용인력 변경이력] Sheet 작성 후 자동반영</t>
    <phoneticPr fontId="3" type="noConversion"/>
  </si>
  <si>
    <t xml:space="preserve">    ※ 최초규약상 핵심운용인력이 존재하지 않는경우 "최초규약상 핵심 운용 인력 수" 항목은 0을 기재</t>
    <phoneticPr fontId="3" type="noConversion"/>
  </si>
  <si>
    <t xml:space="preserve">  11) 운용사수 : 제안사 단독운용인 경우에는 1로 기재</t>
    <phoneticPr fontId="3" type="noConversion"/>
  </si>
  <si>
    <t xml:space="preserve">  12) 운용사가 3개사 이상인 경우 : 제안사 우선 기재 후, 출자약정액 순으로 큰 운용사 2곳을 기재</t>
    <phoneticPr fontId="3" type="noConversion"/>
  </si>
  <si>
    <t xml:space="preserve">  13) 우선손실충당 : 투자규약(또는 정관) 상의 우선손실충당조건을 기재 (해당사항이 없을 경우 생략 가능)</t>
    <phoneticPr fontId="3" type="noConversion"/>
  </si>
  <si>
    <t xml:space="preserve">    - 투자규약(또는 정관)의 변경이 있었던 경우 최종 투자규약(또는 정관)의 내용을 기재</t>
    <phoneticPr fontId="3" type="noConversion"/>
  </si>
  <si>
    <t xml:space="preserve">  14) 투자자 : 출자약정액 순으로 3개 투자자를 기재. 그외 투자자는 기타에 출자약정액 기재 (운용사 제외)</t>
    <phoneticPr fontId="3" type="noConversion"/>
  </si>
  <si>
    <t>[2.6 제안사 투자현황]</t>
    <phoneticPr fontId="3" type="noConversion"/>
  </si>
  <si>
    <t xml:space="preserve">1. 작성대상 </t>
    <phoneticPr fontId="3" type="noConversion"/>
  </si>
  <si>
    <t>1) 펀드계정 : [2.3. 제안사 펀드현황] Sheet 상 작성된 펀드의 펀드계정을 통해 실행된 모든 투자</t>
    <phoneticPr fontId="3" type="noConversion"/>
  </si>
  <si>
    <t xml:space="preserve">      ※ 작성시 성공, 실패 사례 모두 포함</t>
    <phoneticPr fontId="3" type="noConversion"/>
  </si>
  <si>
    <t>2) 자본계정은 작성대상 외</t>
    <phoneticPr fontId="3" type="noConversion"/>
  </si>
  <si>
    <t>3) 동일 기업에 대한 중복 투자의 경우 투자일자 및 투자 유형에 따라 건별 분리 기재</t>
    <phoneticPr fontId="1" type="noConversion"/>
  </si>
  <si>
    <t>2. 작성순서</t>
    <phoneticPr fontId="3" type="noConversion"/>
  </si>
  <si>
    <t xml:space="preserve">  1) [2.5 제안사 펀드현황] Sheet 상 기재된 펀드 순서대로 작성하되, 각 펀드별 투자실행일이 빠른 순서로 투자내역 작성</t>
    <phoneticPr fontId="3" type="noConversion"/>
  </si>
  <si>
    <t>3. 항목별 작성요령</t>
    <phoneticPr fontId="3" type="noConversion"/>
  </si>
  <si>
    <t xml:space="preserve">  1) 펀드구분 : [Ⅱ. 용어의 정의 등]에서 '펀드' 기준에 따라 "PE펀드", "VC펀드", "기타 주식등 투자펀드"로 구분하여 선택</t>
    <phoneticPr fontId="3" type="noConversion"/>
  </si>
  <si>
    <t xml:space="preserve">  2) 투자계정이 다르거나 투자펀드가 다른 경우 및 동일 펀드의 투자일이 다른 경우 각각의 투자건으로 기재 </t>
    <phoneticPr fontId="3" type="noConversion"/>
  </si>
  <si>
    <t xml:space="preserve">  3) 펀드명과 펀드사업자등록번호를 정확히 기재하여야 연관된 수식이 정상적으로 작동</t>
    <phoneticPr fontId="3" type="noConversion"/>
  </si>
  <si>
    <t xml:space="preserve">  4) 투자목적의 특수목적회사(SPC 등)를 통해 투자한 경우 실제 투자대상기업을 기재</t>
    <phoneticPr fontId="3" type="noConversion"/>
  </si>
  <si>
    <t xml:space="preserve">  5) 회수구분 : 제안서작성기준일을 기준으로 판단</t>
    <phoneticPr fontId="3" type="noConversion"/>
  </si>
  <si>
    <r>
      <t xml:space="preserve">                  단, 투자건 중 </t>
    </r>
    <r>
      <rPr>
        <b/>
        <sz val="10"/>
        <rFont val="맑은 고딕"/>
        <family val="3"/>
        <charset val="129"/>
        <scheme val="major"/>
      </rPr>
      <t>감액사실이 있는 경우(부분감액도 포함)에는 '회수료'로 선택</t>
    </r>
    <r>
      <rPr>
        <sz val="10"/>
        <rFont val="맑은 고딕"/>
        <family val="3"/>
        <charset val="129"/>
        <scheme val="major"/>
      </rPr>
      <t>하고 감액 콤보 선택 및 금액 기재</t>
    </r>
    <phoneticPr fontId="3" type="noConversion"/>
  </si>
  <si>
    <t xml:space="preserve">  6) 투자수익률 : 회수료이거나 감액사실이 있는 개별 투자건에 대해 제안사 내부적으로 산출한 IRR을 기재(엑셀 XIRR함수 사용)</t>
    <phoneticPr fontId="3" type="noConversion"/>
  </si>
  <si>
    <r>
      <t xml:space="preserve">                     (</t>
    </r>
    <r>
      <rPr>
        <b/>
        <sz val="10"/>
        <rFont val="맑은 고딕"/>
        <family val="3"/>
        <charset val="129"/>
        <scheme val="major"/>
      </rPr>
      <t>감액사실이 있는 경우, 감액금액을 차감한 투자원금을 감액일에 회수한 것으로 가정하여 IRR 산출</t>
    </r>
    <r>
      <rPr>
        <sz val="10"/>
        <rFont val="맑은 고딕"/>
        <family val="3"/>
        <charset val="129"/>
        <scheme val="major"/>
      </rPr>
      <t>할 것)</t>
    </r>
    <phoneticPr fontId="3" type="noConversion"/>
  </si>
  <si>
    <r>
      <t xml:space="preserve">    i) 부분감액 후 추가회수 없음 : 감액금액을 차감한 투자원금을 </t>
    </r>
    <r>
      <rPr>
        <b/>
        <sz val="10"/>
        <rFont val="맑은 고딕"/>
        <family val="3"/>
        <charset val="129"/>
        <scheme val="major"/>
      </rPr>
      <t>감액일</t>
    </r>
    <r>
      <rPr>
        <sz val="10"/>
        <rFont val="맑은 고딕"/>
        <family val="3"/>
        <charset val="129"/>
        <scheme val="major"/>
      </rPr>
      <t>에 회수한 것으로 가정하여 IRR산출</t>
    </r>
    <phoneticPr fontId="3" type="noConversion"/>
  </si>
  <si>
    <r>
      <t xml:space="preserve">    ii) 부분감액 후 일부 추가회수 : 감액금액을 차감한 투자원금을 </t>
    </r>
    <r>
      <rPr>
        <b/>
        <sz val="10"/>
        <rFont val="맑은 고딕"/>
        <family val="3"/>
        <charset val="129"/>
        <scheme val="major"/>
      </rPr>
      <t>추가회수일</t>
    </r>
    <r>
      <rPr>
        <sz val="10"/>
        <rFont val="맑은 고딕"/>
        <family val="3"/>
        <charset val="129"/>
        <scheme val="major"/>
      </rPr>
      <t>에 회수한 것으로 가정하여 IRR산출</t>
    </r>
    <phoneticPr fontId="3" type="noConversion"/>
  </si>
  <si>
    <t xml:space="preserve">  7) 동반투자자 : 개별기업에 대한 투자시 동반투자한 펀드, 운용사, 회사 등을 기재 </t>
    <phoneticPr fontId="3" type="noConversion"/>
  </si>
  <si>
    <t xml:space="preserve">    - 자본계정 투자건이 펀드계정과 동반투자한 경우 그 사유와 이해상충 방지관련 내용을 기입</t>
    <phoneticPr fontId="3" type="noConversion"/>
  </si>
  <si>
    <t xml:space="preserve">    - Co-GP로 투자한 경우 각자의 투자건으로 기입</t>
    <phoneticPr fontId="3" type="noConversion"/>
  </si>
  <si>
    <t xml:space="preserve">  8) 회수총액 : '회수료' 및 '부분회수' 투자건에 대해 실제 펀드계정으로 회수한 금액 기재. '미회수' 투자건은 0원 기재</t>
    <phoneticPr fontId="3" type="noConversion"/>
  </si>
  <si>
    <t xml:space="preserve">    -  (예시)</t>
    <phoneticPr fontId="3" type="noConversion"/>
  </si>
  <si>
    <t xml:space="preserve">  9) 감액 : 감액은 아래의 부실발생 기준 참고하여 투자건 중 감액사실이 있는 경우에 감액 콤보 "YES" 선택하고 금액 기재     </t>
    <phoneticPr fontId="3" type="noConversion"/>
  </si>
  <si>
    <t xml:space="preserve">    - 부실발생 기준</t>
    <phoneticPr fontId="3" type="noConversion"/>
  </si>
  <si>
    <t xml:space="preserve">    i) 투자대상기업 또는 투자목적회사에 대하여 어음교환소의 거래정지 처분이 있는 경우</t>
    <phoneticPr fontId="3" type="noConversion"/>
  </si>
  <si>
    <t xml:space="preserve">    ii) 투자대상기업 또는 투자목적회사에 대하여 청산, 회생절차, 파산절차, 부실징후 기업 인정 및 그와 유사한 절차</t>
    <phoneticPr fontId="3" type="noConversion"/>
  </si>
  <si>
    <t xml:space="preserve">       (기업개선작업, 채권금융기관의 퇴출결정 등을 포함)의 개시신청이 있는 경우</t>
    <phoneticPr fontId="3" type="noConversion"/>
  </si>
  <si>
    <t xml:space="preserve">    iii) 투자대상기업 또는 투자목적회사의 재산들에 대하여 압류명령 또는 체납처분압류통지가 발송된 때 또는 기타의 방법에 
        </t>
    <phoneticPr fontId="3" type="noConversion"/>
  </si>
  <si>
    <t xml:space="preserve">        의한 강제집행개시의 신청이 있거나 체납처분의 착수가 있는 경우로서 대상이 된 재산들의 장부가액의  합계가 투자대상</t>
    <phoneticPr fontId="3" type="noConversion"/>
  </si>
  <si>
    <t xml:space="preserve">        기업 또는 투자목적회사의 자기자본의 5% 이상인 경우</t>
    <phoneticPr fontId="3" type="noConversion"/>
  </si>
  <si>
    <t xml:space="preserve">    iv) 투자대상기업 또는 투자목적회사가 제세공과금에 대하여 국세징수법 제14조 제2항에 따른 납기전 납부고지를 받은 경우</t>
    <phoneticPr fontId="3" type="noConversion"/>
  </si>
  <si>
    <t xml:space="preserve">    v) 투자대상기업 또는 투자목적회사가 당사자인 금융관련계약상 채무의 기한의 이익을 상실한 것으로 확인되는 경우</t>
    <phoneticPr fontId="3" type="noConversion"/>
  </si>
  <si>
    <t xml:space="preserve">  10) 최종회수일 : 회수여부가 '부분회수'인 경우도 최종회수일을 기재. '미회수'인 경우는 생략. 부실발생 기준에 의한 사유로</t>
    <phoneticPr fontId="3" type="noConversion"/>
  </si>
  <si>
    <t xml:space="preserve">       감액시, 감액일자를 최종회수일로 기재하되, 감액일 이후 회수일이 있을 경우에는 실제 최종회수일을 기재</t>
    <phoneticPr fontId="3" type="noConversion"/>
  </si>
  <si>
    <t xml:space="preserve">  11) 회수방법 : 분할회수로 회수방법이 다양한 경우 대표적인 회수방법으로 기재</t>
    <phoneticPr fontId="3" type="noConversion"/>
  </si>
  <si>
    <t xml:space="preserve">  12) 미회수투자자산의 시장성유무(Y열) : 상장기업, IPO 예정종목, 시가평가대상 회사채 등 시장성이 있는 자산</t>
    <phoneticPr fontId="3" type="noConversion"/>
  </si>
  <si>
    <t xml:space="preserve">  13) 가치(시장성 : Y열 YES인 경우 ) : 시가, 공모 예정가(수요예측 후 결정된 단일가격이 있는 경우), 채권시가 등을 각각 기재</t>
    <phoneticPr fontId="3" type="noConversion"/>
  </si>
  <si>
    <r>
      <t xml:space="preserve">       단, 코넥스 주식의 경우, 시가(거래가) 제외한 </t>
    </r>
    <r>
      <rPr>
        <b/>
        <sz val="10"/>
        <rFont val="맑은 고딕"/>
        <family val="3"/>
        <charset val="129"/>
        <scheme val="major"/>
      </rPr>
      <t>평가기준에 따른 금액</t>
    </r>
    <r>
      <rPr>
        <sz val="10"/>
        <rFont val="맑은 고딕"/>
        <family val="3"/>
        <charset val="129"/>
        <scheme val="major"/>
      </rPr>
      <t xml:space="preserve"> 또는 </t>
    </r>
    <r>
      <rPr>
        <b/>
        <sz val="10"/>
        <rFont val="맑은 고딕"/>
        <family val="3"/>
        <charset val="129"/>
        <scheme val="major"/>
      </rPr>
      <t>원금</t>
    </r>
    <r>
      <rPr>
        <sz val="10"/>
        <rFont val="맑은 고딕"/>
        <family val="3"/>
        <charset val="129"/>
        <scheme val="major"/>
      </rPr>
      <t xml:space="preserve"> 기재(적용일은 제안서작성기준일) </t>
    </r>
    <phoneticPr fontId="3" type="noConversion"/>
  </si>
  <si>
    <r>
      <t xml:space="preserve">       </t>
    </r>
    <r>
      <rPr>
        <sz val="10"/>
        <rFont val="바탕"/>
        <family val="1"/>
        <charset val="129"/>
      </rPr>
      <t>※</t>
    </r>
    <r>
      <rPr>
        <sz val="10"/>
        <rFont val="맑은 고딕"/>
        <family val="3"/>
        <charset val="129"/>
      </rPr>
      <t xml:space="preserve"> </t>
    </r>
    <r>
      <rPr>
        <sz val="10"/>
        <rFont val="맑은 고딕"/>
        <family val="3"/>
        <charset val="129"/>
        <scheme val="major"/>
      </rPr>
      <t>예시) 가치산출근거란에 "000주*@000원=000백만원(XX.XX.XX종가기준)" 또는"시가(공시기관명, XX.XX.XX자 기준)"</t>
    </r>
    <phoneticPr fontId="3" type="noConversion"/>
  </si>
  <si>
    <t xml:space="preserve">                 등으로 산정근거를 명확하게 기재 </t>
    <phoneticPr fontId="3" type="noConversion"/>
  </si>
  <si>
    <t xml:space="preserve">    - 가치(비시장성 : Y열 NO인 경우) : 최근 년도 감사보고서(또는 가결산보고서) 상의 금액</t>
    <phoneticPr fontId="3" type="noConversion"/>
  </si>
  <si>
    <r>
      <t xml:space="preserve">  14) 참여자정보 : 발굴</t>
    </r>
    <r>
      <rPr>
        <sz val="10"/>
        <rFont val="맑은 고딕"/>
        <family val="3"/>
        <charset val="129"/>
      </rPr>
      <t>∙투자</t>
    </r>
    <r>
      <rPr>
        <sz val="10"/>
        <rFont val="맑은 고딕"/>
        <family val="3"/>
        <charset val="129"/>
        <scheme val="major"/>
      </rPr>
      <t>검토, 사후관리 및 회수를 담당한 인력을 기재</t>
    </r>
    <phoneticPr fontId="3" type="noConversion"/>
  </si>
  <si>
    <t xml:space="preserve">  15) 기타사항 </t>
    <phoneticPr fontId="3" type="noConversion"/>
  </si>
  <si>
    <t xml:space="preserve">    - 투자목적회사를 통한 투자인 경우 그 사실 </t>
    <phoneticPr fontId="3" type="noConversion"/>
  </si>
  <si>
    <t xml:space="preserve">    - 청산시 현물분배한 경우 또는 운용사 자본계정으로 매각한 경우에는 가격 산출근거 </t>
    <phoneticPr fontId="3" type="noConversion"/>
  </si>
  <si>
    <t xml:space="preserve">    - 미회수투자자산 가치가 감액처리된 가치인 경우 감액처리한 사실</t>
    <phoneticPr fontId="3" type="noConversion"/>
  </si>
  <si>
    <t xml:space="preserve">    - 회수구분이 "부분회수"인 경우 그 사유 등 </t>
    <phoneticPr fontId="3" type="noConversion"/>
  </si>
  <si>
    <t xml:space="preserve">    - 신주인수권부사채의 Warrant를 행사하여 신주인수시에는 별도의 투자건으로 작성(단, 대용납입 경우 작성제외)</t>
    <phoneticPr fontId="3" type="noConversion"/>
  </si>
  <si>
    <t xml:space="preserve">  16) 펀드 청산시 운용사가 자본계정을 통해 펀드 보유자산을 매수한 경우 회수한 것으로 작성</t>
    <phoneticPr fontId="3" type="noConversion"/>
  </si>
  <si>
    <t>[3.1 대표이사&amp;참여인력 개요]</t>
    <phoneticPr fontId="3" type="noConversion"/>
  </si>
  <si>
    <t>1. 작성대상 : 대표이사(또는 사업부문 대표) 및 제안펀드에 참여하는 대표펀드매니저, 핵심운용인력, 일반운용인력 및 관리인력</t>
    <phoneticPr fontId="3" type="noConversion"/>
  </si>
  <si>
    <t xml:space="preserve">    ※ 이후 Sheet 작성시, [3.1 대표이사&amp;참여인력 개요]에 작성된 대표이사(또는 사업부문 대표)의 내용으로 작성할 것 </t>
    <phoneticPr fontId="1" type="noConversion"/>
  </si>
  <si>
    <t xml:space="preserve">  1) 대표이사(또는 사업부문 대표), 대표펀드매니저, 핵심운용인력, 일반운용인력, 관리인력 순</t>
    <phoneticPr fontId="3" type="noConversion"/>
  </si>
  <si>
    <t xml:space="preserve">  2) 제안 펀드의 운용에 있어 중요한 역할을 수행할 운용인력 순으로 기재하고,</t>
    <phoneticPr fontId="3" type="noConversion"/>
  </si>
  <si>
    <t xml:space="preserve">     '주요평가대상3인'에 금번 선정 심사시 주요 평가희망대상 3인(대표펀드매니저 1인, 핵심운용인력 2인) 무조건 선택</t>
    <phoneticPr fontId="3" type="noConversion"/>
  </si>
  <si>
    <t xml:space="preserve">  1) 제안사 지분보유 여부 및 등기임원 여부 선택</t>
    <phoneticPr fontId="3" type="noConversion"/>
  </si>
  <si>
    <t xml:space="preserve">  2) 인력구분 : 제안펀드에서 수행할 역할 선택</t>
    <phoneticPr fontId="3" type="noConversion"/>
  </si>
  <si>
    <t xml:space="preserve">  3) 주요평가대상3인 : 금번 심사시 주요 평가희망대상 3인(대표펀드매니저 필수 포함)은 "Yes", 나머지 인력은 "No" 선택</t>
    <phoneticPr fontId="3" type="noConversion"/>
  </si>
  <si>
    <t xml:space="preserve">  4) 제재내용 : 제재경력여부가 "YES"인 경우에 한해 간략히 작성 </t>
    <phoneticPr fontId="3" type="noConversion"/>
  </si>
  <si>
    <t>[3.2 참여인력 투자현황]</t>
    <phoneticPr fontId="3" type="noConversion"/>
  </si>
  <si>
    <t>1. 작성대상</t>
    <phoneticPr fontId="3" type="noConversion"/>
  </si>
  <si>
    <r>
      <t xml:space="preserve">ⅰ) 자산에 대한 투자 또는 자산운용을 목적으로 설립된 </t>
    </r>
    <r>
      <rPr>
        <b/>
        <sz val="10"/>
        <rFont val="맑은 고딕"/>
        <family val="3"/>
        <charset val="129"/>
        <scheme val="minor"/>
      </rPr>
      <t>법인(금융투자기관에 한정)</t>
    </r>
    <r>
      <rPr>
        <sz val="10"/>
        <rFont val="맑은 고딕"/>
        <family val="3"/>
        <charset val="129"/>
        <scheme val="minor"/>
      </rPr>
      <t xml:space="preserve"> 재직 중에</t>
    </r>
    <phoneticPr fontId="5" type="noConversion"/>
  </si>
  <si>
    <r>
      <t xml:space="preserve">ⅱ) 투자실행일이 </t>
    </r>
    <r>
      <rPr>
        <b/>
        <sz val="10"/>
        <rFont val="맑은 고딕"/>
        <family val="3"/>
        <charset val="129"/>
        <scheme val="minor"/>
      </rPr>
      <t>2007년 1월 1일</t>
    </r>
    <r>
      <rPr>
        <sz val="10"/>
        <rFont val="맑은 고딕"/>
        <family val="3"/>
        <charset val="129"/>
        <scheme val="minor"/>
      </rPr>
      <t xml:space="preserve"> 이후인 </t>
    </r>
    <r>
      <rPr>
        <b/>
        <sz val="10"/>
        <rFont val="맑은 고딕"/>
        <family val="3"/>
        <charset val="129"/>
        <scheme val="minor"/>
      </rPr>
      <t>아래의 조건을 만족하는 투자만 작성</t>
    </r>
    <phoneticPr fontId="5" type="noConversion"/>
  </si>
  <si>
    <r>
      <rPr>
        <sz val="10"/>
        <rFont val="맑은 고딕"/>
        <family val="3"/>
        <charset val="129"/>
      </rPr>
      <t xml:space="preserve">  ①</t>
    </r>
    <r>
      <rPr>
        <b/>
        <sz val="10"/>
        <rFont val="맑은 고딕"/>
        <family val="3"/>
        <charset val="129"/>
        <scheme val="minor"/>
      </rPr>
      <t xml:space="preserve"> PE/VC 펀드계정 투자</t>
    </r>
    <r>
      <rPr>
        <sz val="10"/>
        <rFont val="맑은 고딕"/>
        <family val="3"/>
        <charset val="129"/>
        <scheme val="minor"/>
      </rPr>
      <t xml:space="preserve"> : 해당 법인의 </t>
    </r>
    <r>
      <rPr>
        <b/>
        <sz val="10"/>
        <rFont val="맑은 고딕"/>
        <family val="3"/>
        <charset val="129"/>
        <scheme val="minor"/>
      </rPr>
      <t>PE/VC펀드계정</t>
    </r>
    <r>
      <rPr>
        <sz val="10"/>
        <rFont val="맑은 고딕"/>
        <family val="3"/>
        <charset val="129"/>
        <scheme val="minor"/>
      </rPr>
      <t>을 통해 주식 또는 주식연계채권(문화·컨텐츠등에 대한 프로젝트 투자</t>
    </r>
    <phoneticPr fontId="5" type="noConversion"/>
  </si>
  <si>
    <t xml:space="preserve">     포함) 투자</t>
    <phoneticPr fontId="5" type="noConversion"/>
  </si>
  <si>
    <r>
      <rPr>
        <sz val="10"/>
        <rFont val="맑은 고딕"/>
        <family val="3"/>
        <charset val="129"/>
      </rPr>
      <t xml:space="preserve">  ②</t>
    </r>
    <r>
      <rPr>
        <b/>
        <sz val="10"/>
        <rFont val="맑은 고딕"/>
        <family val="3"/>
        <charset val="129"/>
        <scheme val="minor"/>
      </rPr>
      <t xml:space="preserve"> PE/VC 고유계정 투자</t>
    </r>
    <r>
      <rPr>
        <sz val="10"/>
        <rFont val="맑은 고딕"/>
        <family val="3"/>
        <charset val="129"/>
        <scheme val="minor"/>
      </rPr>
      <t xml:space="preserve"> : 해당 법인의 </t>
    </r>
    <r>
      <rPr>
        <b/>
        <sz val="10"/>
        <rFont val="맑은 고딕"/>
        <family val="3"/>
        <charset val="129"/>
        <scheme val="minor"/>
      </rPr>
      <t>PE/VC</t>
    </r>
    <r>
      <rPr>
        <sz val="10"/>
        <rFont val="맑은 고딕"/>
        <family val="3"/>
        <charset val="129"/>
        <scheme val="minor"/>
      </rPr>
      <t xml:space="preserve"> 투자 전담부서에서 </t>
    </r>
    <r>
      <rPr>
        <b/>
        <sz val="10"/>
        <rFont val="맑은 고딕"/>
        <family val="3"/>
        <charset val="129"/>
        <scheme val="minor"/>
      </rPr>
      <t>고유계정</t>
    </r>
    <r>
      <rPr>
        <sz val="10"/>
        <rFont val="맑은 고딕"/>
        <family val="3"/>
        <charset val="129"/>
        <scheme val="minor"/>
      </rPr>
      <t>을 통해 주식 또는 주식연계채권(문화</t>
    </r>
    <r>
      <rPr>
        <sz val="10"/>
        <rFont val="맑은 고딕"/>
        <family val="3"/>
        <charset val="129"/>
      </rPr>
      <t>·컨텐츠등에</t>
    </r>
    <phoneticPr fontId="5" type="noConversion"/>
  </si>
  <si>
    <t xml:space="preserve">     대한 프로젝트 투자포함) 투자  </t>
    <phoneticPr fontId="5" type="noConversion"/>
  </si>
  <si>
    <r>
      <rPr>
        <sz val="10"/>
        <rFont val="맑은 고딕"/>
        <family val="3"/>
        <charset val="129"/>
      </rPr>
      <t xml:space="preserve">  ③</t>
    </r>
    <r>
      <rPr>
        <sz val="10"/>
        <rFont val="맑은 고딕"/>
        <family val="3"/>
        <charset val="129"/>
        <scheme val="minor"/>
      </rPr>
      <t xml:space="preserve"> </t>
    </r>
    <r>
      <rPr>
        <b/>
        <sz val="10"/>
        <rFont val="맑은 고딕"/>
        <family val="3"/>
        <charset val="129"/>
        <scheme val="minor"/>
      </rPr>
      <t>기타 투자</t>
    </r>
    <r>
      <rPr>
        <sz val="10"/>
        <rFont val="맑은 고딕"/>
        <family val="3"/>
        <charset val="129"/>
        <scheme val="minor"/>
      </rPr>
      <t xml:space="preserve"> : ①, ②에 해당하지 않는 주식 또는 주식연계채권(문화·컨텐츠등에 대한 프로젝트 투자 포함) 투자</t>
    </r>
    <phoneticPr fontId="5" type="noConversion"/>
  </si>
  <si>
    <r>
      <t xml:space="preserve">     </t>
    </r>
    <r>
      <rPr>
        <sz val="10"/>
        <rFont val="맑은 고딕"/>
        <family val="3"/>
        <charset val="129"/>
      </rPr>
      <t xml:space="preserve">※ </t>
    </r>
    <r>
      <rPr>
        <sz val="10"/>
        <rFont val="맑은 고딕"/>
        <family val="3"/>
        <charset val="129"/>
        <scheme val="minor"/>
      </rPr>
      <t xml:space="preserve">단, 위의 </t>
    </r>
    <r>
      <rPr>
        <sz val="10"/>
        <rFont val="맑은 고딕"/>
        <family val="3"/>
        <charset val="129"/>
      </rPr>
      <t>①, ②, ③의 방법을 통한 투자 중</t>
    </r>
    <phoneticPr fontId="1" type="noConversion"/>
  </si>
  <si>
    <t xml:space="preserve">     - 트레이딩, 공모펀드 운용 등 단기 수익 획득 목적 투자와 주관사 업무·인수업무로 인한 투자</t>
    <phoneticPr fontId="5" type="noConversion"/>
  </si>
  <si>
    <t xml:space="preserve">     - 투자구조와 관계없이 최종 투자대상이 부동산, 무수익대출(NPL), 실물(Commodity) 등의 자산과 관련된  주식 또는 주식</t>
    <phoneticPr fontId="5" type="noConversion"/>
  </si>
  <si>
    <t xml:space="preserve">       연계채권(동 자산의 합계액이 자산총액의 50% 이상인 법인의 주식이나 주식연계채권 포함)에 대한 투자 제외</t>
    <phoneticPr fontId="5" type="noConversion"/>
  </si>
  <si>
    <t xml:space="preserve">  ※ 성공 및 실패사례 누락없이 작성</t>
    <phoneticPr fontId="3" type="noConversion"/>
  </si>
  <si>
    <t xml:space="preserve">  ※ 동일 투자건에 다수의 인력이 참여한 경우 가장 기여도가 높은 1인의 실적으로 기재</t>
    <phoneticPr fontId="3" type="noConversion"/>
  </si>
  <si>
    <t xml:space="preserve">     예시) ㈜가나다에 A가 발굴및투자검토, B가 사후관리, C가 회수한 경우 A,B,C, 중 가장 기여도가 높은 1인만 기재 </t>
    <phoneticPr fontId="3" type="noConversion"/>
  </si>
  <si>
    <t xml:space="preserve">            즉, ㈜가나다 투자건에는 1명(A,B,C중 1명)만 기재되어야 함</t>
    <phoneticPr fontId="3" type="noConversion"/>
  </si>
  <si>
    <t xml:space="preserve">  ※ 투자시기 차이 등으로 참여인력의 실적이 구분되는 경우에는 참여인력별로 구분 가능</t>
    <phoneticPr fontId="3" type="noConversion"/>
  </si>
  <si>
    <t xml:space="preserve">2. 작성순서 </t>
    <phoneticPr fontId="3" type="noConversion"/>
  </si>
  <si>
    <t xml:space="preserve">  1) [3.1 대표이사&amp;참여인력 개요] Sheet의 입력된 인력순</t>
    <phoneticPr fontId="1" type="noConversion"/>
  </si>
  <si>
    <t xml:space="preserve"> ※  단, 제안펀드에 참여하지 않는 대표이사(또는 사업부문 대표)의 경우, 확인 불가시 작성 생략 가능</t>
    <phoneticPr fontId="3" type="noConversion"/>
  </si>
  <si>
    <t xml:space="preserve">  2) 투자실행일이 빠른 순</t>
    <phoneticPr fontId="3" type="noConversion"/>
  </si>
  <si>
    <t xml:space="preserve">3. 항목별 작성요령 </t>
    <phoneticPr fontId="3" type="noConversion"/>
  </si>
  <si>
    <t xml:space="preserve">  1) 부서명 및 재직기간 : [3.4 참여인력 경력] Sheet 상의 작성된 부서명 및 재직기간과 일치하도록 작성</t>
    <phoneticPr fontId="3" type="noConversion"/>
  </si>
  <si>
    <t xml:space="preserve">  2) 투자 내역 중 제안펀드 주목적투자분야 관련성 : 세컨더리 관련 투자건은 "YES"를 선택, 그외의 투자건은 "NO" 선택</t>
    <phoneticPr fontId="3" type="noConversion"/>
  </si>
  <si>
    <t xml:space="preserve">  3) 투자자금 용도 및 관련 사업내용 상세서술 : 투자자금 용도 및 투자를 통해 실행된 사업내용을 기재</t>
    <phoneticPr fontId="3" type="noConversion"/>
  </si>
  <si>
    <t xml:space="preserve">  4) 투자내역, 회수내역, 미회수내역 및 감액내역은 [2.6 제안사 투자현황] Sheet 작성 요령과 동일한 방법으로 기재</t>
    <phoneticPr fontId="3" type="noConversion"/>
  </si>
  <si>
    <t xml:space="preserve">     ※ 감액내역이 있는 투자건 기재시 주의 요망</t>
    <phoneticPr fontId="3" type="noConversion"/>
  </si>
  <si>
    <t xml:space="preserve">  5) 투자건 담당기간 : 시작일과 종료일은 해당 투자건을 담당했던 기간을 의미(재직 시작일 및 종료일을 의미하지 않음)</t>
    <phoneticPr fontId="3" type="noConversion"/>
  </si>
  <si>
    <t xml:space="preserve">     - 담당기간 시작일과 종료일은 부서 재직기간을 벗어날 수 없음</t>
    <phoneticPr fontId="3" type="noConversion"/>
  </si>
  <si>
    <t xml:space="preserve">     - 현재 재직기관의 담당역할(발굴, 투자검토 등)에 대하여 현장실사시 증빙가능하여야 함</t>
    <phoneticPr fontId="3" type="noConversion"/>
  </si>
  <si>
    <t xml:space="preserve">     ※ 과거 근무한 재직기관의 투자현황은 별도첨부한 '경력확인서'(한글양식 서식7)를 받아야 함</t>
    <phoneticPr fontId="3" type="noConversion"/>
  </si>
  <si>
    <r>
      <t xml:space="preserve">  6) 투자계정구분 : 위의 작성대상 계정 </t>
    </r>
    <r>
      <rPr>
        <sz val="10"/>
        <rFont val="맑은 고딕"/>
        <family val="3"/>
        <charset val="129"/>
      </rPr>
      <t>①, ②, ③ 중 선택</t>
    </r>
    <phoneticPr fontId="3" type="noConversion"/>
  </si>
  <si>
    <t xml:space="preserve">  7) 담당역할 : 해당 투자건의 담당역할을 선택하고(중복선택 가능) 해당내용 기재</t>
    <phoneticPr fontId="3" type="noConversion"/>
  </si>
  <si>
    <t xml:space="preserve">  8) 투자펀드내역 : 해당 투자건이 펀드를 통한 투자일 경우, 해당내용 작성</t>
    <phoneticPr fontId="3" type="noConversion"/>
  </si>
  <si>
    <t xml:space="preserve">     - 해당펀드 주목적투자분야와 제안펀드 신청분야의 일치여부 : 해당 펀드의 규약(또는 정관)상에 기재된 주목적투자분야가 </t>
    <phoneticPr fontId="3" type="noConversion"/>
  </si>
  <si>
    <t xml:space="preserve">    세컨더리에 해당할 경우에만 "Yes" 선택</t>
    <phoneticPr fontId="3" type="noConversion"/>
  </si>
  <si>
    <t xml:space="preserve">     - 인력구분 : 해당펀드에서 담당한 역할 선택</t>
    <phoneticPr fontId="3" type="noConversion"/>
  </si>
  <si>
    <t xml:space="preserve">     - 펀드 출자자 중 공직유관단체가 있을 경우, 출자비율이 가장 높은 공직유관단체를 기재</t>
    <phoneticPr fontId="3" type="noConversion"/>
  </si>
  <si>
    <t xml:space="preserve">     - 펀드운용업무 시작일 및 종료일 기재. 단, 운용업무 시작일과 종료일은 부서 재직기간을 벗어날 수 없음</t>
    <phoneticPr fontId="3" type="noConversion"/>
  </si>
  <si>
    <t xml:space="preserve">  9) 검증인은 운용인력이 과거 근무했던 운용사에 현재 근무하고 있는 담당자 또는 검증 가능한 직원(펀드 투자의 경우, </t>
    <phoneticPr fontId="3" type="noConversion"/>
  </si>
  <si>
    <t xml:space="preserve">     청산펀드 관리 담당자 등)을 의미</t>
    <phoneticPr fontId="1" type="noConversion"/>
  </si>
  <si>
    <t xml:space="preserve">     - 검증인의 성명, 부서, 직위, 전화번호를 포함한 접촉 정보를 기입</t>
    <phoneticPr fontId="3" type="noConversion"/>
  </si>
  <si>
    <t>[3.3 참여인력 학력]</t>
    <phoneticPr fontId="3" type="noConversion"/>
  </si>
  <si>
    <t>1. 작성대상 : [3.1 대표이사&amp;참여인력 개요] Sheet의 입력된 인력</t>
    <phoneticPr fontId="1" type="noConversion"/>
  </si>
  <si>
    <t xml:space="preserve">    ※ 학력 : 고등학교부터 기재하되, 최종학력이 맨위에 오도록 기재할 것</t>
    <phoneticPr fontId="3" type="noConversion"/>
  </si>
  <si>
    <t>[3.4 대표이사&amp;참여인력 경력]</t>
    <phoneticPr fontId="3" type="noConversion"/>
  </si>
  <si>
    <t xml:space="preserve">1. 작성대상 : 대표이사(또는 사업부문 대표), 핵심운용인력(대표펀드매니저 포함), 일반운용인력, 관리인력 </t>
    <phoneticPr fontId="3" type="noConversion"/>
  </si>
  <si>
    <t xml:space="preserve">    ※ 대표이사(또는 사업부문 대표) 필수 작성, 작성 생략 불가</t>
    <phoneticPr fontId="3" type="noConversion"/>
  </si>
  <si>
    <t>2. 담당업무수행기간을 기준으로 작성(회사 재직기간, 부서 재직기간 중복 입력)</t>
    <phoneticPr fontId="1" type="noConversion"/>
  </si>
  <si>
    <t xml:space="preserve">  예) 가인베스트먼트에서 3년간 근무(PE본부 2년, VC본부 1년), PE본부 2년 중 PE펀드운용업무 1년, PE고유계정투자업무 1년</t>
    <phoneticPr fontId="3" type="noConversion"/>
  </si>
  <si>
    <t xml:space="preserve">      VC본부 1년간 VC펀드운용업무인 경우, 아래와 같이 3건의 경력으로 기재</t>
    <phoneticPr fontId="3" type="noConversion"/>
  </si>
  <si>
    <t>2. 항목별 작성요령</t>
    <phoneticPr fontId="3" type="noConversion"/>
  </si>
  <si>
    <t xml:space="preserve">  1) 재직회사 및 담당업무</t>
    <phoneticPr fontId="3" type="noConversion"/>
  </si>
  <si>
    <t xml:space="preserve">                  코드가 자동입력되는지 확인 필요</t>
    <phoneticPr fontId="1" type="noConversion"/>
  </si>
  <si>
    <t xml:space="preserve">   - 재직부서 및 담당업무 : 재직부서명, 직위 및 담당업무 기재</t>
    <phoneticPr fontId="3" type="noConversion"/>
  </si>
  <si>
    <t xml:space="preserve">   - 담당업무 상세내역</t>
    <phoneticPr fontId="3" type="noConversion"/>
  </si>
  <si>
    <t xml:space="preserve">     ⅰ) '투자업무 수행여부' 선택 후 '주요업무 수행내역' 선택</t>
    <phoneticPr fontId="3" type="noConversion"/>
  </si>
  <si>
    <t xml:space="preserve">    ※ '투자업무 수행여부'란에 "YES" 선택시, '주요업무 수행내역'에는 "비투자업무" 선택할 수 없음</t>
    <phoneticPr fontId="3" type="noConversion"/>
  </si>
  <si>
    <t xml:space="preserve">  ⅱ) '주요업무 수행내역'은 해당부서 재직 당시 담당업무를 기간별로 나누어 세부적으로 기재하되, 동일기간에 담당업무가 </t>
    <phoneticPr fontId="5" type="noConversion"/>
  </si>
  <si>
    <t xml:space="preserve">      중복되는 경우에는 주된 업무내용을 기재</t>
    <phoneticPr fontId="5" type="noConversion"/>
  </si>
  <si>
    <t xml:space="preserve">    ※ '주요업무 수행내역'는 아래의 기준에 따라 선택</t>
    <phoneticPr fontId="3" type="noConversion"/>
  </si>
  <si>
    <r>
      <t xml:space="preserve">     </t>
    </r>
    <r>
      <rPr>
        <b/>
        <sz val="10"/>
        <rFont val="맑은 고딕"/>
        <family val="3"/>
        <charset val="129"/>
      </rPr>
      <t>① PE/VC펀드운용 : PE/VC 펀드계정을 통한 투자업무</t>
    </r>
    <phoneticPr fontId="3" type="noConversion"/>
  </si>
  <si>
    <r>
      <t xml:space="preserve">     </t>
    </r>
    <r>
      <rPr>
        <b/>
        <sz val="10"/>
        <rFont val="맑은 고딕"/>
        <family val="3"/>
        <charset val="129"/>
      </rPr>
      <t>② PE/VC고유계정투자 : PE/VC 고유계정을 통한 투자업무</t>
    </r>
    <phoneticPr fontId="3" type="noConversion"/>
  </si>
  <si>
    <r>
      <t xml:space="preserve">     </t>
    </r>
    <r>
      <rPr>
        <b/>
        <sz val="10"/>
        <rFont val="맑은 고딕"/>
        <family val="3"/>
        <charset val="129"/>
      </rPr>
      <t>③ 기타투자업무 : M&amp;A자문, 투자컨설팅, 부동산·부실채권, LP업무 등 기타 투자업무와 관련하여 투자대상 발굴·투자검토·</t>
    </r>
    <phoneticPr fontId="3" type="noConversion"/>
  </si>
  <si>
    <r>
      <t xml:space="preserve">                           사후관리</t>
    </r>
    <r>
      <rPr>
        <b/>
        <sz val="10"/>
        <rFont val="맑은 고딕"/>
        <family val="3"/>
        <charset val="129"/>
      </rPr>
      <t>·회수 등의 실무 수행 또는 의사결정 과정에 참여한 업무</t>
    </r>
    <phoneticPr fontId="3" type="noConversion"/>
  </si>
  <si>
    <r>
      <t xml:space="preserve">     </t>
    </r>
    <r>
      <rPr>
        <b/>
        <sz val="10"/>
        <rFont val="맑은 고딕"/>
        <family val="3"/>
        <charset val="129"/>
      </rPr>
      <t>④ 비투자업무 : 자산에 대한 투자 또는 자산운용을 목적으로 설립된 법인(금융투자기관) 외 업무</t>
    </r>
    <phoneticPr fontId="3" type="noConversion"/>
  </si>
  <si>
    <r>
      <t xml:space="preserve">  </t>
    </r>
    <r>
      <rPr>
        <sz val="10"/>
        <rFont val="맑은 고딕"/>
        <family val="3"/>
        <charset val="129"/>
      </rPr>
      <t>ⅲ</t>
    </r>
    <r>
      <rPr>
        <sz val="10"/>
        <rFont val="맑은 고딕"/>
        <family val="3"/>
        <charset val="129"/>
        <scheme val="minor"/>
      </rPr>
      <t xml:space="preserve">) 제안펀드의 신청분야(필수)와 관련있는 업무경력일 경우, '제안펀드 신청분야 관련여부'를 "YES" 선택하고, </t>
    </r>
    <phoneticPr fontId="5" type="noConversion"/>
  </si>
  <si>
    <t xml:space="preserve">      '제안펀드의 신청분야 관련성 상세기재'에 관련내용 상세 기재</t>
    <phoneticPr fontId="5" type="noConversion"/>
  </si>
  <si>
    <t xml:space="preserve">  ⅳ) 업무 수행기간 : 해당 업무 담당기간 기재하되, 담당기간의 합산년수가 회사 및 부서 재직기간과 일치하도록 작성</t>
    <phoneticPr fontId="1" type="noConversion"/>
  </si>
  <si>
    <t xml:space="preserve">    ※ 현재 재직기관의 주요수행업무(PE/VC펀드운용, PE/VC고유계정투자, 기타투자)에 대하여 현장실사시 객관적으로 </t>
    <phoneticPr fontId="3" type="noConversion"/>
  </si>
  <si>
    <t xml:space="preserve">       증빙가능한 서류가 존재해야함</t>
    <phoneticPr fontId="3" type="noConversion"/>
  </si>
  <si>
    <t xml:space="preserve">    ※ 과거 근무한 재직기관의 투자현황은 별도첨부한 '경력확인서'(한글양식 서식7)를 받아야 함</t>
    <phoneticPr fontId="3" type="noConversion"/>
  </si>
  <si>
    <t>[4.1 펀드 거래]</t>
    <phoneticPr fontId="3" type="noConversion"/>
  </si>
  <si>
    <t xml:space="preserve">  1) 펀드 : [2.5 제안사 펀드현황] Sheet 에 기재한 펀드</t>
    <phoneticPr fontId="3" type="noConversion"/>
  </si>
  <si>
    <t xml:space="preserve">  2) 거래내역 : 펀드 입장에서 출자자와 거래한 내역 및 성과보수로 운용사와 거래한 내역</t>
    <phoneticPr fontId="3" type="noConversion"/>
  </si>
  <si>
    <t xml:space="preserve">2. 작성순서 : '결성일'이 빠른 펀드의 거래내역을 거래일자가 빠른 순으로 작성 </t>
    <phoneticPr fontId="3" type="noConversion"/>
  </si>
  <si>
    <t xml:space="preserve">  1) 반드시 한 개 펀드에 대한 거래내역 전체를 기입한 후 다른 펀드에 대한 거래내역을 기입 </t>
    <phoneticPr fontId="3" type="noConversion"/>
  </si>
  <si>
    <t xml:space="preserve">  2) 운용중/청산중 펀드는 해당 펀드의 전체 실제 거래 내역 기입 후, 타 펀드 거래내역 입력 전 "가상분배"를 반드시 입력</t>
    <phoneticPr fontId="3" type="noConversion"/>
  </si>
  <si>
    <t>3. 작성시 주의사항</t>
    <phoneticPr fontId="3" type="noConversion"/>
  </si>
  <si>
    <t xml:space="preserve">  1) 거래일자가 제안서 작성 기준일이전 경우에만 기입</t>
    <phoneticPr fontId="3" type="noConversion"/>
  </si>
  <si>
    <t xml:space="preserve">  2) 거래구분 중 "납입"은 음(-)의 값을, "현금분배" 및 "현물분배", "성과보수", "가상분배"는 양(+)의 값을 기록 </t>
    <phoneticPr fontId="3" type="noConversion"/>
  </si>
  <si>
    <t xml:space="preserve">  3) 타 Sheet와 달리 금액단위가 '백만원'이 아닌 '원'임</t>
    <phoneticPr fontId="3" type="noConversion"/>
  </si>
  <si>
    <t xml:space="preserve">  4) 운용중/청산중 펀드의 수익율 계산을 위해 '가상분배' 입력 필수</t>
    <phoneticPr fontId="3" type="noConversion"/>
  </si>
  <si>
    <t xml:space="preserve">    - 거래일 : 제안서 작성 기준일</t>
    <phoneticPr fontId="3" type="noConversion"/>
  </si>
  <si>
    <t xml:space="preserve">    - 거래금액 : [2.5 제안사 펀드현황] Sheet 상의 [펀드 순자산] 금액 ×1,000,000 (원단위)</t>
    <phoneticPr fontId="3" type="noConversion"/>
  </si>
  <si>
    <t>[4.2 핵심운용인력 변경이력]</t>
    <phoneticPr fontId="3" type="noConversion"/>
  </si>
  <si>
    <t xml:space="preserve">  1) 펀드 : [2.5 제안사 펀드현황] Sheet 상에 기재한 펀드</t>
    <phoneticPr fontId="3" type="noConversion"/>
  </si>
  <si>
    <t xml:space="preserve">  2) 인력변경이력 : 해당 펀드 기재대상핵심인력의 모든 변경이력</t>
    <phoneticPr fontId="3" type="noConversion"/>
  </si>
  <si>
    <t xml:space="preserve">     ※  설립시 선임, 퇴사 · 변경선임, 추가선임, 청산시 또는 제안서기준일 현재 등</t>
    <phoneticPr fontId="5" type="noConversion"/>
  </si>
  <si>
    <t>2. 작성순서 :</t>
    <phoneticPr fontId="3" type="noConversion"/>
  </si>
  <si>
    <t xml:space="preserve">  1) [2.5 제안사 펀드현황] Sheet 상의 펀드순</t>
    <phoneticPr fontId="5" type="noConversion"/>
  </si>
  <si>
    <r>
      <t xml:space="preserve">     ※  </t>
    </r>
    <r>
      <rPr>
        <b/>
        <sz val="10"/>
        <rFont val="맑은 고딕"/>
        <family val="3"/>
        <charset val="129"/>
        <scheme val="major"/>
      </rPr>
      <t>반드시</t>
    </r>
    <r>
      <rPr>
        <sz val="10"/>
        <rFont val="맑은 고딕"/>
        <family val="3"/>
        <charset val="129"/>
        <scheme val="major"/>
      </rPr>
      <t xml:space="preserve"> 한 개 펀드에 대한 설립, 변경, 청산일 또는 기준일 현재 핵심인력 전체를 기입한 후 다른 펀드 기입</t>
    </r>
    <phoneticPr fontId="3" type="noConversion"/>
  </si>
  <si>
    <t xml:space="preserve">  2) 기재대상핵심인력 변경일자 순</t>
    <phoneticPr fontId="5" type="noConversion"/>
  </si>
  <si>
    <t>3. 항목별 작성요령</t>
    <phoneticPr fontId="5" type="noConversion"/>
  </si>
  <si>
    <t>1) 펀드설립시 선임한 기재대상핵심인력 전원을 기재</t>
    <phoneticPr fontId="1" type="noConversion"/>
  </si>
  <si>
    <t xml:space="preserve">    - 해당펀드 규약(또는 정관) 상 기재되어 있는 기재대상핵심인력이 없는 경우는 기재하지 않음</t>
    <phoneticPr fontId="5" type="noConversion"/>
  </si>
  <si>
    <r>
      <t xml:space="preserve">2) 펀드설립 이후 청산시 또는 제안서작성기준일까지의 모든 </t>
    </r>
    <r>
      <rPr>
        <b/>
        <sz val="10"/>
        <rFont val="맑은 고딕"/>
        <family val="3"/>
        <charset val="129"/>
        <scheme val="major"/>
      </rPr>
      <t>변경이력 기재</t>
    </r>
    <phoneticPr fontId="5" type="noConversion"/>
  </si>
  <si>
    <t xml:space="preserve"> - 펀드 기재대상핵심인력에서 제외되는 경우 "유출", 신규로 선임되는 경우 "유입"으로 기재</t>
    <phoneticPr fontId="1" type="noConversion"/>
  </si>
  <si>
    <r>
      <t xml:space="preserve"> - 유출되는 인력, 유입되는 인력을 </t>
    </r>
    <r>
      <rPr>
        <b/>
        <sz val="10"/>
        <rFont val="맑은 고딕"/>
        <family val="3"/>
        <charset val="129"/>
        <scheme val="major"/>
      </rPr>
      <t>각각 별도 행으로 기재</t>
    </r>
    <phoneticPr fontId="5" type="noConversion"/>
  </si>
  <si>
    <t xml:space="preserve"> - 동시에 수인의 기재대상핵심인력이 변경될 경우 각각 별도 행으로 기재 (1인당 1개 행으로 기재하는 것이 원칙)</t>
    <phoneticPr fontId="1" type="noConversion"/>
  </si>
  <si>
    <t xml:space="preserve"> - 기재대상핵심인력 변경관련하여 현장실사시 관련증빙(창투조합 등록원부, KVF변경신고서 등) 요청시 제시가능하여야 함</t>
    <phoneticPr fontId="1" type="noConversion"/>
  </si>
  <si>
    <t xml:space="preserve">   ※ 변경구분 기재요령(사례별)</t>
    <phoneticPr fontId="5" type="noConversion"/>
  </si>
  <si>
    <t>각각 "유출"로 기재하여 2개 행으로 기재 (신규로 선임되는 인력은 각각 "유입"으로 기재하여 별도의 2개 행으로 기재)</t>
    <phoneticPr fontId="5" type="noConversion"/>
  </si>
  <si>
    <t>[5.1 업무협력 현황]</t>
    <phoneticPr fontId="3" type="noConversion"/>
  </si>
  <si>
    <t xml:space="preserve">  1) 최근 3년간('14년부터 제안서 작성 기준일까지) 산업은행과의 업무협력사업 내용</t>
    <phoneticPr fontId="3" type="noConversion"/>
  </si>
  <si>
    <t xml:space="preserve">  2) 산업은행 협력부서 및 담당자 : 업무협력사업 당시 산업은행 주관부서 및 담당자 기재</t>
    <phoneticPr fontId="3" type="noConversion"/>
  </si>
  <si>
    <t xml:space="preserve">  3) 해당 업무협력사업과 가장 유사한 내용의 '업무협력 항목'을 선택하고 내용 상세 기재</t>
    <phoneticPr fontId="3" type="noConversion"/>
  </si>
  <si>
    <t xml:space="preserve">  4) 해당 업무협력사업의 투자기업 및 프로젝트명, 금액, 수행기간 기재</t>
    <phoneticPr fontId="3" type="noConversion"/>
  </si>
  <si>
    <t xml:space="preserve">  5) 해당 업무협력사업 '증빙서류 제출 여부' 선택</t>
    <phoneticPr fontId="3" type="noConversion"/>
  </si>
  <si>
    <r>
      <t xml:space="preserve">   ※ 증빙서류 제출 여부 "Y" 선택시, [한글 제출양식. </t>
    </r>
    <r>
      <rPr>
        <sz val="10"/>
        <rFont val="맑은 고딕"/>
        <family val="3"/>
        <charset val="129"/>
      </rPr>
      <t>Ⅷ. KDB와의 업무협력 현황]에 관련 증빙 꼭 첨부할 것</t>
    </r>
    <phoneticPr fontId="3" type="noConversion"/>
  </si>
  <si>
    <t>[5.2 투자검토 내역]</t>
    <phoneticPr fontId="3" type="noConversion"/>
  </si>
  <si>
    <t xml:space="preserve">  1) 현재 제안펀드를 통한 투자를 위해 검토한 내역만 작성</t>
    <phoneticPr fontId="3" type="noConversion"/>
  </si>
  <si>
    <t xml:space="preserve">  2) 현재 제안사내 타펀드 또는 고유계정 등 제안사의 투자자산에 포함된 기업은 제외할 것(신규투자 검토건만 해당)</t>
    <phoneticPr fontId="3" type="noConversion"/>
  </si>
  <si>
    <t xml:space="preserve">  3) 해당 투자검토 내역 '증빙서류 제출 여부' 선택</t>
    <phoneticPr fontId="3" type="noConversion"/>
  </si>
  <si>
    <r>
      <t xml:space="preserve">   ※ 증빙서류 제출 여부 "Y" 선택시, [한글 제출양식. </t>
    </r>
    <r>
      <rPr>
        <sz val="10"/>
        <rFont val="맑은 고딕"/>
        <family val="3"/>
        <charset val="129"/>
      </rPr>
      <t>Ⅸ. 제안펀드의 투자건 검토내역]에 관련 증빙 꼭 첨부할 것</t>
    </r>
    <phoneticPr fontId="3" type="noConversion"/>
  </si>
  <si>
    <t>아이엠엠인베스트먼트㈜</t>
    <phoneticPr fontId="5" type="noConversion"/>
  </si>
  <si>
    <t>110111-1735426</t>
    <phoneticPr fontId="5" type="noConversion"/>
  </si>
  <si>
    <t>104-81-46665</t>
    <phoneticPr fontId="5" type="noConversion"/>
  </si>
  <si>
    <t>장동우·지성배</t>
    <phoneticPr fontId="5" type="noConversion"/>
  </si>
  <si>
    <t>06236</t>
  </si>
  <si>
    <t>서울시 강남구 테헤란로152, 5층</t>
    <phoneticPr fontId="5" type="noConversion"/>
  </si>
  <si>
    <t>(역삼동, 강남파이낸스센터)</t>
    <phoneticPr fontId="5" type="noConversion"/>
  </si>
  <si>
    <t>윤원기</t>
    <phoneticPr fontId="1" type="noConversion"/>
  </si>
  <si>
    <t>투자본부</t>
    <phoneticPr fontId="1" type="noConversion"/>
  </si>
  <si>
    <t>이사</t>
  </si>
  <si>
    <t>02-2112-1802</t>
    <phoneticPr fontId="1" type="noConversion"/>
  </si>
  <si>
    <t>010-4150-6539</t>
    <phoneticPr fontId="1" type="noConversion"/>
  </si>
  <si>
    <t>02-2112-1778</t>
    <phoneticPr fontId="1" type="noConversion"/>
  </si>
  <si>
    <t>wonki.yoon@imm.co.kr</t>
    <phoneticPr fontId="1" type="noConversion"/>
  </si>
  <si>
    <t>트러스톤자산운용㈜</t>
  </si>
  <si>
    <t>정구용</t>
  </si>
  <si>
    <t>㈜시큐어소프트</t>
  </si>
  <si>
    <t>본인</t>
    <phoneticPr fontId="1" type="noConversion"/>
  </si>
  <si>
    <t>에스에이치씨-아이엠엠 신성장펀드</t>
  </si>
  <si>
    <t>아이엠엠그린테크펀드</t>
  </si>
  <si>
    <t>2010 KIF-IMM IT 전문투자조합</t>
  </si>
  <si>
    <t>KoFC-IMM Pioneer Champ 2011-9호 투자조합</t>
  </si>
  <si>
    <t>KoFC-IMM R&amp;D-Biz Creation 2013-2호 투자조합</t>
  </si>
  <si>
    <t>2014 IMM ICT 벤처펀드</t>
  </si>
  <si>
    <t>2014 IMM AG 벤처펀드</t>
  </si>
  <si>
    <t>2014 성장사다리-IMM 벤처펀드</t>
  </si>
  <si>
    <t>2015 IMM Design벤처펀드</t>
  </si>
  <si>
    <t>IMM 세컨더리벤처펀드 제1호</t>
  </si>
  <si>
    <t>아이엠엠-가이저 투자펀드</t>
  </si>
  <si>
    <t>케이티-아이엠엠 투자펀드</t>
  </si>
  <si>
    <t>2016KIF-IMM 우리은행 기술금융펀드</t>
  </si>
  <si>
    <t>220-80-06425</t>
  </si>
  <si>
    <t>220-80-06629</t>
  </si>
  <si>
    <t>220-80-06634</t>
  </si>
  <si>
    <t>220-80-06691</t>
  </si>
  <si>
    <t>220-80-06745</t>
  </si>
  <si>
    <t>220-80-07370</t>
  </si>
  <si>
    <t>220-80-08608</t>
  </si>
  <si>
    <t>220-80-08990</t>
  </si>
  <si>
    <t>220-80-08985</t>
  </si>
  <si>
    <t>220-80-09193</t>
  </si>
  <si>
    <t>309-80-00291</t>
  </si>
  <si>
    <t>750-80-00446</t>
  </si>
  <si>
    <t>113-80-15136</t>
  </si>
  <si>
    <t>초기4년까지 약정액의 2.5%, 잔여기간 투자잔액의 2.5%</t>
  </si>
  <si>
    <t>해산시까지 투자잔액 기준 1%</t>
  </si>
  <si>
    <t>GP별 해산시까지 약정액 기준 각 1%</t>
  </si>
  <si>
    <t>초기3년까지 약정액의 2.5%, 잔여기간 투자잔액의 2.5%</t>
  </si>
  <si>
    <t>GP별 초기3년까지 약정액의 각1%, 잔여기간 투자잔액의 각1%</t>
  </si>
  <si>
    <t>초기1.5년까지 약정액의 2%, 잔여기간 투자잔액의 2.0%</t>
  </si>
  <si>
    <t>초기3년까지 약정액의 2%, 잔여기간 투자잔액의 2%</t>
  </si>
  <si>
    <t>초기4년까지 약정액의 2%, 잔여기간 투자잔액의 2%</t>
  </si>
  <si>
    <t>납입출자금의 2%, 납입출자금의 1.3%(tranche B)</t>
  </si>
  <si>
    <t>납입출자금의 1%</t>
  </si>
  <si>
    <t>초기3년까지 약정액의 2.0%, 잔여기간 투자잔액의 2.0%</t>
  </si>
  <si>
    <t>KoFC-IMM Pioneer Champ 2010-17호 투자조합</t>
  </si>
  <si>
    <t>220-80-06726</t>
  </si>
  <si>
    <t>일반 중소기업</t>
  </si>
  <si>
    <t>초기2.5년까지 약정액의 2.0%, 잔여기간 투자잔액의 2.3%</t>
  </si>
  <si>
    <t>정일부</t>
  </si>
  <si>
    <t>최성욱</t>
  </si>
  <si>
    <t>장동우</t>
  </si>
  <si>
    <t>이종석</t>
  </si>
  <si>
    <t>지성배</t>
  </si>
  <si>
    <t>송인준</t>
  </si>
  <si>
    <t>이민근</t>
  </si>
  <si>
    <t>김상명</t>
  </si>
  <si>
    <t>이승환</t>
  </si>
  <si>
    <t>나광국</t>
  </si>
  <si>
    <t>구재윤</t>
  </si>
  <si>
    <t>오민규</t>
  </si>
  <si>
    <t>윤원기</t>
  </si>
  <si>
    <t>이알음</t>
  </si>
  <si>
    <t>IMM인베스트먼트㈜</t>
  </si>
  <si>
    <t>㈜애큐온캐피탈</t>
  </si>
  <si>
    <t>신한캐피탈</t>
  </si>
  <si>
    <t>한국모태펀드</t>
  </si>
  <si>
    <t>원재연</t>
  </si>
  <si>
    <t>정석용</t>
  </si>
  <si>
    <t>구영배</t>
  </si>
  <si>
    <t>국순당</t>
  </si>
  <si>
    <t>KIF투자조합</t>
  </si>
  <si>
    <t>하나에프앤아이</t>
  </si>
  <si>
    <t>삼성전자</t>
  </si>
  <si>
    <t>성장사다리</t>
  </si>
  <si>
    <t>하나금융투자</t>
  </si>
  <si>
    <t>정윤화</t>
  </si>
  <si>
    <t>성장사다리펀드</t>
  </si>
  <si>
    <t>셀트리온</t>
  </si>
  <si>
    <t>하이투자증권</t>
  </si>
  <si>
    <t>강현리</t>
  </si>
  <si>
    <t>NH투자증권</t>
  </si>
  <si>
    <t>우리은행</t>
  </si>
  <si>
    <t>692-80-00612</t>
    <phoneticPr fontId="1" type="noConversion"/>
  </si>
  <si>
    <t>초기3년까지 약정액의 1.3%, 잔여기간 투자잔액의 1.3%</t>
    <phoneticPr fontId="1" type="noConversion"/>
  </si>
  <si>
    <t>이승환</t>
    <phoneticPr fontId="1" type="noConversion"/>
  </si>
  <si>
    <t>이알음</t>
    <phoneticPr fontId="1" type="noConversion"/>
  </si>
  <si>
    <t>김금동</t>
    <phoneticPr fontId="1" type="noConversion"/>
  </si>
  <si>
    <t>하나금융투자</t>
    <phoneticPr fontId="1" type="noConversion"/>
  </si>
  <si>
    <t>한국투자증권</t>
    <phoneticPr fontId="1" type="noConversion"/>
  </si>
  <si>
    <t>캐프</t>
  </si>
  <si>
    <t>엘앤에프신소재</t>
  </si>
  <si>
    <t>루미리치</t>
  </si>
  <si>
    <t>케이이노텍</t>
  </si>
  <si>
    <t>티이에스</t>
  </si>
  <si>
    <t>안드로메다게임즈</t>
  </si>
  <si>
    <t>일반제조</t>
  </si>
  <si>
    <t>화학/소재</t>
  </si>
  <si>
    <t>ICT제조</t>
  </si>
  <si>
    <t>모바일</t>
  </si>
  <si>
    <t>장동우정일부구재윤</t>
  </si>
  <si>
    <t>이종석구재윤</t>
  </si>
  <si>
    <t>보통주전환후 배당금</t>
  </si>
  <si>
    <t>BW이자,보통주전환후 배당금</t>
  </si>
  <si>
    <t>김대열김상명</t>
  </si>
  <si>
    <t>정일부김상명</t>
  </si>
  <si>
    <t>정일부임원진</t>
  </si>
  <si>
    <t>임원진구재윤</t>
  </si>
  <si>
    <t>정일부구재윤</t>
  </si>
  <si>
    <t>오민규정일부</t>
  </si>
  <si>
    <t>정일부김상명오민규</t>
  </si>
  <si>
    <t>일부 상환</t>
  </si>
  <si>
    <t>CB이자</t>
  </si>
  <si>
    <t>정일부오민규</t>
  </si>
  <si>
    <t>이민근임원진</t>
  </si>
  <si>
    <t>임원진윤원기</t>
  </si>
  <si>
    <t>17.09.15 장부가액</t>
  </si>
  <si>
    <t>17.09.15 장부가액</t>
    <phoneticPr fontId="1" type="noConversion"/>
  </si>
  <si>
    <t>일부회수후 전액감액</t>
    <phoneticPr fontId="1" type="noConversion"/>
  </si>
  <si>
    <t>전액감액</t>
    <phoneticPr fontId="1" type="noConversion"/>
  </si>
  <si>
    <t>아이엠엠-가이저 투자펀드</t>
    <phoneticPr fontId="1" type="noConversion"/>
  </si>
  <si>
    <t>정일부장동우</t>
  </si>
  <si>
    <t>다은테크</t>
  </si>
  <si>
    <t>엘타임게임즈</t>
  </si>
  <si>
    <t>ICT서비스</t>
  </si>
  <si>
    <t>코캄</t>
  </si>
  <si>
    <t>덴티움</t>
  </si>
  <si>
    <t>바이오/의료</t>
  </si>
  <si>
    <t>우아한형제들</t>
  </si>
  <si>
    <t>김대열이승환</t>
  </si>
  <si>
    <t>장동우이승환</t>
  </si>
  <si>
    <t>김대열임원진</t>
  </si>
  <si>
    <t>장동우임원진</t>
  </si>
  <si>
    <t>장동우정일부</t>
  </si>
  <si>
    <t>정일부이관훈오민규</t>
  </si>
  <si>
    <t>장동우정일부오민규</t>
  </si>
  <si>
    <t>배당</t>
  </si>
  <si>
    <t>정일부이승환</t>
  </si>
  <si>
    <t>장동우정일부임원진</t>
  </si>
  <si>
    <t>임원진나성민윤원기</t>
  </si>
  <si>
    <t>장동우정일부윤원기</t>
  </si>
  <si>
    <t>제이미크론</t>
  </si>
  <si>
    <t>에스엠코어</t>
  </si>
  <si>
    <t>안셀코리아</t>
  </si>
  <si>
    <t>씨아이에스</t>
  </si>
  <si>
    <t>원방테크</t>
  </si>
  <si>
    <t>아이센스</t>
  </si>
  <si>
    <t>화인</t>
  </si>
  <si>
    <t>램테크놀러지</t>
  </si>
  <si>
    <t>영우디에스피</t>
  </si>
  <si>
    <t>서진캠</t>
  </si>
  <si>
    <t>기가레인</t>
  </si>
  <si>
    <t>아이엠티에스(구.다이온)</t>
  </si>
  <si>
    <t>유비스</t>
  </si>
  <si>
    <t>킨스계기</t>
  </si>
  <si>
    <t>영화테크</t>
  </si>
  <si>
    <t>헬스웰메디칼</t>
  </si>
  <si>
    <t>코반케미칼</t>
  </si>
  <si>
    <t>아이쓰리시스템</t>
  </si>
  <si>
    <t>에스비씨</t>
  </si>
  <si>
    <t>에스케이씨에스</t>
  </si>
  <si>
    <t>이승환나성민</t>
  </si>
  <si>
    <t>정일부이승환나성민</t>
  </si>
  <si>
    <t>김상명정일부</t>
  </si>
  <si>
    <t>김상명나성민나광국</t>
  </si>
  <si>
    <t>정일부김상명나성민나광국</t>
  </si>
  <si>
    <t>김상명이승환</t>
  </si>
  <si>
    <t>오민규김상명</t>
  </si>
  <si>
    <t>김상명나광국</t>
  </si>
  <si>
    <t>이민근임원진윤원기</t>
  </si>
  <si>
    <t>일부 장외매각</t>
  </si>
  <si>
    <t>정일부김상명구재윤</t>
  </si>
  <si>
    <t>김상명구재윤나광국</t>
  </si>
  <si>
    <t>감액후 장외매각</t>
  </si>
  <si>
    <t>이민근윤원기</t>
  </si>
  <si>
    <t>윤원기임원진</t>
  </si>
  <si>
    <t>김상명오민규</t>
  </si>
  <si>
    <t>보통주 전환(코넥스)</t>
  </si>
  <si>
    <t>윤원기</t>
    <phoneticPr fontId="1" type="noConversion"/>
  </si>
  <si>
    <t>엠텔로</t>
  </si>
  <si>
    <t>엠콤</t>
  </si>
  <si>
    <t>예스티</t>
  </si>
  <si>
    <t>빅히트엔터테인먼트</t>
  </si>
  <si>
    <t>엔터테인먼트</t>
  </si>
  <si>
    <t>맥스필름</t>
  </si>
  <si>
    <t>더블유게임즈</t>
  </si>
  <si>
    <t>게임</t>
  </si>
  <si>
    <t>코티비글로벌</t>
  </si>
  <si>
    <t>김대열오민규윤원기</t>
  </si>
  <si>
    <t>정일부윤원기</t>
  </si>
  <si>
    <t>전액감액</t>
  </si>
  <si>
    <t>임원진나성민나광국</t>
  </si>
  <si>
    <t>정일부나광국</t>
  </si>
  <si>
    <t>임원진나성민</t>
  </si>
  <si>
    <t>정일부나성민</t>
  </si>
  <si>
    <t>이민근구재윤</t>
  </si>
  <si>
    <t>전형순</t>
  </si>
  <si>
    <t>전형순윤원기</t>
  </si>
  <si>
    <t>전액감액 후 장외매각</t>
    <phoneticPr fontId="1" type="noConversion"/>
  </si>
  <si>
    <t>나광국</t>
    <phoneticPr fontId="1" type="noConversion"/>
  </si>
  <si>
    <t>감액후 장외매각</t>
    <phoneticPr fontId="1" type="noConversion"/>
  </si>
  <si>
    <t xml:space="preserve">    -  "회수투자자산 투자원금(T) + 감액금액(X) + 미회수투자자산 투자원금(Z) = 'N'열 투자금액"이 되어야 함</t>
    <phoneticPr fontId="3" type="noConversion"/>
  </si>
  <si>
    <t>제노포커스</t>
  </si>
  <si>
    <t>에이비온</t>
  </si>
  <si>
    <t>오스템카디오텍</t>
  </si>
  <si>
    <t>이엠따블유</t>
  </si>
  <si>
    <t>모코플렉스</t>
  </si>
  <si>
    <t>블루홀</t>
  </si>
  <si>
    <t>PSI International, Inc.</t>
  </si>
  <si>
    <t>아이씨티케이</t>
  </si>
  <si>
    <t>에스피엠탈로스</t>
  </si>
  <si>
    <t>비트패킹컴퍼니</t>
  </si>
  <si>
    <t>블리스팩</t>
  </si>
  <si>
    <t>Sunshine App, Inc.</t>
  </si>
  <si>
    <t>디엔에이링크</t>
  </si>
  <si>
    <t>싸이토젠</t>
  </si>
  <si>
    <t>지슨</t>
  </si>
  <si>
    <t>에프앤피</t>
  </si>
  <si>
    <t>위메프</t>
  </si>
  <si>
    <t>소셜커머스</t>
  </si>
  <si>
    <t>이클리어인터내셔날</t>
  </si>
  <si>
    <t>알파코리아</t>
  </si>
  <si>
    <t>Brilliant Plumbing International</t>
  </si>
  <si>
    <t>OrthoSensor</t>
  </si>
  <si>
    <t>백패커</t>
  </si>
  <si>
    <t>버킷플레이스</t>
  </si>
  <si>
    <t>지디케이화장품</t>
  </si>
  <si>
    <t>프론티어아이피</t>
  </si>
  <si>
    <t>특허관리</t>
  </si>
  <si>
    <t>프로젝트투자</t>
  </si>
  <si>
    <t>마이리얼트립</t>
  </si>
  <si>
    <t>15.05.29 코스닥 상장</t>
  </si>
  <si>
    <t>이민근김요한</t>
  </si>
  <si>
    <t>김요한윤원기이알음</t>
  </si>
  <si>
    <t>워런트매각 및 보통주전환 후 매각(코넥스)</t>
  </si>
  <si>
    <t>보통주 전환후 매각</t>
  </si>
  <si>
    <t>윤원기이알음</t>
  </si>
  <si>
    <t>이민근임원진전형순</t>
  </si>
  <si>
    <t>임원진전형순김상명</t>
  </si>
  <si>
    <t>임원진나광국</t>
  </si>
  <si>
    <t>이민근전형순</t>
  </si>
  <si>
    <t>지성배오민규</t>
  </si>
  <si>
    <t>이승환윤원기</t>
  </si>
  <si>
    <t>전형순나광국</t>
  </si>
  <si>
    <t>이승환이알음</t>
  </si>
  <si>
    <t>BW이자,워런트매각</t>
  </si>
  <si>
    <t>김상명나성민윤원기</t>
  </si>
  <si>
    <t>나성민</t>
  </si>
  <si>
    <t>정일부이알음</t>
  </si>
  <si>
    <t>김홍찬</t>
  </si>
  <si>
    <t>윤원기김홍찬</t>
  </si>
  <si>
    <t>17.09.15 장부가액</t>
    <phoneticPr fontId="1" type="noConversion"/>
  </si>
  <si>
    <t>이알음</t>
    <phoneticPr fontId="1" type="noConversion"/>
  </si>
  <si>
    <t>전환가격 조정후 장내매각</t>
    <phoneticPr fontId="1" type="noConversion"/>
  </si>
  <si>
    <t>오민규</t>
    <phoneticPr fontId="1" type="noConversion"/>
  </si>
  <si>
    <t>직방</t>
  </si>
  <si>
    <t>크라클팩토리</t>
  </si>
  <si>
    <t>헬로마켓</t>
  </si>
  <si>
    <t>디자인하우스</t>
  </si>
  <si>
    <t>출판/컨텐츠</t>
  </si>
  <si>
    <t>오하임아이엔티</t>
  </si>
  <si>
    <t>모빌리엔</t>
  </si>
  <si>
    <t>밸런스히어로</t>
  </si>
  <si>
    <t>장동우윤원기</t>
  </si>
  <si>
    <t>배당, 오하임에 피합병</t>
  </si>
  <si>
    <t>나광국김홍찬</t>
  </si>
  <si>
    <t>이승환</t>
    <phoneticPr fontId="1" type="noConversion"/>
  </si>
  <si>
    <t>전액감액</t>
    <phoneticPr fontId="1" type="noConversion"/>
  </si>
  <si>
    <t>미래원</t>
  </si>
  <si>
    <t>장동우구재윤</t>
  </si>
  <si>
    <t>테크로스</t>
  </si>
  <si>
    <t>네오피델리티</t>
  </si>
  <si>
    <t>파멥신</t>
  </si>
  <si>
    <t>세기리텍</t>
  </si>
  <si>
    <t>본아이에프</t>
  </si>
  <si>
    <t>올리패스</t>
  </si>
  <si>
    <t>전진바이오팜</t>
  </si>
  <si>
    <t>KTH아시아</t>
  </si>
  <si>
    <t>앱클론</t>
  </si>
  <si>
    <t>펄어비스</t>
  </si>
  <si>
    <t>인카금융서비스</t>
  </si>
  <si>
    <t>서비스</t>
  </si>
  <si>
    <t>카버코리아</t>
  </si>
  <si>
    <t>백진흠</t>
  </si>
  <si>
    <t>코넥스</t>
  </si>
  <si>
    <t>나광국이알음</t>
  </si>
  <si>
    <t>장외매각, 배당</t>
    <phoneticPr fontId="1" type="noConversion"/>
  </si>
  <si>
    <t>인텔리안테크놀로지스</t>
  </si>
  <si>
    <t>이승환김홍찬</t>
  </si>
  <si>
    <t>라이트팜텍</t>
  </si>
  <si>
    <t>유바이오로직스</t>
  </si>
  <si>
    <t>아이큐어</t>
  </si>
  <si>
    <t>세틀뱅크</t>
  </si>
  <si>
    <t>간송씨앤디</t>
  </si>
  <si>
    <t>프로젝트</t>
  </si>
  <si>
    <t>데이세븐</t>
  </si>
  <si>
    <t>카페24</t>
  </si>
  <si>
    <t>지누스</t>
    <phoneticPr fontId="1" type="noConversion"/>
  </si>
  <si>
    <t>일반제조</t>
    <phoneticPr fontId="1" type="noConversion"/>
  </si>
  <si>
    <t>김홍찬이승환</t>
    <phoneticPr fontId="1" type="noConversion"/>
  </si>
  <si>
    <t>이승환김홍찬</t>
    <phoneticPr fontId="1" type="noConversion"/>
  </si>
  <si>
    <t>배당</t>
    <phoneticPr fontId="1" type="noConversion"/>
  </si>
  <si>
    <t>ICT컨텐츠</t>
  </si>
  <si>
    <t>Celleron Therapeutics Limited</t>
  </si>
  <si>
    <t>베이글코드</t>
  </si>
  <si>
    <t>글로우데이즈</t>
  </si>
  <si>
    <t>스타일쉐어</t>
  </si>
  <si>
    <t>이엘피</t>
  </si>
  <si>
    <t>이알음김홍찬</t>
  </si>
  <si>
    <t>티지오테크</t>
    <phoneticPr fontId="1" type="noConversion"/>
  </si>
  <si>
    <t>아이씨엠</t>
    <phoneticPr fontId="1" type="noConversion"/>
  </si>
  <si>
    <t>퀄슨</t>
    <phoneticPr fontId="1" type="noConversion"/>
  </si>
  <si>
    <t>코코모</t>
    <phoneticPr fontId="1" type="noConversion"/>
  </si>
  <si>
    <t>정일부</t>
    <phoneticPr fontId="1" type="noConversion"/>
  </si>
  <si>
    <t>김홍찬</t>
    <phoneticPr fontId="1" type="noConversion"/>
  </si>
  <si>
    <t>최성욱 대체 선임</t>
  </si>
  <si>
    <t>이관훈</t>
  </si>
  <si>
    <t>이종석 대체 선임</t>
  </si>
  <si>
    <t>이관훈 대체 선임</t>
  </si>
  <si>
    <t>제안서기준일</t>
  </si>
  <si>
    <t>대표펀드매니저 변경</t>
  </si>
  <si>
    <t>송인준 대체(대표펀드매니저) 선임</t>
  </si>
  <si>
    <t>임원진</t>
  </si>
  <si>
    <t>이민근 대체(대표펀드매니저) 선임</t>
  </si>
  <si>
    <t>전형순 대체(핵심운용인력) 선임</t>
  </si>
  <si>
    <t>김상명 대체(핵심운용인력) 선임</t>
  </si>
  <si>
    <t>임원진 대체(핵심운용인력) 선임</t>
  </si>
  <si>
    <t>IMM 세컨더리 벤처펀드 제1호</t>
  </si>
  <si>
    <t>IMM 세컨더리 벤처펀드 제2호</t>
    <phoneticPr fontId="1" type="noConversion"/>
  </si>
  <si>
    <t>김금동</t>
    <phoneticPr fontId="1" type="noConversion"/>
  </si>
  <si>
    <t>신탁실</t>
  </si>
  <si>
    <t>방혜현 대리</t>
  </si>
  <si>
    <t>수탁계약 체결</t>
  </si>
  <si>
    <t>2014 IMM ICT벤처펀드</t>
  </si>
  <si>
    <t>IMM 세컨더리 벤처펀드 제2호</t>
    <phoneticPr fontId="5" type="noConversion"/>
  </si>
  <si>
    <t>신탁실</t>
    <phoneticPr fontId="5" type="noConversion"/>
  </si>
  <si>
    <t>방혜현 대리</t>
    <phoneticPr fontId="5" type="noConversion"/>
  </si>
  <si>
    <t>수탁계약 체결</t>
    <phoneticPr fontId="5" type="noConversion"/>
  </si>
  <si>
    <t>이승환</t>
    <phoneticPr fontId="5" type="noConversion"/>
  </si>
  <si>
    <t>지성배</t>
    <phoneticPr fontId="1" type="noConversion"/>
  </si>
  <si>
    <t>윤원기</t>
    <phoneticPr fontId="1" type="noConversion"/>
  </si>
  <si>
    <t>김금동</t>
    <phoneticPr fontId="1" type="noConversion"/>
  </si>
  <si>
    <t>김영은</t>
    <phoneticPr fontId="1" type="noConversion"/>
  </si>
  <si>
    <t>윤정현</t>
    <phoneticPr fontId="1" type="noConversion"/>
  </si>
  <si>
    <t>IMM인베스트먼트㈜</t>
    <phoneticPr fontId="5" type="noConversion"/>
  </si>
  <si>
    <t>총괄</t>
    <phoneticPr fontId="1" type="noConversion"/>
  </si>
  <si>
    <t>투자본부</t>
    <phoneticPr fontId="1" type="noConversion"/>
  </si>
  <si>
    <t>관리본부</t>
    <phoneticPr fontId="1" type="noConversion"/>
  </si>
  <si>
    <t>RM</t>
    <phoneticPr fontId="1" type="noConversion"/>
  </si>
  <si>
    <t>이사</t>
    <phoneticPr fontId="1" type="noConversion"/>
  </si>
  <si>
    <t>대표이사</t>
    <phoneticPr fontId="1" type="noConversion"/>
  </si>
  <si>
    <t>이사</t>
    <phoneticPr fontId="1" type="noConversion"/>
  </si>
  <si>
    <t>팀장</t>
    <phoneticPr fontId="1" type="noConversion"/>
  </si>
  <si>
    <t>상무이사</t>
    <phoneticPr fontId="1" type="noConversion"/>
  </si>
  <si>
    <t>사원</t>
    <phoneticPr fontId="1" type="noConversion"/>
  </si>
  <si>
    <t>해당없음</t>
    <phoneticPr fontId="1" type="noConversion"/>
  </si>
  <si>
    <t>02-2112-1804</t>
    <phoneticPr fontId="5" type="noConversion"/>
  </si>
  <si>
    <t>02-2112-1760</t>
    <phoneticPr fontId="5" type="noConversion"/>
  </si>
  <si>
    <t>02-2112-1802</t>
    <phoneticPr fontId="5" type="noConversion"/>
  </si>
  <si>
    <t>02-2112-1819</t>
    <phoneticPr fontId="5" type="noConversion"/>
  </si>
  <si>
    <t>02-2112-1751</t>
    <phoneticPr fontId="5" type="noConversion"/>
  </si>
  <si>
    <t>02-2112-1764</t>
    <phoneticPr fontId="5" type="noConversion"/>
  </si>
  <si>
    <t>02-2112-1811</t>
    <phoneticPr fontId="5" type="noConversion"/>
  </si>
  <si>
    <t>02-2112-1814</t>
    <phoneticPr fontId="5" type="noConversion"/>
  </si>
  <si>
    <t>010-6811-4191</t>
    <phoneticPr fontId="1" type="noConversion"/>
  </si>
  <si>
    <t>010-2639-5612</t>
    <phoneticPr fontId="1" type="noConversion"/>
  </si>
  <si>
    <t>010-8760-1594</t>
    <phoneticPr fontId="5" type="noConversion"/>
  </si>
  <si>
    <t>010-7116-3783</t>
    <phoneticPr fontId="1" type="noConversion"/>
  </si>
  <si>
    <t>010-4150-6539</t>
    <phoneticPr fontId="1" type="noConversion"/>
  </si>
  <si>
    <t>010-8413-0660</t>
    <phoneticPr fontId="1" type="noConversion"/>
  </si>
  <si>
    <t>010-3534-2516</t>
    <phoneticPr fontId="1" type="noConversion"/>
  </si>
  <si>
    <t>010-5356-3422</t>
    <phoneticPr fontId="1" type="noConversion"/>
  </si>
  <si>
    <t>lee@imm.co.kr</t>
    <phoneticPr fontId="1" type="noConversion"/>
  </si>
  <si>
    <t>sbji@imm.co.kr</t>
    <phoneticPr fontId="1" type="noConversion"/>
  </si>
  <si>
    <t>wonki.yoon@imm.co.kr</t>
    <phoneticPr fontId="1" type="noConversion"/>
  </si>
  <si>
    <t>justin.kim@imm.co.kr</t>
    <phoneticPr fontId="1" type="noConversion"/>
  </si>
  <si>
    <t>khj@imm.co.kr</t>
    <phoneticPr fontId="1" type="noConversion"/>
  </si>
  <si>
    <t>yekim@imm.co.kr</t>
    <phoneticPr fontId="1" type="noConversion"/>
  </si>
  <si>
    <t>imhj@imm.co.kr</t>
    <phoneticPr fontId="1" type="noConversion"/>
  </si>
  <si>
    <t>jhy@imm.co.kr</t>
    <phoneticPr fontId="1" type="noConversion"/>
  </si>
  <si>
    <t>이승환</t>
    <phoneticPr fontId="5" type="noConversion"/>
  </si>
  <si>
    <t>관리</t>
    <phoneticPr fontId="1" type="noConversion"/>
  </si>
  <si>
    <t>RM</t>
    <phoneticPr fontId="1" type="noConversion"/>
  </si>
  <si>
    <t>Compliance</t>
    <phoneticPr fontId="1" type="noConversion"/>
  </si>
  <si>
    <t>투자심사</t>
    <phoneticPr fontId="1" type="noConversion"/>
  </si>
  <si>
    <t>120,000주*14,300원(17.09.15 종가기준)</t>
    <phoneticPr fontId="1" type="noConversion"/>
  </si>
  <si>
    <t>100,000주*5,100원(17.09.15 종가기준)</t>
    <phoneticPr fontId="1" type="noConversion"/>
  </si>
  <si>
    <t>100,000주*29,100원(17.09.15 종가기준)</t>
    <phoneticPr fontId="1" type="noConversion"/>
  </si>
  <si>
    <t>110,000주*108,000원(17.09.15 종가)</t>
    <phoneticPr fontId="1" type="noConversion"/>
  </si>
  <si>
    <t>65,200주*108,000원(17.09.15 종가)</t>
    <phoneticPr fontId="1" type="noConversion"/>
  </si>
  <si>
    <t>정일부김홍찬</t>
    <phoneticPr fontId="1" type="noConversion"/>
  </si>
  <si>
    <t>김홍찬정일부</t>
    <phoneticPr fontId="1" type="noConversion"/>
  </si>
  <si>
    <t>폐업,전액감액</t>
    <phoneticPr fontId="1" type="noConversion"/>
  </si>
  <si>
    <t>이승환</t>
    <phoneticPr fontId="11" type="noConversion"/>
  </si>
  <si>
    <t>북경대학교</t>
    <phoneticPr fontId="5" type="noConversion"/>
  </si>
  <si>
    <t>경영/경제학과</t>
    <phoneticPr fontId="1" type="noConversion"/>
  </si>
  <si>
    <t>중국</t>
    <phoneticPr fontId="1" type="noConversion"/>
  </si>
  <si>
    <t>지성배</t>
    <phoneticPr fontId="1" type="noConversion"/>
  </si>
  <si>
    <t>서울대학교</t>
    <phoneticPr fontId="1" type="noConversion"/>
  </si>
  <si>
    <t>서울대학교</t>
    <phoneticPr fontId="1" type="noConversion"/>
  </si>
  <si>
    <t>동대전고등학교</t>
    <phoneticPr fontId="1" type="noConversion"/>
  </si>
  <si>
    <t>경영학과</t>
    <phoneticPr fontId="1" type="noConversion"/>
  </si>
  <si>
    <t>석사</t>
    <phoneticPr fontId="1" type="noConversion"/>
  </si>
  <si>
    <t>학사</t>
    <phoneticPr fontId="1" type="noConversion"/>
  </si>
  <si>
    <t>대한민국</t>
    <phoneticPr fontId="1" type="noConversion"/>
  </si>
  <si>
    <t>윤원기</t>
    <phoneticPr fontId="1" type="noConversion"/>
  </si>
  <si>
    <t>Duke University</t>
    <phoneticPr fontId="1" type="noConversion"/>
  </si>
  <si>
    <t>MBA</t>
    <phoneticPr fontId="1" type="noConversion"/>
  </si>
  <si>
    <t>미국</t>
    <phoneticPr fontId="1" type="noConversion"/>
  </si>
  <si>
    <t>전기공학</t>
    <phoneticPr fontId="1" type="noConversion"/>
  </si>
  <si>
    <t>광주살레시오고등학교</t>
    <phoneticPr fontId="1" type="noConversion"/>
  </si>
  <si>
    <t>김금동</t>
    <phoneticPr fontId="1" type="noConversion"/>
  </si>
  <si>
    <t>한양대학교</t>
    <phoneticPr fontId="1" type="noConversion"/>
  </si>
  <si>
    <t>산업공학</t>
    <phoneticPr fontId="1" type="noConversion"/>
  </si>
  <si>
    <t>학사</t>
    <phoneticPr fontId="1" type="noConversion"/>
  </si>
  <si>
    <t>성균관대학교</t>
    <phoneticPr fontId="1" type="noConversion"/>
  </si>
  <si>
    <t>경영학/산업심리학</t>
    <phoneticPr fontId="1" type="noConversion"/>
  </si>
  <si>
    <t>일신여자상업고등학교</t>
    <phoneticPr fontId="1" type="noConversion"/>
  </si>
  <si>
    <t>김혜진A</t>
    <phoneticPr fontId="1" type="noConversion"/>
  </si>
  <si>
    <t>김혜진B</t>
    <phoneticPr fontId="1" type="noConversion"/>
  </si>
  <si>
    <t>김혜진A</t>
    <phoneticPr fontId="1" type="noConversion"/>
  </si>
  <si>
    <t>김혜진B</t>
    <phoneticPr fontId="1" type="noConversion"/>
  </si>
  <si>
    <t>경희대학교</t>
    <phoneticPr fontId="1" type="noConversion"/>
  </si>
  <si>
    <t>신문방송/경영학</t>
    <phoneticPr fontId="1" type="noConversion"/>
  </si>
  <si>
    <t>대한민국</t>
    <phoneticPr fontId="1" type="noConversion"/>
  </si>
  <si>
    <t>청주일신여자고등학교</t>
    <phoneticPr fontId="1" type="noConversion"/>
  </si>
  <si>
    <t>윤정현</t>
    <phoneticPr fontId="1" type="noConversion"/>
  </si>
  <si>
    <t>성균관대학교</t>
    <phoneticPr fontId="1" type="noConversion"/>
  </si>
  <si>
    <t>정치외교학</t>
    <phoneticPr fontId="1" type="noConversion"/>
  </si>
  <si>
    <t>윤정현</t>
    <phoneticPr fontId="1" type="noConversion"/>
  </si>
  <si>
    <t>경안고등학교</t>
    <phoneticPr fontId="1" type="noConversion"/>
  </si>
  <si>
    <t>이승환</t>
    <phoneticPr fontId="1" type="noConversion"/>
  </si>
  <si>
    <t>E1</t>
    <phoneticPr fontId="1" type="noConversion"/>
  </si>
  <si>
    <t>투자본부</t>
    <phoneticPr fontId="1" type="noConversion"/>
  </si>
  <si>
    <t>이사</t>
    <phoneticPr fontId="5" type="noConversion"/>
  </si>
  <si>
    <t>PI</t>
    <phoneticPr fontId="1" type="noConversion"/>
  </si>
  <si>
    <t>대리</t>
    <phoneticPr fontId="1" type="noConversion"/>
  </si>
  <si>
    <t>기업금융</t>
    <phoneticPr fontId="1" type="noConversion"/>
  </si>
  <si>
    <t>-</t>
    <phoneticPr fontId="1" type="noConversion"/>
  </si>
  <si>
    <t>사원</t>
    <phoneticPr fontId="1" type="noConversion"/>
  </si>
  <si>
    <t>투자심사</t>
    <phoneticPr fontId="1" type="noConversion"/>
  </si>
  <si>
    <t>자기자본투자</t>
    <phoneticPr fontId="1" type="noConversion"/>
  </si>
  <si>
    <t>기업금융</t>
    <phoneticPr fontId="1" type="noConversion"/>
  </si>
  <si>
    <t>국제영업</t>
    <phoneticPr fontId="1" type="noConversion"/>
  </si>
  <si>
    <t>PI</t>
    <phoneticPr fontId="1" type="noConversion"/>
  </si>
  <si>
    <t>무림P&amp;P</t>
    <phoneticPr fontId="5" type="noConversion"/>
  </si>
  <si>
    <t>티에스엠텍</t>
    <phoneticPr fontId="1" type="noConversion"/>
  </si>
  <si>
    <t>이지바이오</t>
    <phoneticPr fontId="1" type="noConversion"/>
  </si>
  <si>
    <t>애강리메텍</t>
    <phoneticPr fontId="1" type="noConversion"/>
  </si>
  <si>
    <t>시노펙스</t>
    <phoneticPr fontId="1" type="noConversion"/>
  </si>
  <si>
    <t>TSC멤시스</t>
    <phoneticPr fontId="1" type="noConversion"/>
  </si>
  <si>
    <t>알켄즈</t>
    <phoneticPr fontId="1" type="noConversion"/>
  </si>
  <si>
    <t>중국엔진집단</t>
    <phoneticPr fontId="1" type="noConversion"/>
  </si>
  <si>
    <t>아이씨디</t>
    <phoneticPr fontId="1" type="noConversion"/>
  </si>
  <si>
    <t>제지</t>
    <phoneticPr fontId="1" type="noConversion"/>
  </si>
  <si>
    <t>부품소재/기계장비</t>
    <phoneticPr fontId="1" type="noConversion"/>
  </si>
  <si>
    <t>사료 및 첨가제</t>
    <phoneticPr fontId="1" type="noConversion"/>
  </si>
  <si>
    <t>환경자원 재활용 및 배관재</t>
    <phoneticPr fontId="1" type="noConversion"/>
  </si>
  <si>
    <t>터치스크린패널</t>
    <phoneticPr fontId="1" type="noConversion"/>
  </si>
  <si>
    <t>전자/반도체</t>
    <phoneticPr fontId="1" type="noConversion"/>
  </si>
  <si>
    <t>화학소재</t>
    <phoneticPr fontId="1" type="noConversion"/>
  </si>
  <si>
    <t>자동차부품</t>
    <phoneticPr fontId="1" type="noConversion"/>
  </si>
  <si>
    <t>전자/반도체</t>
    <phoneticPr fontId="1" type="noConversion"/>
  </si>
  <si>
    <t>김강민</t>
    <phoneticPr fontId="5" type="noConversion"/>
  </si>
  <si>
    <t>02-6114-5959</t>
    <phoneticPr fontId="5" type="noConversion"/>
  </si>
  <si>
    <t>IMM인베스트먼트㈜</t>
    <phoneticPr fontId="5" type="noConversion"/>
  </si>
  <si>
    <t>KoFC-IMM Pioneer champ 2011-9호 투자조합</t>
  </si>
  <si>
    <t>지누스</t>
    <phoneticPr fontId="1" type="noConversion"/>
  </si>
  <si>
    <t>아시아벤처금융</t>
    <phoneticPr fontId="1" type="noConversion"/>
  </si>
  <si>
    <t>CKD창업투자</t>
    <phoneticPr fontId="1" type="noConversion"/>
  </si>
  <si>
    <t>삼일회계법인</t>
    <phoneticPr fontId="1" type="noConversion"/>
  </si>
  <si>
    <t>대표이사</t>
    <phoneticPr fontId="1" type="noConversion"/>
  </si>
  <si>
    <t>제8본부 GP1</t>
    <phoneticPr fontId="1" type="noConversion"/>
  </si>
  <si>
    <t>투자심사팀</t>
    <phoneticPr fontId="1" type="noConversion"/>
  </si>
  <si>
    <t>팀장</t>
    <phoneticPr fontId="1" type="noConversion"/>
  </si>
  <si>
    <t>심사역</t>
    <phoneticPr fontId="1" type="noConversion"/>
  </si>
  <si>
    <t>회계감사 및 컨설팅</t>
    <phoneticPr fontId="1" type="noConversion"/>
  </si>
  <si>
    <t>회계사</t>
    <phoneticPr fontId="1" type="noConversion"/>
  </si>
  <si>
    <t>윤원기</t>
    <phoneticPr fontId="1" type="noConversion"/>
  </si>
  <si>
    <t>IMM인베스트먼트㈜</t>
    <phoneticPr fontId="5" type="noConversion"/>
  </si>
  <si>
    <t>A.T Kearney</t>
    <phoneticPr fontId="1" type="noConversion"/>
  </si>
  <si>
    <t>다산네트웍스</t>
    <phoneticPr fontId="1" type="noConversion"/>
  </si>
  <si>
    <t>투자본부</t>
  </si>
  <si>
    <t>투자본부</t>
    <phoneticPr fontId="1" type="noConversion"/>
  </si>
  <si>
    <t>이사</t>
    <phoneticPr fontId="1" type="noConversion"/>
  </si>
  <si>
    <t xml:space="preserve"> Associate(컨설턴트)</t>
    <phoneticPr fontId="1" type="noConversion"/>
  </si>
  <si>
    <t>투자심사</t>
    <phoneticPr fontId="1" type="noConversion"/>
  </si>
  <si>
    <t>컨설팅</t>
    <phoneticPr fontId="1" type="noConversion"/>
  </si>
  <si>
    <t>연구원</t>
    <phoneticPr fontId="1" type="noConversion"/>
  </si>
  <si>
    <t>연구본부</t>
    <phoneticPr fontId="1" type="noConversion"/>
  </si>
  <si>
    <t>차장(책임)</t>
    <phoneticPr fontId="1" type="noConversion"/>
  </si>
  <si>
    <t>김금동</t>
    <phoneticPr fontId="1" type="noConversion"/>
  </si>
  <si>
    <t>유안타증권</t>
    <phoneticPr fontId="1" type="noConversion"/>
  </si>
  <si>
    <t>날리지큐브</t>
    <phoneticPr fontId="1" type="noConversion"/>
  </si>
  <si>
    <t>Equity Trading팀</t>
    <phoneticPr fontId="1" type="noConversion"/>
  </si>
  <si>
    <t>솔루션구축팀</t>
    <phoneticPr fontId="1" type="noConversion"/>
  </si>
  <si>
    <t>팀장</t>
    <phoneticPr fontId="1" type="noConversion"/>
  </si>
  <si>
    <t>대리</t>
  </si>
  <si>
    <t>대리</t>
    <phoneticPr fontId="1" type="noConversion"/>
  </si>
  <si>
    <t>사원</t>
    <phoneticPr fontId="1" type="noConversion"/>
  </si>
  <si>
    <t>기업용 포탈 제작 및 프로그래밍</t>
    <phoneticPr fontId="1" type="noConversion"/>
  </si>
  <si>
    <t>국내-해외 주식운용, PI투자</t>
    <phoneticPr fontId="1" type="noConversion"/>
  </si>
  <si>
    <t>김혜진A</t>
    <phoneticPr fontId="1" type="noConversion"/>
  </si>
  <si>
    <t>김영은</t>
    <phoneticPr fontId="1" type="noConversion"/>
  </si>
  <si>
    <t>IMM인베스트먼트㈜</t>
    <phoneticPr fontId="5" type="noConversion"/>
  </si>
  <si>
    <t>헬리오스앤드파트너스㈜</t>
    <phoneticPr fontId="1" type="noConversion"/>
  </si>
  <si>
    <t>트러스톤자산운용㈜</t>
    <phoneticPr fontId="1" type="noConversion"/>
  </si>
  <si>
    <t>대성회계법인</t>
    <phoneticPr fontId="1" type="noConversion"/>
  </si>
  <si>
    <t>RM</t>
  </si>
  <si>
    <t>상무이사</t>
  </si>
  <si>
    <t>관리본부</t>
  </si>
  <si>
    <t>과장</t>
  </si>
  <si>
    <t>회계관리</t>
  </si>
  <si>
    <t>회계관리팀</t>
  </si>
  <si>
    <t>김혜진B</t>
    <phoneticPr fontId="1" type="noConversion"/>
  </si>
  <si>
    <t>윤정현</t>
    <phoneticPr fontId="1" type="noConversion"/>
  </si>
  <si>
    <t>관리본부</t>
    <phoneticPr fontId="1" type="noConversion"/>
  </si>
  <si>
    <t>펀드관리</t>
    <phoneticPr fontId="1" type="noConversion"/>
  </si>
  <si>
    <t>운전자금(모바일 게임)</t>
  </si>
  <si>
    <t>구주(전자부품)</t>
  </si>
  <si>
    <t>운전자금 및 상환(전자부품)</t>
  </si>
  <si>
    <t>설비 및 운전자금(필름제조)</t>
  </si>
  <si>
    <t>운전자금(모바일앱)</t>
  </si>
  <si>
    <t>운전자금(게임개발)</t>
  </si>
  <si>
    <t>구주(평형수처리장치)</t>
  </si>
  <si>
    <t>구주(부동산모바일앱)</t>
  </si>
  <si>
    <t>운전자금(소셜커머스)</t>
  </si>
  <si>
    <t>운전자금 및 지분취득(컨텐츠)</t>
  </si>
  <si>
    <t>구주(앱개발)</t>
  </si>
  <si>
    <t>구주(전자결제)</t>
  </si>
  <si>
    <t>프로젝트(전시회)</t>
  </si>
  <si>
    <t>17.09.15 장부가액</t>
    <phoneticPr fontId="1" type="noConversion"/>
  </si>
  <si>
    <t>Equity Trading팀</t>
    <phoneticPr fontId="1" type="noConversion"/>
  </si>
  <si>
    <t>카카오</t>
    <phoneticPr fontId="1" type="noConversion"/>
  </si>
  <si>
    <t>포스크리에이티브</t>
    <phoneticPr fontId="1" type="noConversion"/>
  </si>
  <si>
    <t>ACBC</t>
    <phoneticPr fontId="1" type="noConversion"/>
  </si>
  <si>
    <t>통신/IT서비스</t>
    <phoneticPr fontId="1" type="noConversion"/>
  </si>
  <si>
    <t>김귀웅</t>
    <phoneticPr fontId="1" type="noConversion"/>
  </si>
  <si>
    <t>010-2265-2498</t>
    <phoneticPr fontId="1" type="noConversion"/>
  </si>
  <si>
    <t>치과용 의료기기</t>
    <phoneticPr fontId="1" type="noConversion"/>
  </si>
  <si>
    <t>혈당특정기, 혈액분석기</t>
    <phoneticPr fontId="1" type="noConversion"/>
  </si>
  <si>
    <t>구주(치과용 의료기기)</t>
    <phoneticPr fontId="1" type="noConversion"/>
  </si>
  <si>
    <t>구주(혈액분석기</t>
    <phoneticPr fontId="1" type="noConversion"/>
  </si>
  <si>
    <t>디스플레이 검사장비</t>
    <phoneticPr fontId="1" type="noConversion"/>
  </si>
  <si>
    <t>구주(디스플레이 검사장비)</t>
    <phoneticPr fontId="1" type="noConversion"/>
  </si>
  <si>
    <t>자동차엔진부품</t>
    <phoneticPr fontId="1" type="noConversion"/>
  </si>
  <si>
    <t>구주(자동차엔진부품)</t>
    <phoneticPr fontId="1" type="noConversion"/>
  </si>
  <si>
    <t>산업용계측기</t>
    <phoneticPr fontId="1" type="noConversion"/>
  </si>
  <si>
    <t>구주투자(모바일앱)</t>
    <phoneticPr fontId="1" type="noConversion"/>
  </si>
  <si>
    <t>운전자금(산업용계측기)</t>
    <phoneticPr fontId="1" type="noConversion"/>
  </si>
  <si>
    <t>전자모듈,정션박스</t>
    <phoneticPr fontId="1" type="noConversion"/>
  </si>
  <si>
    <t>구주(전자모듈,정션박스)</t>
    <phoneticPr fontId="1" type="noConversion"/>
  </si>
  <si>
    <t>심폐소생기, 플라즈마 멸균기)</t>
    <phoneticPr fontId="1" type="noConversion"/>
  </si>
  <si>
    <t>운전자금(심폐소생기, 플라즈마 멸균기)</t>
    <phoneticPr fontId="1" type="noConversion"/>
  </si>
  <si>
    <t>기초유기화학물질 제조</t>
    <phoneticPr fontId="1" type="noConversion"/>
  </si>
  <si>
    <t>시설투자(산업용 효소 개발/제조)</t>
    <phoneticPr fontId="1" type="noConversion"/>
  </si>
  <si>
    <t>적외선센서, 엑스레이센서</t>
    <phoneticPr fontId="1" type="noConversion"/>
  </si>
  <si>
    <t>구주(검사장비)</t>
    <phoneticPr fontId="1" type="noConversion"/>
  </si>
  <si>
    <t>구주(산화아연, 아연말, 아연플레이크)</t>
    <phoneticPr fontId="1" type="noConversion"/>
  </si>
  <si>
    <t>산화아연, 아연말, 아연플레이크</t>
    <phoneticPr fontId="1" type="noConversion"/>
  </si>
  <si>
    <t>스마트 카드, 단말기 test</t>
    <phoneticPr fontId="1" type="noConversion"/>
  </si>
  <si>
    <t>시설투자 및 운용자금(스마트카드, 단말기 test)</t>
    <phoneticPr fontId="1" type="noConversion"/>
  </si>
  <si>
    <t>항암 항체치료제 연구개발</t>
    <phoneticPr fontId="1" type="noConversion"/>
  </si>
  <si>
    <t>구주(항암 항체치료제 연구개발)</t>
    <phoneticPr fontId="1" type="noConversion"/>
  </si>
  <si>
    <t>한식프랜차이즈</t>
    <phoneticPr fontId="1" type="noConversion"/>
  </si>
  <si>
    <t>구주(한식프랜차이즈)</t>
    <phoneticPr fontId="1" type="noConversion"/>
  </si>
  <si>
    <t>유전자치료제</t>
    <phoneticPr fontId="1" type="noConversion"/>
  </si>
  <si>
    <t>구주(유전자치료제)</t>
    <phoneticPr fontId="1" type="noConversion"/>
  </si>
  <si>
    <t>운전자금(유전자치료제)</t>
    <phoneticPr fontId="1" type="noConversion"/>
  </si>
  <si>
    <t>시설투자 및 운용자금(유전자검사서비스)</t>
    <phoneticPr fontId="1" type="noConversion"/>
  </si>
  <si>
    <t>유전자검사서비스</t>
    <phoneticPr fontId="1" type="noConversion"/>
  </si>
  <si>
    <t>게임개발 및 서비스</t>
    <phoneticPr fontId="1" type="noConversion"/>
  </si>
  <si>
    <t>구주(게임개발 및 서비스)</t>
    <phoneticPr fontId="1" type="noConversion"/>
  </si>
  <si>
    <t>투명교정기기</t>
    <phoneticPr fontId="1" type="noConversion"/>
  </si>
  <si>
    <t>운전자금 및 시설투자(투명교정기기)</t>
    <phoneticPr fontId="1" type="noConversion"/>
  </si>
  <si>
    <t>화장품 제조, 판매</t>
    <phoneticPr fontId="1" type="noConversion"/>
  </si>
  <si>
    <t>구주(화장품 제조, 판매)</t>
    <phoneticPr fontId="1" type="noConversion"/>
  </si>
  <si>
    <t>해상용 위성통신 안테나</t>
    <phoneticPr fontId="1" type="noConversion"/>
  </si>
  <si>
    <t>구주(해상용 위성통신 안테나)</t>
    <phoneticPr fontId="1" type="noConversion"/>
  </si>
  <si>
    <t>의약품 제조, 판매</t>
    <phoneticPr fontId="1" type="noConversion"/>
  </si>
  <si>
    <t>구주(의약품 제조, 판매)</t>
    <phoneticPr fontId="1" type="noConversion"/>
  </si>
  <si>
    <t>모바일 게임 개발</t>
    <phoneticPr fontId="1" type="noConversion"/>
  </si>
  <si>
    <t>구주(모바일 게임 개발)</t>
    <phoneticPr fontId="1" type="noConversion"/>
  </si>
  <si>
    <t>침구류 제조 및 판매</t>
    <phoneticPr fontId="1" type="noConversion"/>
  </si>
  <si>
    <t>구주(침구류 제조 및 판매)</t>
    <phoneticPr fontId="1" type="noConversion"/>
  </si>
  <si>
    <t>공기조화장치 제조</t>
    <phoneticPr fontId="1" type="noConversion"/>
  </si>
  <si>
    <t>구주(공기조화장치제조)</t>
    <phoneticPr fontId="1" type="noConversion"/>
  </si>
  <si>
    <t>빅데이터, 보안/국방 IT</t>
    <phoneticPr fontId="1" type="noConversion"/>
  </si>
  <si>
    <t>구주(빅데이터, 보안/국방 IT)</t>
    <phoneticPr fontId="1" type="noConversion"/>
  </si>
  <si>
    <t>생물학제재연구개발</t>
    <phoneticPr fontId="1" type="noConversion"/>
  </si>
  <si>
    <t>운전자금(생물학제재연구개발)</t>
    <phoneticPr fontId="1" type="noConversion"/>
  </si>
  <si>
    <t>구주(산업용계측기)</t>
    <phoneticPr fontId="1" type="noConversion"/>
  </si>
  <si>
    <t>군인공제회</t>
    <phoneticPr fontId="1" type="noConversion"/>
  </si>
  <si>
    <t>17.09.14 코스닥상장</t>
    <phoneticPr fontId="1" type="noConversion"/>
  </si>
  <si>
    <t>감액</t>
    <phoneticPr fontId="1" type="noConversion"/>
  </si>
  <si>
    <t>코스닥, 배당</t>
  </si>
  <si>
    <t>코스닥, 배당</t>
    <phoneticPr fontId="1" type="noConversion"/>
  </si>
  <si>
    <t>145,000주*4,040원(17.09.15 종가기준) 및 17.09.15 장부가</t>
    <phoneticPr fontId="1" type="noConversion"/>
  </si>
  <si>
    <t>48,000주*4,040원(17.09.15 종가기준) 및 17.09.15 장부가</t>
    <phoneticPr fontId="1" type="noConversion"/>
  </si>
  <si>
    <t>50,000주*4,040원(17.09.15 종가기준) 및 17.09.15 장부가</t>
    <phoneticPr fontId="1" type="noConversion"/>
  </si>
  <si>
    <t>110111-1735426</t>
  </si>
  <si>
    <t>IMM인베스트먼트㈜</t>
    <phoneticPr fontId="1" type="noConversion"/>
  </si>
  <si>
    <t>기준수익률(7%) 초과수익의 20%, 수익률 15% 초과시 30%</t>
    <phoneticPr fontId="1" type="noConversion"/>
  </si>
  <si>
    <t>결성일로부터 2년이내: 약정총액의 2.0%, 결성일로부터 2년이후: 투자잔액의 2.0%</t>
    <phoneticPr fontId="1" type="noConversion"/>
  </si>
  <si>
    <t>윤원기</t>
    <phoneticPr fontId="1" type="noConversion"/>
  </si>
  <si>
    <t>IMM인베스트먼트㈜</t>
    <phoneticPr fontId="1" type="noConversion"/>
  </si>
  <si>
    <t>010-4150-6539</t>
    <phoneticPr fontId="1" type="noConversion"/>
  </si>
  <si>
    <t>이지형</t>
  </si>
  <si>
    <t>이근승</t>
  </si>
  <si>
    <t>정기성</t>
  </si>
  <si>
    <t>각자 대표이사</t>
  </si>
  <si>
    <t>김지훈</t>
  </si>
  <si>
    <t>총괄</t>
    <phoneticPr fontId="1" type="noConversion"/>
  </si>
  <si>
    <t>IMM 세컨더리 벤처펀드 제3호</t>
    <phoneticPr fontId="1" type="noConversion"/>
  </si>
  <si>
    <t>해당사항 없음</t>
    <phoneticPr fontId="1" type="noConversion"/>
  </si>
  <si>
    <t>해당사항 없음</t>
    <phoneticPr fontId="1" type="noConversion"/>
  </si>
  <si>
    <t>아이엠엠인베스트먼트㈜</t>
    <phoneticPr fontId="1" type="noConversion"/>
  </si>
  <si>
    <t>네오플럭스 Market-Frontier 세컨더리펀드</t>
    <phoneticPr fontId="1" type="noConversion"/>
  </si>
  <si>
    <t>애큐온캐피탈</t>
    <phoneticPr fontId="1" type="noConversion"/>
  </si>
  <si>
    <t>KB증권</t>
    <phoneticPr fontId="1" type="noConversion"/>
  </si>
  <si>
    <t>한국모태펀드</t>
    <phoneticPr fontId="1" type="noConversion"/>
  </si>
  <si>
    <t>배틀엔터테인먼트</t>
    <phoneticPr fontId="1" type="noConversion"/>
  </si>
  <si>
    <t>엠에프씨</t>
    <phoneticPr fontId="1" type="noConversion"/>
  </si>
  <si>
    <t>에스브이인베스트먼트</t>
  </si>
  <si>
    <t>솔본인베스트먼트</t>
  </si>
  <si>
    <t>미시간벤처캐피탈</t>
  </si>
  <si>
    <t>아시아벤처금융</t>
  </si>
  <si>
    <t>SK유통</t>
  </si>
  <si>
    <t>기타기관</t>
    <phoneticPr fontId="1" type="noConversion"/>
  </si>
  <si>
    <t>Compliance</t>
  </si>
  <si>
    <t>기획관리본부</t>
  </si>
  <si>
    <t>팀장</t>
  </si>
  <si>
    <t>기획관리/RM</t>
  </si>
  <si>
    <t>기획관리</t>
  </si>
  <si>
    <t>경영기획팀</t>
  </si>
  <si>
    <t>경영지원팀</t>
  </si>
  <si>
    <t>사원</t>
  </si>
  <si>
    <t>재무팀</t>
  </si>
  <si>
    <t>재무관리</t>
  </si>
  <si>
    <t>이사</t>
    <phoneticPr fontId="1" type="noConversion"/>
  </si>
  <si>
    <t>한국벤처캐피탈협회</t>
  </si>
  <si>
    <t>팀장</t>
    <phoneticPr fontId="1" type="noConversion"/>
  </si>
  <si>
    <t>조합관리</t>
    <phoneticPr fontId="1" type="noConversion"/>
  </si>
  <si>
    <t>투자정보센터</t>
    <phoneticPr fontId="1" type="noConversion"/>
  </si>
  <si>
    <t>대리</t>
    <phoneticPr fontId="1" type="noConversion"/>
  </si>
  <si>
    <t>정보분석</t>
    <phoneticPr fontId="1" type="noConversion"/>
  </si>
  <si>
    <t>정지윤</t>
    <phoneticPr fontId="1" type="noConversion"/>
  </si>
  <si>
    <t>정지윤</t>
    <phoneticPr fontId="1" type="noConversion"/>
  </si>
  <si>
    <t>대한민국</t>
    <phoneticPr fontId="1" type="noConversion"/>
  </si>
  <si>
    <t>02-2112-1794</t>
    <phoneticPr fontId="1" type="noConversion"/>
  </si>
  <si>
    <t>010-2664-8385</t>
    <phoneticPr fontId="1" type="noConversion"/>
  </si>
  <si>
    <t>jiyunjung@imm.co.kr</t>
    <phoneticPr fontId="1" type="noConversion"/>
  </si>
  <si>
    <t>미래에셋대우㈜</t>
    <phoneticPr fontId="1" type="noConversion"/>
  </si>
  <si>
    <t>법무실</t>
    <phoneticPr fontId="1" type="noConversion"/>
  </si>
  <si>
    <t>변호사</t>
    <phoneticPr fontId="1" type="noConversion"/>
  </si>
  <si>
    <t>NO</t>
    <phoneticPr fontId="1" type="noConversion"/>
  </si>
  <si>
    <t>해당사항 없음</t>
    <phoneticPr fontId="1" type="noConversion"/>
  </si>
  <si>
    <t>청산시</t>
    <phoneticPr fontId="1" type="noConversion"/>
  </si>
  <si>
    <t>청산시</t>
    <phoneticPr fontId="1" type="noConversion"/>
  </si>
  <si>
    <t>법률지원</t>
    <phoneticPr fontId="1" type="noConversion"/>
  </si>
  <si>
    <t>세컨더리펀드 운용</t>
    <phoneticPr fontId="1" type="noConversion"/>
  </si>
  <si>
    <t>California School</t>
    <phoneticPr fontId="1" type="noConversion"/>
  </si>
  <si>
    <t>경주고등학교</t>
    <phoneticPr fontId="1" type="noConversion"/>
  </si>
  <si>
    <t>120,000주*14,300원(17.09.15 종가기준)</t>
    <phoneticPr fontId="1" type="noConversion"/>
  </si>
  <si>
    <t>김영은</t>
  </si>
  <si>
    <t>죽산상업고등학교</t>
  </si>
  <si>
    <t>정지윤</t>
  </si>
  <si>
    <t>서울대학교</t>
  </si>
  <si>
    <t>중앙대학교사범대학부속고등학교</t>
  </si>
  <si>
    <t>고려대학교</t>
  </si>
  <si>
    <t>법학과</t>
  </si>
  <si>
    <t>상사법(금융규제법)</t>
  </si>
  <si>
    <t>박사(수료)</t>
  </si>
  <si>
    <t>법학전문대학원</t>
  </si>
  <si>
    <t>전문석사</t>
  </si>
  <si>
    <t>2010 KIF-IMM IT 전문투자조합</t>
    <phoneticPr fontId="1" type="noConversion"/>
  </si>
  <si>
    <t>2014 IMM ICT 벤처펀드</t>
    <phoneticPr fontId="1" type="noConversion"/>
  </si>
  <si>
    <t>케이비증권</t>
  </si>
  <si>
    <t>케이비증권</t>
    <phoneticPr fontId="1" type="noConversion"/>
  </si>
  <si>
    <t>15..8%</t>
    <phoneticPr fontId="1" type="noConversion"/>
  </si>
  <si>
    <t>IMM인프라 사모투자전문회사</t>
  </si>
  <si>
    <t>PE펀드</t>
  </si>
  <si>
    <t>220-88-60032</t>
  </si>
  <si>
    <t>설립시부터 5년까지 납입출자금잔액의 0.6%, 5년이후 0.5%</t>
  </si>
  <si>
    <t>웰랑(구.디엠비테크놀로지)</t>
    <phoneticPr fontId="1" type="noConversion"/>
  </si>
  <si>
    <t>IMM인프라제2호 사모투자전문회사</t>
  </si>
  <si>
    <t>220-88-69770</t>
  </si>
  <si>
    <t>초과수익의 10%~20%</t>
  </si>
  <si>
    <t>투자잔액의 0.9%</t>
  </si>
  <si>
    <t>IMM인프라제3호 사모투자전문회사</t>
  </si>
  <si>
    <t>220-88-69784</t>
  </si>
  <si>
    <t>출자금잔액의 0.9%</t>
  </si>
  <si>
    <t>조재용</t>
  </si>
  <si>
    <t>새마을금고중앙회</t>
  </si>
  <si>
    <t>한국증권금융</t>
  </si>
  <si>
    <t>South Korea Port Investment Pte Ltd</t>
  </si>
  <si>
    <t>IMM인프라제4호 사모투자전문회사</t>
  </si>
  <si>
    <t>220-88-81041</t>
  </si>
  <si>
    <t>출자금잔액 1.0%</t>
  </si>
  <si>
    <t>케이비증권㈜</t>
  </si>
  <si>
    <t>IMM인프라제5호 사모투자전문회사</t>
  </si>
  <si>
    <t>220-88-90822</t>
  </si>
  <si>
    <t>초과수익의 15%</t>
  </si>
  <si>
    <t>투자잔액의 0.8%</t>
  </si>
  <si>
    <t>변재철</t>
  </si>
  <si>
    <t>화인파트너스</t>
  </si>
  <si>
    <t>에트라 사모투자합자회사</t>
  </si>
  <si>
    <t>708-87-00333</t>
  </si>
  <si>
    <t>제1종 유한책임사원의 미화출자금에 대한 투자잔액의 연 0.2%에 해당하는 금액과 후순위사원의 미화출자금에 대한 투자잔액의 연 0.60%</t>
  </si>
  <si>
    <t>한국캐피탈㈜</t>
  </si>
  <si>
    <t>IMM인프라제6호 사모투자합자회사</t>
  </si>
  <si>
    <t>469-86-00315</t>
  </si>
  <si>
    <t>티에프에이아이제일차</t>
  </si>
  <si>
    <t>현대해상화재보험㈜</t>
  </si>
  <si>
    <t>IMM인베스트먼트4호 사모투자합자회사</t>
  </si>
  <si>
    <t>802-88-00608</t>
  </si>
  <si>
    <t>초과수익의 12%(1종사원)</t>
  </si>
  <si>
    <t>1종 납입출자금의 0.6%
2종 납입출자금의 0.2%</t>
  </si>
  <si>
    <t>하동협</t>
  </si>
  <si>
    <t>해라즈인베스터</t>
  </si>
  <si>
    <t>정몽익</t>
  </si>
  <si>
    <t>에트라제2호 사모투자합자회사</t>
  </si>
  <si>
    <t>389-81-00687</t>
  </si>
  <si>
    <t>해당사항없음</t>
  </si>
  <si>
    <t>납입출자금의 0.4%</t>
  </si>
  <si>
    <t>학교법인 포항공과대학교</t>
  </si>
  <si>
    <t>포항공과대학교</t>
  </si>
  <si>
    <t>에코리아 사모투자합자회사</t>
  </si>
  <si>
    <t>221-81-49351</t>
  </si>
  <si>
    <t>투자잔액의 0.7%(신탁 제외)
투자잔액의 0.55%(신탁의경우)</t>
  </si>
  <si>
    <t>김병헌</t>
  </si>
  <si>
    <t>김호경</t>
  </si>
  <si>
    <t>고용노동부고용보험기금</t>
  </si>
  <si>
    <t>IMM인베스트먼트1호사모투자전문회사</t>
  </si>
  <si>
    <t>220-87-82489</t>
  </si>
  <si>
    <t>출자이행금액의 1.6%</t>
  </si>
  <si>
    <t>흥국하이클래스증권사모신탁(채권]</t>
  </si>
  <si>
    <t>흥국하이클래스 증권사모신탁[PEF지분]</t>
  </si>
  <si>
    <t>페트라 사모투자전문회사</t>
  </si>
  <si>
    <t>220-87-91125</t>
  </si>
  <si>
    <t>출자이행금액의 2%</t>
  </si>
  <si>
    <t>트러스트인베스트먼트</t>
  </si>
  <si>
    <t>IMM인베스트먼트2호 사모투자전문회사</t>
  </si>
  <si>
    <t>220-88-05010</t>
  </si>
  <si>
    <t>설립시부터 2.5년까지 납입출자금의 2%, 2.5년이후 투자잔액의 2.3%</t>
  </si>
  <si>
    <t>김형준</t>
  </si>
  <si>
    <t>오상훈</t>
  </si>
  <si>
    <t>오주석</t>
  </si>
  <si>
    <t>오민석</t>
  </si>
  <si>
    <t>페트라2호 사모투자전문회사</t>
  </si>
  <si>
    <t>220-88-09239</t>
  </si>
  <si>
    <t>KB손해보험</t>
  </si>
  <si>
    <t>IMM인베스트먼트3호 사모투자전문회사</t>
  </si>
  <si>
    <t>220-88-28411</t>
  </si>
  <si>
    <t>투자잔액의 1.6%</t>
  </si>
  <si>
    <t>산은캐피탈</t>
  </si>
  <si>
    <t>IMM코퍼릿파트너쉽제1호 사모투자전문회사</t>
  </si>
  <si>
    <t>220-88-37244</t>
  </si>
  <si>
    <t>초과수익의 10%</t>
  </si>
  <si>
    <t>금융위 등록일부터 2년까지 출자약정액의 0.5%, 2년이후 투자잔액 3천억까지 1.0% &amp; 3천억 초과 0.8%</t>
  </si>
  <si>
    <t>IMM프라이빗에쿼티</t>
  </si>
  <si>
    <t>페트라3호 사모투자전문회사</t>
  </si>
  <si>
    <t>220-88-96976</t>
  </si>
  <si>
    <t>티알인베스트먼트㈜</t>
  </si>
  <si>
    <t>대한예장총회 연금재단</t>
  </si>
  <si>
    <t>페트라4호 사모투자전문회사</t>
  </si>
  <si>
    <t>318-86-00040</t>
  </si>
  <si>
    <t>㈜셀트리온지에스씨</t>
  </si>
  <si>
    <t>페트라5호 사모투자전문회사</t>
  </si>
  <si>
    <t>817-87-00116</t>
  </si>
  <si>
    <t>페트라6호 사모투자합자회사</t>
  </si>
  <si>
    <t>249-87-00455</t>
  </si>
  <si>
    <t>메자닌</t>
  </si>
  <si>
    <t>투자잔액의 1.0%</t>
  </si>
  <si>
    <t>페트라6의1호 사모투자합자회사</t>
  </si>
  <si>
    <t>118-88-00497</t>
  </si>
  <si>
    <t>M&amp;/A, 중소중견</t>
  </si>
  <si>
    <t>프리머스아이비(유)</t>
  </si>
  <si>
    <t>IMM인베스트먼트5호 사모투자합자회사</t>
  </si>
  <si>
    <t>142-88-00734</t>
  </si>
  <si>
    <t>이호</t>
  </si>
  <si>
    <t>백세현</t>
  </si>
  <si>
    <t>이경란</t>
  </si>
  <si>
    <t>셀트리온헬스케어</t>
  </si>
  <si>
    <t>유통/서비스</t>
  </si>
  <si>
    <t>정일부이종석</t>
  </si>
  <si>
    <t>장동우정일부이종석</t>
  </si>
  <si>
    <t>주식매수옵션포함</t>
  </si>
  <si>
    <t>노벨리스코리아</t>
  </si>
  <si>
    <t>알루미늄캔제조</t>
  </si>
  <si>
    <t>정일부윤영준</t>
  </si>
  <si>
    <t>장동우정일부윤영준</t>
  </si>
  <si>
    <t>케이론(유)를 통해 투자</t>
  </si>
  <si>
    <t>이원컴포텍</t>
  </si>
  <si>
    <t>자동차시트제조</t>
  </si>
  <si>
    <t>장동우이관훈</t>
  </si>
  <si>
    <t>이관훈김형준오민규</t>
  </si>
  <si>
    <t>장동우오민규</t>
  </si>
  <si>
    <t>산업용장갑제조</t>
  </si>
  <si>
    <t>장동우이관훈오민규</t>
  </si>
  <si>
    <t>2차전지</t>
  </si>
  <si>
    <t>배당금</t>
  </si>
  <si>
    <t>스피쿠스</t>
  </si>
  <si>
    <t>온라인교육</t>
  </si>
  <si>
    <t>셀트리온GSC</t>
  </si>
  <si>
    <t>셀트리온홀딩스</t>
  </si>
  <si>
    <t>17.9.15 셀트리온헬스케어 시가평가 반영한 SPC NAV</t>
  </si>
  <si>
    <t>셀트리온헬스케어 CB 보통주 전환/이자</t>
  </si>
  <si>
    <t>기타/바이오/의료</t>
  </si>
  <si>
    <t xml:space="preserve">페로즈(유)를 통해 셀트리온홀딩스 CB,RCPS투자/RCPS 상환 및 CB이자 </t>
  </si>
  <si>
    <t>GS Inima</t>
  </si>
  <si>
    <t>담수플랜트</t>
  </si>
  <si>
    <t>송인준임원진</t>
  </si>
  <si>
    <t>코파이니마(유)를 통해 보통주투자/유상감자</t>
  </si>
  <si>
    <t>한진부산컨테이너터미널</t>
  </si>
  <si>
    <t>항만터미널운영</t>
  </si>
  <si>
    <t>장동우김상명</t>
  </si>
  <si>
    <t>조재용나성민</t>
  </si>
  <si>
    <t>펠리샤(유)를통해 CPS,BW 투자/배당,BW이자</t>
  </si>
  <si>
    <t>현대부산신항만</t>
  </si>
  <si>
    <t>김상명나성민</t>
  </si>
  <si>
    <t>장동우나성민</t>
  </si>
  <si>
    <t>와스카(유)를 통해 CPS,BW 투자/배당 BW이자</t>
  </si>
  <si>
    <t>Crianza Aviation Ltd.</t>
  </si>
  <si>
    <t>항공기 운용리스</t>
  </si>
  <si>
    <t>투자원금(외화투자)</t>
  </si>
  <si>
    <t>백진흠하동협</t>
  </si>
  <si>
    <t>강동냉장</t>
  </si>
  <si>
    <t>창고업</t>
  </si>
  <si>
    <t>㈜브루넬을 통해 강동냉장 보통주 투자</t>
  </si>
  <si>
    <t>셀트리온제약</t>
  </si>
  <si>
    <t>장동우변재철</t>
  </si>
  <si>
    <t>변재철구재윤백진흠</t>
  </si>
  <si>
    <t>장동우변재철구재윤백진흠</t>
  </si>
  <si>
    <t>셀트리온헬스케어 BW, CB 보통주 전환/이자</t>
  </si>
  <si>
    <t>장동우백진흠</t>
  </si>
  <si>
    <t>파쿤도(주)를 통해 EB투자, EB보통주 전환</t>
  </si>
  <si>
    <t>셀트리온스킨큐어</t>
  </si>
  <si>
    <t>장동우구재윤변재철이알음</t>
  </si>
  <si>
    <t>구재윤이알음</t>
  </si>
  <si>
    <t>구엘(유)를 통해 셀트리온스킨큐어 CB 투자/이자</t>
  </si>
  <si>
    <t>케이옥션</t>
  </si>
  <si>
    <t>미술품 경매</t>
  </si>
  <si>
    <t>카베자(유)를 통해 케이옥션 RCPS 투자/배당</t>
  </si>
  <si>
    <t>장동우백진흠하동협정지윤</t>
  </si>
  <si>
    <t>메티스원(유)를 통해 Crianza Aviation RCPS 투자/배당</t>
  </si>
  <si>
    <t>에코매니지먼트코리아홀딩스</t>
  </si>
  <si>
    <t>폐기물처리</t>
  </si>
  <si>
    <t>장동우하동협김병헌백진흠변재철</t>
  </si>
  <si>
    <t>하동협김병헌변재철백진흠</t>
  </si>
  <si>
    <t>카보드㈜를 통해 EMKH 보통주, RCPS 투자</t>
  </si>
  <si>
    <t>경영 컨설팅</t>
  </si>
  <si>
    <t>장동우지성배</t>
  </si>
  <si>
    <t>이펫(유)를 통해 비너스원㈜ RCPS에 투자, 비너스원㈜는 리프앤바인 보통주 투자</t>
  </si>
  <si>
    <t>Petrini Ltd.</t>
  </si>
  <si>
    <t>백진흠변재철</t>
  </si>
  <si>
    <t>피에스에이현대부산신항만</t>
  </si>
  <si>
    <t>장동우조재용</t>
  </si>
  <si>
    <t>조재용나성민하동협</t>
  </si>
  <si>
    <t>와스카(유)를 통해 PS,BW 투자/배당, BW이자</t>
  </si>
  <si>
    <t>Petrini 2 Ltd.</t>
  </si>
  <si>
    <t>김병헌변재철하동협백진흠</t>
  </si>
  <si>
    <t>운전자금(미술품경매)</t>
  </si>
  <si>
    <t>카베자(유)를 통해 케이옥션 RCPS 투자</t>
  </si>
  <si>
    <t>02-2112-1764</t>
  </si>
  <si>
    <t>경영컨설팅</t>
  </si>
  <si>
    <t>운전자금(경영컨설팅)</t>
  </si>
  <si>
    <t>청산시</t>
  </si>
  <si>
    <t>신규선임(핵심운용인력)</t>
  </si>
  <si>
    <t>청산일 현재</t>
  </si>
  <si>
    <t>핵심운용인력 변경</t>
  </si>
  <si>
    <t>변경선임</t>
  </si>
  <si>
    <t>현대LNG해운</t>
  </si>
  <si>
    <t>LNG해운</t>
  </si>
  <si>
    <t>아이기스원(주)를 통해 CPS,RCPS투자/배당</t>
  </si>
  <si>
    <t>인천종합에너지㈜</t>
  </si>
  <si>
    <t>에너지</t>
  </si>
  <si>
    <t>변재철백진흠</t>
  </si>
  <si>
    <t>게르부아(유)를 통해 보통주 투자</t>
  </si>
  <si>
    <t>충남도시가스</t>
  </si>
  <si>
    <t>에트루리(유)를 통해 전환우선주 투자</t>
  </si>
  <si>
    <t>부산신항국제터미널</t>
  </si>
  <si>
    <t>베수비오(유)를 통해 보통주 투자</t>
  </si>
  <si>
    <t>DS파워</t>
  </si>
  <si>
    <t>에스메랄다㈜를 통해 매도인 계약금 지급</t>
  </si>
  <si>
    <t>17.09.15 장부가액</t>
    <phoneticPr fontId="1" type="noConversion"/>
  </si>
  <si>
    <t>IMM인베스트먼트2호 사모투자전문회사</t>
    <phoneticPr fontId="1" type="noConversion"/>
  </si>
  <si>
    <t>에코리아 사모투자합자회사</t>
    <phoneticPr fontId="5" type="noConversion"/>
  </si>
  <si>
    <t xml:space="preserve">PE실 </t>
    <phoneticPr fontId="5" type="noConversion"/>
  </si>
  <si>
    <t>송준식 차장</t>
    <phoneticPr fontId="5" type="noConversion"/>
  </si>
  <si>
    <t>공동업무집행사원</t>
    <phoneticPr fontId="5" type="noConversion"/>
  </si>
  <si>
    <t>현대상선LNG 사업부 인수 금융주선 제안</t>
  </si>
  <si>
    <t>인수합병부</t>
  </si>
  <si>
    <t>신영태 과장</t>
  </si>
  <si>
    <t>현대상선 LNG 사업부 인수관련 주관사</t>
  </si>
  <si>
    <t>기업금융5부</t>
  </si>
  <si>
    <t>서경원 과장</t>
  </si>
  <si>
    <t>현대상선 LNG 사업부 인수관련 대리은행 겸 담보관리은행</t>
  </si>
  <si>
    <t>간접투자금융실 간접투자 5팀</t>
  </si>
  <si>
    <t>남우진 차장</t>
  </si>
  <si>
    <t>출자</t>
  </si>
  <si>
    <t>구재윤윤원기전형순김상명</t>
    <phoneticPr fontId="1" type="noConversion"/>
  </si>
  <si>
    <t>KoFC-IMM Pioneer Champ 2010-17호 투자조합</t>
    <phoneticPr fontId="1" type="noConversion"/>
  </si>
  <si>
    <t>구주(OLED생산 장비 제조)</t>
    <phoneticPr fontId="1" type="noConversion"/>
  </si>
  <si>
    <t>사업모델 확충 자금 확보(분체도료용 수지 및 기능성소재 생산)</t>
    <phoneticPr fontId="1" type="noConversion"/>
  </si>
  <si>
    <t>운전자금(모바일부품 및 친환경포장재, 고성능필터 등을 생산, 판매)</t>
    <phoneticPr fontId="1" type="noConversion"/>
  </si>
  <si>
    <t>타사 인수자금 확보(배관재 제조 및 판매)</t>
    <phoneticPr fontId="1" type="noConversion"/>
  </si>
  <si>
    <t>설비 및 운전자금(배합사료 및 첨가제, 양돈사육 및 도축제품)</t>
    <phoneticPr fontId="1" type="noConversion"/>
  </si>
  <si>
    <t>설비 및 운전자금(엔지니어링 및 산업용 장치·부품 제조)</t>
    <phoneticPr fontId="1" type="noConversion"/>
  </si>
  <si>
    <t>신규 사업확대(자동차용 기어/모터사이클 및 제초기 생산)</t>
    <phoneticPr fontId="1" type="noConversion"/>
  </si>
  <si>
    <t>대주주 지분 확대 및 운용자금 확보(반도체용 검사장비 제조)</t>
    <phoneticPr fontId="1" type="noConversion"/>
  </si>
  <si>
    <t>개발 및 운전자금(게임개발)</t>
    <phoneticPr fontId="1" type="noConversion"/>
  </si>
  <si>
    <t>구주투자(애니메이션 제작)</t>
    <phoneticPr fontId="1" type="noConversion"/>
  </si>
  <si>
    <t>김혜진</t>
    <phoneticPr fontId="1" type="noConversion"/>
  </si>
  <si>
    <t>02-2112-1811</t>
    <phoneticPr fontId="1" type="noConversion"/>
  </si>
  <si>
    <t>아이엠엠인베스트먼트㈜</t>
    <phoneticPr fontId="1" type="noConversion"/>
  </si>
  <si>
    <t>IMM14호기업구조조정조합</t>
  </si>
  <si>
    <t>기타 주식등 투자펀드</t>
  </si>
  <si>
    <t>220-80-05616</t>
  </si>
  <si>
    <t>구조조정기업</t>
  </si>
  <si>
    <t>출자총액의 2%</t>
  </si>
  <si>
    <t>IMM15호기업구조조정조합</t>
  </si>
  <si>
    <t>220-80-05620</t>
  </si>
  <si>
    <t>장은진</t>
  </si>
  <si>
    <t>조명호</t>
  </si>
  <si>
    <t>씨앤비인터내셔날</t>
  </si>
  <si>
    <t>IMM16호기업구조조정조합</t>
  </si>
  <si>
    <t>220-80-05955</t>
  </si>
  <si>
    <t>국민연금07-2IMM13호기업구조조정조합</t>
  </si>
  <si>
    <t>220-80-05407</t>
  </si>
  <si>
    <t>투자자액의 2%</t>
  </si>
  <si>
    <t>영화엔지니어링</t>
  </si>
  <si>
    <t>제조</t>
  </si>
  <si>
    <t>김영호</t>
  </si>
  <si>
    <t>김영호임원진</t>
  </si>
  <si>
    <t>시피유</t>
  </si>
  <si>
    <t>코리아퍼브릭</t>
  </si>
  <si>
    <t>장동우홍준표</t>
  </si>
  <si>
    <t>홍준표이종석</t>
  </si>
  <si>
    <t>장동우이종석</t>
  </si>
  <si>
    <t>정일부김상명윤원기</t>
  </si>
  <si>
    <t>BW이자,배당</t>
  </si>
  <si>
    <t>스피쿠스랩</t>
  </si>
  <si>
    <t>골프장운영업</t>
  </si>
  <si>
    <t>온라인게임</t>
  </si>
  <si>
    <t>자동차와이퍼제조</t>
  </si>
  <si>
    <t>220,296주*47,150원(17.09.15 종가기준)</t>
  </si>
  <si>
    <t>부강엔지니어링</t>
  </si>
  <si>
    <t>IMM인베스트먼트1호사모투자전문회사</t>
    <phoneticPr fontId="1" type="noConversion"/>
  </si>
  <si>
    <t>(유)아이엠엠</t>
    <phoneticPr fontId="1" type="noConversion"/>
  </si>
  <si>
    <t>세컨더리 투자</t>
    <phoneticPr fontId="1" type="noConversion"/>
  </si>
  <si>
    <t>IMM 세컨더리 벤처펀드 제1호</t>
    <phoneticPr fontId="1" type="noConversion"/>
  </si>
  <si>
    <t>IMM 세컨더리 벤처펀드 제1호</t>
    <phoneticPr fontId="1" type="noConversion"/>
  </si>
  <si>
    <t>리프앤바인(에이블씨엔씨)</t>
    <phoneticPr fontId="1" type="noConversion"/>
  </si>
  <si>
    <t>윤원기</t>
    <phoneticPr fontId="1" type="noConversion"/>
  </si>
  <si>
    <t>백진흠</t>
    <phoneticPr fontId="1" type="noConversion"/>
  </si>
  <si>
    <t>지성배</t>
    <phoneticPr fontId="1" type="noConversion"/>
  </si>
  <si>
    <t>지성배</t>
    <phoneticPr fontId="1" type="noConversion"/>
  </si>
  <si>
    <t>보통주전환후 배당금, 부분감액</t>
    <phoneticPr fontId="1" type="noConversion"/>
  </si>
  <si>
    <t>BW이자,보통주전환후 배당금, 부분감액</t>
    <phoneticPr fontId="1" type="noConversion"/>
  </si>
  <si>
    <t>일부회수후 전액감액</t>
  </si>
  <si>
    <t>이승환김홍찬</t>
    <phoneticPr fontId="1" type="noConversion"/>
  </si>
  <si>
    <t>투자</t>
    <phoneticPr fontId="1" type="noConversion"/>
  </si>
  <si>
    <t>투자, 펀드운용총괄</t>
    <phoneticPr fontId="1" type="noConversion"/>
  </si>
  <si>
    <t>장동우정일부이관훈</t>
  </si>
  <si>
    <t>이관훈오민규이승환</t>
  </si>
  <si>
    <t>장동우정일부이승환오민규</t>
  </si>
  <si>
    <t>김형준구재윤</t>
  </si>
  <si>
    <t>이관훈오민규</t>
  </si>
  <si>
    <t>지성배정일부이관훈</t>
  </si>
  <si>
    <t>이관훈이종석정일부이승환</t>
  </si>
  <si>
    <t>지성배정일부이승환</t>
  </si>
  <si>
    <t>제안펀드 신청분야
관련성</t>
    <phoneticPr fontId="5" type="noConversion"/>
  </si>
  <si>
    <t>구주(소셜카지노)</t>
    <phoneticPr fontId="1" type="noConversion"/>
  </si>
  <si>
    <t>구주(인쇄용지, 표백화학펄프 제조 및 판매)</t>
    <phoneticPr fontId="1" type="noConversion"/>
  </si>
  <si>
    <t>중국(홍콩)</t>
    <phoneticPr fontId="1" type="noConversion"/>
  </si>
  <si>
    <t>세컨더리펀드 운용</t>
  </si>
  <si>
    <t>김윤구</t>
    <phoneticPr fontId="1" type="noConversion"/>
  </si>
  <si>
    <t>장동우윤원기</t>
    <phoneticPr fontId="1" type="noConversion"/>
  </si>
  <si>
    <t>게임</t>
    <phoneticPr fontId="1" type="noConversion"/>
  </si>
  <si>
    <t>와이퍼 제조</t>
    <phoneticPr fontId="1" type="noConversion"/>
  </si>
  <si>
    <t>온라인게임</t>
    <phoneticPr fontId="1" type="noConversion"/>
  </si>
  <si>
    <t>자동차와이퍼제조</t>
    <phoneticPr fontId="1" type="noConversion"/>
  </si>
  <si>
    <t>구재윤</t>
    <phoneticPr fontId="1" type="noConversion"/>
  </si>
  <si>
    <t>정일부오민규</t>
    <phoneticPr fontId="1" type="noConversion"/>
  </si>
  <si>
    <t>부분회수</t>
    <phoneticPr fontId="1" type="noConversion"/>
  </si>
  <si>
    <t>사후관리/회수</t>
  </si>
  <si>
    <t>투자/사후관리/회수</t>
  </si>
  <si>
    <t>발굴/투자/사후관리/회수</t>
  </si>
  <si>
    <t>의사결정/투자/사후관리/회수</t>
  </si>
  <si>
    <t>의사결정/발굴/투자/사후관리/회수</t>
  </si>
  <si>
    <t>의사결정/발굴</t>
    <phoneticPr fontId="1" type="noConversion"/>
  </si>
  <si>
    <t>발굴/투자/사후관리</t>
    <phoneticPr fontId="1" type="noConversion"/>
  </si>
  <si>
    <t>발굴/투자/사후관리</t>
    <phoneticPr fontId="1" type="noConversion"/>
  </si>
  <si>
    <t>발굴/투자/사후관리</t>
    <phoneticPr fontId="1" type="noConversion"/>
  </si>
  <si>
    <t>의사결정/투자/사후관리</t>
    <phoneticPr fontId="1" type="noConversion"/>
  </si>
  <si>
    <t>의사결정/발굴/투자/사후관리</t>
    <phoneticPr fontId="1" type="noConversion"/>
  </si>
  <si>
    <t>장동우조재용나성민</t>
    <phoneticPr fontId="1" type="noConversion"/>
  </si>
  <si>
    <t>장동우윤원기</t>
    <phoneticPr fontId="1" type="noConversion"/>
  </si>
  <si>
    <t>보통주 전환후 매각</t>
    <phoneticPr fontId="1" type="noConversion"/>
  </si>
  <si>
    <t>보통주 전환후 매각</t>
    <phoneticPr fontId="1" type="noConversion"/>
  </si>
  <si>
    <t>마이리얼트립</t>
    <phoneticPr fontId="1" type="noConversion"/>
  </si>
  <si>
    <t>운전자금(여행상품 직거래 플랫폼)</t>
    <phoneticPr fontId="1" type="noConversion"/>
  </si>
  <si>
    <t>배당</t>
    <phoneticPr fontId="1" type="noConversion"/>
  </si>
  <si>
    <t>NO</t>
    <phoneticPr fontId="1" type="noConversion"/>
  </si>
  <si>
    <t>NO</t>
    <phoneticPr fontId="1" type="noConversion"/>
  </si>
  <si>
    <t>퇴사(Co GP)</t>
    <phoneticPr fontId="1" type="noConversion"/>
  </si>
  <si>
    <t>국민연금07-2IMM13호기업구조조정조합</t>
    <phoneticPr fontId="1" type="noConversion"/>
  </si>
  <si>
    <t>설립</t>
    <phoneticPr fontId="1" type="noConversion"/>
  </si>
  <si>
    <t>지성배</t>
    <phoneticPr fontId="1" type="noConversion"/>
  </si>
  <si>
    <t>이용준</t>
    <phoneticPr fontId="1" type="noConversion"/>
  </si>
  <si>
    <t>투자본부</t>
    <phoneticPr fontId="1" type="noConversion"/>
  </si>
  <si>
    <t>투자심사</t>
    <phoneticPr fontId="1" type="noConversion"/>
  </si>
  <si>
    <t>발굴/사후관리/회수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</si>
</sst>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0.0%"/>
    <numFmt numFmtId="178" formatCode="#,##0;\-#,##0;;"/>
    <numFmt numFmtId="179" formatCode="#,##0.0"/>
    <numFmt numFmtId="180" formatCode="yy/mm/dd"/>
    <numFmt numFmtId="181" formatCode="000000\-00"/>
    <numFmt numFmtId="182" formatCode="0_);[Red]\(0\)"/>
    <numFmt numFmtId="183" formatCode="#,##0_);[Red]\(#,##0\)"/>
    <numFmt numFmtId="184" formatCode="0.0_);[Red]\(0.0\)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name val="맑은 고딕"/>
      <family val="3"/>
      <charset val="129"/>
    </font>
    <font>
      <b/>
      <sz val="16"/>
      <name val="맑은 고딕"/>
      <family val="3"/>
      <charset val="129"/>
      <scheme val="major"/>
    </font>
    <font>
      <strike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바탕"/>
      <family val="1"/>
      <charset val="129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u/>
      <sz val="10"/>
      <name val="맑은 고딕"/>
      <family val="3"/>
      <charset val="129"/>
      <scheme val="minor"/>
    </font>
    <font>
      <strike/>
      <sz val="1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56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vertical="center"/>
      <protection locked="0"/>
    </xf>
    <xf numFmtId="177" fontId="8" fillId="0" borderId="1" xfId="0" applyNumberFormat="1" applyFont="1" applyBorder="1" applyAlignment="1" applyProtection="1">
      <alignment vertical="center"/>
      <protection locked="0"/>
    </xf>
    <xf numFmtId="3" fontId="8" fillId="5" borderId="1" xfId="0" applyNumberFormat="1" applyFont="1" applyFill="1" applyBorder="1" applyAlignment="1" applyProtection="1">
      <alignment vertical="center"/>
      <protection hidden="1"/>
    </xf>
    <xf numFmtId="0" fontId="9" fillId="3" borderId="1" xfId="0" applyFont="1" applyFill="1" applyBorder="1" applyAlignment="1" applyProtection="1">
      <alignment horizontal="center" vertical="center" wrapText="1" shrinkToFit="1"/>
    </xf>
    <xf numFmtId="0" fontId="9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6" borderId="1" xfId="0" applyNumberFormat="1" applyFont="1" applyFill="1" applyBorder="1" applyAlignment="1" applyProtection="1">
      <alignment vertical="center"/>
      <protection hidden="1"/>
    </xf>
    <xf numFmtId="177" fontId="2" fillId="6" borderId="1" xfId="0" applyNumberFormat="1" applyFont="1" applyFill="1" applyBorder="1" applyAlignment="1" applyProtection="1">
      <alignment vertical="center"/>
      <protection hidden="1"/>
    </xf>
    <xf numFmtId="177" fontId="2" fillId="6" borderId="1" xfId="0" applyNumberFormat="1" applyFont="1" applyFill="1" applyBorder="1" applyAlignment="1" applyProtection="1">
      <alignment horizontal="center" vertical="center"/>
      <protection hidden="1"/>
    </xf>
    <xf numFmtId="3" fontId="2" fillId="6" borderId="1" xfId="0" applyNumberFormat="1" applyFont="1" applyFill="1" applyBorder="1" applyProtection="1">
      <alignment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Protection="1">
      <alignment vertical="center"/>
      <protection locked="0"/>
    </xf>
    <xf numFmtId="3" fontId="2" fillId="0" borderId="1" xfId="0" applyNumberFormat="1" applyFont="1" applyFill="1" applyBorder="1" applyProtection="1">
      <alignment vertical="center"/>
      <protection locked="0"/>
    </xf>
    <xf numFmtId="177" fontId="2" fillId="6" borderId="1" xfId="0" applyNumberFormat="1" applyFont="1" applyFill="1" applyBorder="1" applyProtection="1">
      <alignment vertical="center"/>
      <protection hidden="1"/>
    </xf>
    <xf numFmtId="0" fontId="10" fillId="0" borderId="1" xfId="0" applyFont="1" applyBorder="1" applyProtection="1">
      <alignment vertical="center"/>
    </xf>
    <xf numFmtId="14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1" fontId="9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vertical="center" wrapText="1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Protection="1">
      <alignment vertical="center"/>
    </xf>
    <xf numFmtId="14" fontId="2" fillId="0" borderId="1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Protection="1">
      <alignment vertical="center"/>
    </xf>
    <xf numFmtId="0" fontId="2" fillId="0" borderId="5" xfId="0" applyNumberFormat="1" applyFont="1" applyBorder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1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3" xfId="0" applyNumberFormat="1" applyFont="1" applyBorder="1" applyAlignment="1" applyProtection="1">
      <alignment vertical="center" wrapText="1"/>
      <protection locked="0"/>
    </xf>
    <xf numFmtId="179" fontId="2" fillId="6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14" fontId="9" fillId="3" borderId="1" xfId="0" applyNumberFormat="1" applyFont="1" applyFill="1" applyBorder="1" applyAlignment="1" applyProtection="1">
      <alignment horizontal="center" vertical="center"/>
    </xf>
    <xf numFmtId="177" fontId="9" fillId="3" borderId="1" xfId="0" applyNumberFormat="1" applyFont="1" applyFill="1" applyBorder="1" applyAlignment="1" applyProtection="1">
      <alignment horizontal="center" vertical="center" wrapText="1"/>
    </xf>
    <xf numFmtId="180" fontId="9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 wrapText="1"/>
    </xf>
    <xf numFmtId="177" fontId="2" fillId="0" borderId="0" xfId="0" applyNumberFormat="1" applyFont="1" applyAlignment="1" applyProtection="1">
      <alignment horizontal="center" vertical="center"/>
    </xf>
    <xf numFmtId="180" fontId="2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vertical="center" wrapText="1"/>
      <protection locked="0"/>
    </xf>
    <xf numFmtId="179" fontId="2" fillId="0" borderId="1" xfId="0" applyNumberFormat="1" applyFont="1" applyFill="1" applyBorder="1" applyAlignment="1" applyProtection="1">
      <alignment horizontal="center" vertical="center"/>
      <protection hidden="1"/>
    </xf>
    <xf numFmtId="181" fontId="9" fillId="3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181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81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2" fillId="6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81" fontId="2" fillId="0" borderId="0" xfId="0" applyNumberFormat="1" applyFont="1" applyProtection="1">
      <alignment vertical="center"/>
    </xf>
    <xf numFmtId="181" fontId="2" fillId="0" borderId="1" xfId="0" applyNumberFormat="1" applyFont="1" applyBorder="1" applyProtection="1">
      <alignment vertical="center"/>
    </xf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3" fontId="2" fillId="7" borderId="1" xfId="0" applyNumberFormat="1" applyFont="1" applyFill="1" applyBorder="1" applyProtection="1">
      <alignment vertical="center"/>
      <protection locked="0"/>
    </xf>
    <xf numFmtId="14" fontId="2" fillId="7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180" fontId="2" fillId="0" borderId="7" xfId="0" applyNumberFormat="1" applyFont="1" applyBorder="1" applyAlignment="1" applyProtection="1">
      <alignment horizontal="center" vertical="center"/>
    </xf>
    <xf numFmtId="180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6" borderId="1" xfId="0" applyFont="1" applyFill="1" applyBorder="1">
      <alignment vertical="center"/>
    </xf>
    <xf numFmtId="0" fontId="2" fillId="0" borderId="0" xfId="0" applyFont="1" applyBorder="1">
      <alignment vertical="center"/>
    </xf>
    <xf numFmtId="0" fontId="16" fillId="0" borderId="0" xfId="0" applyFont="1" applyFill="1" applyAlignment="1" applyProtection="1">
      <alignment vertical="center"/>
      <protection locked="0"/>
    </xf>
    <xf numFmtId="0" fontId="14" fillId="0" borderId="0" xfId="0" applyFont="1" applyFill="1">
      <alignment vertical="center"/>
    </xf>
    <xf numFmtId="0" fontId="21" fillId="0" borderId="0" xfId="0" applyFont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5" xfId="0" applyBorder="1">
      <alignment vertical="center"/>
    </xf>
    <xf numFmtId="180" fontId="2" fillId="0" borderId="27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/>
    </xf>
    <xf numFmtId="0" fontId="4" fillId="8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Protection="1">
      <alignment vertical="center"/>
      <protection locked="0"/>
    </xf>
    <xf numFmtId="176" fontId="2" fillId="6" borderId="3" xfId="0" applyNumberFormat="1" applyFont="1" applyFill="1" applyBorder="1" applyAlignment="1" applyProtection="1">
      <alignment horizontal="center" vertical="center"/>
    </xf>
    <xf numFmtId="180" fontId="2" fillId="0" borderId="12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182" fontId="2" fillId="6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Border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indent="2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176" fontId="2" fillId="6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41" fontId="2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176" fontId="2" fillId="6" borderId="1" xfId="0" applyNumberFormat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vertical="center"/>
    </xf>
    <xf numFmtId="3" fontId="2" fillId="6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Border="1" applyAlignment="1" applyProtection="1">
      <alignment horizontal="center" vertical="center"/>
    </xf>
    <xf numFmtId="42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7" fontId="9" fillId="6" borderId="1" xfId="0" applyNumberFormat="1" applyFont="1" applyFill="1" applyBorder="1" applyAlignment="1" applyProtection="1">
      <alignment horizontal="center" vertical="center"/>
    </xf>
    <xf numFmtId="41" fontId="2" fillId="0" borderId="1" xfId="0" applyNumberFormat="1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shrinkToFit="1"/>
    </xf>
    <xf numFmtId="183" fontId="2" fillId="6" borderId="1" xfId="0" applyNumberFormat="1" applyFont="1" applyFill="1" applyBorder="1" applyProtection="1">
      <alignment vertical="center"/>
      <protection hidden="1"/>
    </xf>
    <xf numFmtId="0" fontId="2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83" fontId="2" fillId="0" borderId="1" xfId="0" applyNumberFormat="1" applyFont="1" applyBorder="1">
      <alignment vertical="center"/>
    </xf>
    <xf numFmtId="41" fontId="2" fillId="0" borderId="1" xfId="0" applyNumberFormat="1" applyFont="1" applyBorder="1">
      <alignment vertical="center"/>
    </xf>
    <xf numFmtId="183" fontId="2" fillId="6" borderId="1" xfId="0" applyNumberFormat="1" applyFont="1" applyFill="1" applyBorder="1" applyProtection="1">
      <alignment vertical="center"/>
      <protection hidden="1"/>
    </xf>
    <xf numFmtId="183" fontId="2" fillId="0" borderId="3" xfId="0" applyNumberFormat="1" applyFont="1" applyFill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179" fontId="2" fillId="6" borderId="33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180" fontId="9" fillId="3" borderId="2" xfId="0" applyNumberFormat="1" applyFont="1" applyFill="1" applyBorder="1" applyAlignment="1" applyProtection="1">
      <alignment horizontal="center" vertical="center" wrapText="1"/>
    </xf>
    <xf numFmtId="180" fontId="9" fillId="3" borderId="26" xfId="0" applyNumberFormat="1" applyFont="1" applyFill="1" applyBorder="1" applyAlignment="1" applyProtection="1">
      <alignment horizontal="center" vertical="center" wrapText="1"/>
    </xf>
    <xf numFmtId="180" fontId="9" fillId="3" borderId="29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8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3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182" fontId="2" fillId="6" borderId="1" xfId="0" applyNumberFormat="1" applyFont="1" applyFill="1" applyBorder="1" applyAlignment="1" applyProtection="1">
      <alignment horizontal="center" vertical="center"/>
      <protection hidden="1"/>
    </xf>
    <xf numFmtId="182" fontId="2" fillId="6" borderId="1" xfId="0" applyNumberFormat="1" applyFont="1" applyFill="1" applyBorder="1" applyProtection="1">
      <alignment vertical="center"/>
      <protection hidden="1"/>
    </xf>
    <xf numFmtId="14" fontId="6" fillId="0" borderId="1" xfId="0" applyNumberFormat="1" applyFont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Protection="1">
      <alignment vertical="center"/>
      <protection hidden="1"/>
    </xf>
    <xf numFmtId="3" fontId="2" fillId="6" borderId="1" xfId="0" applyNumberFormat="1" applyFont="1" applyFill="1" applyBorder="1" applyProtection="1">
      <alignment vertical="center"/>
      <protection hidden="1"/>
    </xf>
    <xf numFmtId="3" fontId="2" fillId="0" borderId="1" xfId="0" applyNumberFormat="1" applyFont="1" applyBorder="1" applyProtection="1">
      <alignment vertical="center"/>
      <protection locked="0"/>
    </xf>
    <xf numFmtId="3" fontId="9" fillId="0" borderId="1" xfId="0" applyNumberFormat="1" applyFont="1" applyBorder="1" applyProtection="1">
      <alignment vertical="center"/>
    </xf>
    <xf numFmtId="184" fontId="2" fillId="6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>
      <alignment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26" fillId="0" borderId="0" xfId="0" applyFont="1">
      <alignment vertical="center"/>
    </xf>
    <xf numFmtId="0" fontId="15" fillId="0" borderId="2" xfId="0" applyNumberFormat="1" applyFont="1" applyFill="1" applyBorder="1" applyAlignment="1">
      <alignment vertical="center" wrapText="1"/>
    </xf>
    <xf numFmtId="0" fontId="13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2" xfId="0" applyFont="1" applyFill="1" applyBorder="1" applyAlignment="1">
      <alignment vertical="center" wrapText="1"/>
    </xf>
    <xf numFmtId="41" fontId="15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23" fillId="0" borderId="7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9" fillId="0" borderId="2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178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vertical="center" shrinkToFit="1"/>
      <protection locked="0"/>
    </xf>
    <xf numFmtId="183" fontId="2" fillId="0" borderId="1" xfId="0" applyNumberFormat="1" applyFont="1" applyBorder="1" applyProtection="1">
      <alignment vertical="center"/>
      <protection locked="0"/>
    </xf>
    <xf numFmtId="183" fontId="2" fillId="0" borderId="1" xfId="0" applyNumberFormat="1" applyFont="1" applyFill="1" applyBorder="1" applyProtection="1">
      <alignment vertical="center"/>
      <protection locked="0"/>
    </xf>
    <xf numFmtId="183" fontId="2" fillId="0" borderId="5" xfId="0" applyNumberFormat="1" applyFont="1" applyFill="1" applyBorder="1" applyProtection="1">
      <alignment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4" fontId="9" fillId="0" borderId="37" xfId="0" applyNumberFormat="1" applyFont="1" applyBorder="1" applyAlignment="1" applyProtection="1">
      <alignment horizontal="center" vertical="center"/>
      <protection locked="0"/>
    </xf>
    <xf numFmtId="14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shrinkToFit="1"/>
    </xf>
    <xf numFmtId="0" fontId="6" fillId="7" borderId="1" xfId="0" applyFont="1" applyFill="1" applyBorder="1" applyAlignment="1" applyProtection="1">
      <alignment horizontal="center" vertical="center" shrinkToFit="1"/>
      <protection locked="0"/>
    </xf>
    <xf numFmtId="0" fontId="2" fillId="7" borderId="1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8" xfId="0" applyNumberFormat="1" applyFont="1" applyBorder="1" applyAlignment="1" applyProtection="1">
      <alignment horizontal="center" vertical="center" wrapText="1"/>
      <protection locked="0"/>
    </xf>
    <xf numFmtId="14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8" xfId="0" applyFont="1" applyBorder="1" applyAlignment="1">
      <alignment horizontal="left" vertical="center" shrinkToFit="1"/>
    </xf>
    <xf numFmtId="49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vertical="center" shrinkToFi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39" xfId="0" applyNumberFormat="1" applyFont="1" applyFill="1" applyBorder="1" applyAlignment="1" applyProtection="1">
      <alignment vertical="center" wrapText="1"/>
      <protection locked="0"/>
    </xf>
    <xf numFmtId="0" fontId="2" fillId="0" borderId="39" xfId="0" applyNumberFormat="1" applyFont="1" applyBorder="1" applyAlignment="1" applyProtection="1">
      <alignment horizontal="center" vertical="center" wrapText="1"/>
      <protection locked="0"/>
    </xf>
    <xf numFmtId="183" fontId="2" fillId="0" borderId="38" xfId="0" applyNumberFormat="1" applyFont="1" applyBorder="1" applyProtection="1">
      <alignment vertical="center"/>
      <protection locked="0"/>
    </xf>
    <xf numFmtId="9" fontId="2" fillId="0" borderId="38" xfId="0" applyNumberFormat="1" applyFont="1" applyBorder="1" applyAlignment="1" applyProtection="1">
      <alignment horizontal="center" vertical="center"/>
      <protection locked="0"/>
    </xf>
    <xf numFmtId="183" fontId="2" fillId="0" borderId="38" xfId="0" applyNumberFormat="1" applyFont="1" applyFill="1" applyBorder="1" applyProtection="1">
      <alignment vertical="center"/>
      <protection locked="0"/>
    </xf>
    <xf numFmtId="183" fontId="2" fillId="0" borderId="40" xfId="0" applyNumberFormat="1" applyFont="1" applyFill="1" applyBorder="1" applyProtection="1">
      <alignment vertical="center"/>
      <protection locked="0"/>
    </xf>
    <xf numFmtId="183" fontId="2" fillId="0" borderId="39" xfId="0" applyNumberFormat="1" applyFont="1" applyFill="1" applyBorder="1" applyProtection="1">
      <alignment vertical="center"/>
      <protection locked="0"/>
    </xf>
    <xf numFmtId="49" fontId="2" fillId="0" borderId="39" xfId="0" applyNumberFormat="1" applyFont="1" applyFill="1" applyBorder="1" applyAlignment="1" applyProtection="1">
      <alignment horizontal="center" vertical="center"/>
      <protection locked="0"/>
    </xf>
    <xf numFmtId="14" fontId="2" fillId="0" borderId="39" xfId="0" applyNumberFormat="1" applyFont="1" applyFill="1" applyBorder="1" applyAlignment="1" applyProtection="1">
      <alignment horizontal="center" vertical="center"/>
      <protection locked="0"/>
    </xf>
    <xf numFmtId="178" fontId="2" fillId="0" borderId="39" xfId="0" applyNumberFormat="1" applyFont="1" applyFill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3" fontId="2" fillId="0" borderId="38" xfId="0" applyNumberFormat="1" applyFont="1" applyBorder="1" applyProtection="1">
      <alignment vertical="center"/>
      <protection locked="0"/>
    </xf>
    <xf numFmtId="3" fontId="2" fillId="0" borderId="38" xfId="0" applyNumberFormat="1" applyFont="1" applyBorder="1" applyAlignment="1" applyProtection="1">
      <alignment vertical="center" wrapText="1"/>
      <protection locked="0"/>
    </xf>
    <xf numFmtId="3" fontId="2" fillId="0" borderId="38" xfId="0" applyNumberFormat="1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14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  <protection hidden="1"/>
    </xf>
    <xf numFmtId="0" fontId="2" fillId="0" borderId="39" xfId="0" applyNumberFormat="1" applyFont="1" applyBorder="1" applyAlignment="1" applyProtection="1">
      <alignment vertical="center" wrapText="1"/>
      <protection locked="0"/>
    </xf>
    <xf numFmtId="3" fontId="2" fillId="0" borderId="38" xfId="0" applyNumberFormat="1" applyFont="1" applyBorder="1" applyProtection="1">
      <alignment vertical="center"/>
      <protection locked="0"/>
    </xf>
    <xf numFmtId="177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Protection="1">
      <alignment vertical="center"/>
      <protection locked="0"/>
    </xf>
    <xf numFmtId="14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0" borderId="38" xfId="0" applyNumberFormat="1" applyFont="1" applyBorder="1" applyAlignment="1" applyProtection="1">
      <alignment vertical="center" wrapText="1"/>
      <protection locked="0"/>
    </xf>
    <xf numFmtId="179" fontId="2" fillId="0" borderId="38" xfId="0" applyNumberFormat="1" applyFont="1" applyFill="1" applyBorder="1" applyAlignment="1" applyProtection="1">
      <alignment horizontal="center" vertical="center"/>
      <protection hidden="1"/>
    </xf>
    <xf numFmtId="3" fontId="2" fillId="0" borderId="38" xfId="0" applyNumberFormat="1" applyFont="1" applyFill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vertical="center" wrapText="1"/>
      <protection locked="0"/>
    </xf>
    <xf numFmtId="0" fontId="2" fillId="0" borderId="39" xfId="0" applyNumberFormat="1" applyFont="1" applyBorder="1" applyAlignment="1" applyProtection="1">
      <alignment horizontal="left" vertical="center" wrapText="1"/>
      <protection locked="0"/>
    </xf>
    <xf numFmtId="177" fontId="2" fillId="0" borderId="38" xfId="0" applyNumberFormat="1" applyFont="1" applyBorder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177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7" borderId="38" xfId="0" applyFont="1" applyFill="1" applyBorder="1" applyAlignment="1" applyProtection="1">
      <alignment vertical="center" wrapText="1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3" fontId="2" fillId="7" borderId="38" xfId="0" applyNumberFormat="1" applyFont="1" applyFill="1" applyBorder="1" applyProtection="1">
      <alignment vertical="center"/>
      <protection locked="0"/>
    </xf>
    <xf numFmtId="14" fontId="2" fillId="7" borderId="38" xfId="0" applyNumberFormat="1" applyFont="1" applyFill="1" applyBorder="1" applyAlignment="1" applyProtection="1">
      <alignment horizontal="center" vertical="center"/>
      <protection locked="0"/>
    </xf>
    <xf numFmtId="0" fontId="2" fillId="7" borderId="38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14" fontId="8" fillId="0" borderId="38" xfId="0" applyNumberFormat="1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3" fontId="6" fillId="0" borderId="38" xfId="0" applyNumberFormat="1" applyFont="1" applyBorder="1">
      <alignment vertical="center"/>
    </xf>
    <xf numFmtId="14" fontId="6" fillId="0" borderId="38" xfId="0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center"/>
      <protection hidden="1"/>
    </xf>
    <xf numFmtId="0" fontId="2" fillId="7" borderId="3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180" fontId="2" fillId="7" borderId="12" xfId="0" applyNumberFormat="1" applyFont="1" applyFill="1" applyBorder="1" applyAlignment="1" applyProtection="1">
      <alignment horizontal="center" vertical="center"/>
      <protection locked="0"/>
    </xf>
    <xf numFmtId="0" fontId="6" fillId="7" borderId="5" xfId="0" applyFont="1" applyFill="1" applyBorder="1">
      <alignment vertical="center"/>
    </xf>
    <xf numFmtId="0" fontId="2" fillId="7" borderId="5" xfId="0" applyFont="1" applyFill="1" applyBorder="1">
      <alignment vertical="center"/>
    </xf>
    <xf numFmtId="14" fontId="2" fillId="6" borderId="1" xfId="0" applyNumberFormat="1" applyFont="1" applyFill="1" applyBorder="1" applyAlignment="1">
      <alignment horizontal="center" vertical="center"/>
    </xf>
    <xf numFmtId="176" fontId="2" fillId="6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9" xfId="0" applyNumberFormat="1" applyFont="1" applyBorder="1" applyAlignment="1" applyProtection="1">
      <alignment horizontal="center" vertical="center"/>
    </xf>
    <xf numFmtId="0" fontId="2" fillId="0" borderId="38" xfId="0" applyFont="1" applyBorder="1">
      <alignment vertical="center"/>
    </xf>
    <xf numFmtId="0" fontId="2" fillId="0" borderId="38" xfId="0" applyNumberFormat="1" applyFont="1" applyBorder="1" applyAlignment="1" applyProtection="1">
      <alignment vertical="center" wrapText="1"/>
    </xf>
    <xf numFmtId="0" fontId="2" fillId="0" borderId="38" xfId="0" applyNumberFormat="1" applyFont="1" applyBorder="1" applyAlignment="1" applyProtection="1">
      <alignment horizontal="center" vertical="center"/>
    </xf>
    <xf numFmtId="0" fontId="2" fillId="0" borderId="38" xfId="0" applyNumberFormat="1" applyFont="1" applyBorder="1" applyAlignment="1" applyProtection="1">
      <alignment horizontal="center" vertical="center" wrapText="1"/>
    </xf>
    <xf numFmtId="0" fontId="2" fillId="0" borderId="38" xfId="0" applyNumberFormat="1" applyFont="1" applyBorder="1" applyProtection="1">
      <alignment vertical="center"/>
    </xf>
    <xf numFmtId="14" fontId="2" fillId="0" borderId="38" xfId="0" applyNumberFormat="1" applyFont="1" applyBorder="1" applyAlignment="1" applyProtection="1">
      <alignment horizontal="center" vertical="center"/>
    </xf>
    <xf numFmtId="0" fontId="2" fillId="0" borderId="39" xfId="0" applyNumberFormat="1" applyFont="1" applyBorder="1" applyProtection="1">
      <alignment vertical="center"/>
    </xf>
    <xf numFmtId="0" fontId="2" fillId="0" borderId="40" xfId="0" applyNumberFormat="1" applyFont="1" applyBorder="1" applyProtection="1">
      <alignment vertical="center"/>
    </xf>
    <xf numFmtId="49" fontId="2" fillId="0" borderId="38" xfId="0" applyNumberFormat="1" applyFont="1" applyBorder="1" applyAlignment="1" applyProtection="1">
      <alignment horizontal="center" vertical="center" wrapText="1"/>
    </xf>
    <xf numFmtId="41" fontId="2" fillId="0" borderId="38" xfId="0" applyNumberFormat="1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</xf>
    <xf numFmtId="0" fontId="2" fillId="0" borderId="38" xfId="0" applyFont="1" applyBorder="1" applyProtection="1">
      <alignment vertical="center"/>
    </xf>
    <xf numFmtId="0" fontId="2" fillId="0" borderId="38" xfId="0" applyFont="1" applyBorder="1" applyAlignment="1" applyProtection="1">
      <alignment vertical="center" wrapText="1"/>
    </xf>
    <xf numFmtId="3" fontId="2" fillId="0" borderId="38" xfId="0" applyNumberFormat="1" applyFont="1" applyBorder="1" applyProtection="1">
      <alignment vertical="center"/>
    </xf>
    <xf numFmtId="9" fontId="2" fillId="0" borderId="38" xfId="0" applyNumberFormat="1" applyFont="1" applyBorder="1" applyAlignment="1" applyProtection="1">
      <alignment horizontal="center" vertical="center"/>
    </xf>
    <xf numFmtId="3" fontId="2" fillId="0" borderId="40" xfId="0" applyNumberFormat="1" applyFont="1" applyBorder="1" applyProtection="1">
      <alignment vertical="center"/>
    </xf>
    <xf numFmtId="3" fontId="2" fillId="0" borderId="38" xfId="0" applyNumberFormat="1" applyFont="1" applyBorder="1" applyAlignment="1" applyProtection="1">
      <alignment vertical="center" wrapText="1"/>
    </xf>
    <xf numFmtId="0" fontId="2" fillId="0" borderId="39" xfId="0" applyNumberFormat="1" applyFont="1" applyFill="1" applyBorder="1" applyAlignment="1" applyProtection="1">
      <alignment horizontal="center" vertical="center"/>
    </xf>
    <xf numFmtId="14" fontId="2" fillId="0" borderId="38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5" xfId="0" applyFont="1" applyFill="1" applyBorder="1">
      <alignment vertical="center"/>
    </xf>
    <xf numFmtId="3" fontId="6" fillId="0" borderId="1" xfId="0" applyNumberFormat="1" applyFont="1" applyFill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4" fontId="2" fillId="0" borderId="39" xfId="0" applyNumberFormat="1" applyFont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>
      <alignment vertical="center"/>
    </xf>
    <xf numFmtId="14" fontId="2" fillId="0" borderId="3" xfId="0" applyNumberFormat="1" applyFont="1" applyBorder="1" applyProtection="1">
      <alignment vertical="center"/>
    </xf>
    <xf numFmtId="14" fontId="2" fillId="0" borderId="39" xfId="0" applyNumberFormat="1" applyFont="1" applyBorder="1" applyProtection="1">
      <alignment vertical="center"/>
    </xf>
    <xf numFmtId="49" fontId="2" fillId="0" borderId="0" xfId="0" applyNumberFormat="1" applyFont="1">
      <alignment vertical="center"/>
    </xf>
    <xf numFmtId="49" fontId="2" fillId="0" borderId="3" xfId="0" applyNumberFormat="1" applyFont="1" applyBorder="1" applyProtection="1">
      <alignment vertical="center"/>
    </xf>
    <xf numFmtId="49" fontId="2" fillId="0" borderId="39" xfId="0" applyNumberFormat="1" applyFont="1" applyBorder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6" borderId="38" xfId="0" applyFont="1" applyFill="1" applyBorder="1" applyAlignment="1" applyProtection="1">
      <alignment horizontal="center" vertical="center"/>
      <protection hidden="1"/>
    </xf>
    <xf numFmtId="179" fontId="2" fillId="6" borderId="38" xfId="0" applyNumberFormat="1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</xf>
    <xf numFmtId="9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7" borderId="1" xfId="0" applyNumberFormat="1" applyFont="1" applyFill="1" applyBorder="1" applyAlignment="1" applyProtection="1">
      <alignment vertical="center"/>
      <protection locked="0"/>
    </xf>
    <xf numFmtId="41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83" fontId="2" fillId="7" borderId="3" xfId="0" applyNumberFormat="1" applyFont="1" applyFill="1" applyBorder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center" vertical="center" shrinkToFit="1"/>
      <protection hidden="1"/>
    </xf>
    <xf numFmtId="0" fontId="8" fillId="7" borderId="1" xfId="0" applyFont="1" applyFill="1" applyBorder="1">
      <alignment vertical="center"/>
    </xf>
    <xf numFmtId="0" fontId="8" fillId="7" borderId="1" xfId="0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41" fontId="2" fillId="0" borderId="0" xfId="1" applyFont="1">
      <alignment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left" vertical="center"/>
    </xf>
    <xf numFmtId="14" fontId="8" fillId="9" borderId="6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77" fontId="2" fillId="0" borderId="0" xfId="2" applyNumberFormat="1" applyFont="1">
      <alignment vertical="center"/>
    </xf>
    <xf numFmtId="3" fontId="0" fillId="0" borderId="0" xfId="0" applyNumberFormat="1" applyFill="1">
      <alignment vertical="center"/>
    </xf>
    <xf numFmtId="0" fontId="2" fillId="2" borderId="38" xfId="0" applyNumberFormat="1" applyFont="1" applyFill="1" applyBorder="1" applyAlignment="1" applyProtection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13" fillId="0" borderId="0" xfId="0" applyFont="1" applyFill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Alignment="1">
      <alignment horizontal="center"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 wrapText="1" indent="1"/>
      <protection locked="0"/>
    </xf>
    <xf numFmtId="0" fontId="14" fillId="0" borderId="0" xfId="0" quotePrefix="1" applyFont="1" applyFill="1" applyAlignment="1" applyProtection="1">
      <alignment horizontal="left" vertical="center"/>
      <protection locked="0"/>
    </xf>
    <xf numFmtId="0" fontId="14" fillId="0" borderId="0" xfId="0" quotePrefix="1" applyFont="1" applyFill="1" applyAlignment="1" applyProtection="1">
      <alignment horizontal="left" vertical="center" wrapText="1" indent="1"/>
      <protection locked="0"/>
    </xf>
    <xf numFmtId="0" fontId="27" fillId="0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 applyProtection="1">
      <alignment horizontal="left" vertical="center" wrapText="1" inden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 indent="1"/>
      <protection locked="0"/>
    </xf>
    <xf numFmtId="0" fontId="20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 indent="1"/>
      <protection locked="0"/>
    </xf>
    <xf numFmtId="0" fontId="25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20" xfId="0" applyFont="1" applyFill="1" applyBorder="1" applyAlignment="1" applyProtection="1">
      <alignment vertical="center" wrapText="1"/>
      <protection locked="0"/>
    </xf>
    <xf numFmtId="0" fontId="9" fillId="0" borderId="8" xfId="0" applyFont="1" applyFill="1" applyBorder="1" applyAlignment="1" applyProtection="1">
      <alignment vertical="center" wrapText="1"/>
      <protection locked="0"/>
    </xf>
    <xf numFmtId="0" fontId="9" fillId="0" borderId="13" xfId="0" applyFont="1" applyFill="1" applyBorder="1" applyAlignment="1" applyProtection="1">
      <alignment vertical="center" wrapText="1"/>
      <protection locked="0"/>
    </xf>
    <xf numFmtId="0" fontId="9" fillId="0" borderId="23" xfId="0" applyFont="1" applyFill="1" applyBorder="1" applyAlignment="1" applyProtection="1">
      <alignment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9" fillId="0" borderId="17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180" fontId="9" fillId="3" borderId="3" xfId="0" applyNumberFormat="1" applyFont="1" applyFill="1" applyBorder="1" applyAlignment="1" applyProtection="1">
      <alignment horizontal="center" vertical="center" wrapText="1"/>
    </xf>
    <xf numFmtId="180" fontId="9" fillId="3" borderId="4" xfId="0" applyNumberFormat="1" applyFont="1" applyFill="1" applyBorder="1" applyAlignment="1" applyProtection="1">
      <alignment horizontal="center" vertical="center" wrapText="1"/>
    </xf>
    <xf numFmtId="180" fontId="9" fillId="3" borderId="5" xfId="0" applyNumberFormat="1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14" fontId="9" fillId="3" borderId="9" xfId="0" applyNumberFormat="1" applyFont="1" applyFill="1" applyBorder="1" applyAlignment="1" applyProtection="1">
      <alignment horizontal="center" vertical="center" wrapText="1"/>
    </xf>
    <xf numFmtId="14" fontId="9" fillId="3" borderId="8" xfId="0" applyNumberFormat="1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30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 wrapText="1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336</xdr:row>
      <xdr:rowOff>0</xdr:rowOff>
    </xdr:from>
    <xdr:to>
      <xdr:col>5</xdr:col>
      <xdr:colOff>2343151</xdr:colOff>
      <xdr:row>342</xdr:row>
      <xdr:rowOff>9525</xdr:rowOff>
    </xdr:to>
    <xdr:pic>
      <xdr:nvPicPr>
        <xdr:cNvPr id="7" name="그림 6" descr="경력예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70723125"/>
          <a:ext cx="7219950" cy="126682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226</xdr:row>
      <xdr:rowOff>200025</xdr:rowOff>
    </xdr:from>
    <xdr:to>
      <xdr:col>6</xdr:col>
      <xdr:colOff>11476</xdr:colOff>
      <xdr:row>233</xdr:row>
      <xdr:rowOff>133575</xdr:rowOff>
    </xdr:to>
    <xdr:pic>
      <xdr:nvPicPr>
        <xdr:cNvPr id="8" name="그림 7" descr="감액설명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6" y="48291750"/>
          <a:ext cx="6955200" cy="140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9525</xdr:rowOff>
        </xdr:from>
        <xdr:to>
          <xdr:col>44</xdr:col>
          <xdr:colOff>491217</xdr:colOff>
          <xdr:row>22</xdr:row>
          <xdr:rowOff>118382</xdr:rowOff>
        </xdr:to>
        <xdr:pic>
          <xdr:nvPicPr>
            <xdr:cNvPr id="3077" name="Picture 5"/>
            <xdr:cNvPicPr>
              <a:picLocks noChangeAspect="1" noChangeArrowheads="1"/>
              <a:extLst>
                <a:ext uri="{84589F7E-364E-4C9E-8A38-B11213B215E9}">
                  <a14:cameraTool cellRange="$AI$4:$BX$11" spid="_x0000_s38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2363561"/>
              <a:ext cx="28711071" cy="174171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Temporary%20Internet%20Files/Content.Outlook/2W5RCVI8/&#48373;&#49324;&#48376;%20(&#50577;&#49885;2-2)2017&#45380;_&#54620;&#44397;&#49328;&#50629;&#51008;&#54665;_&#54616;&#48152;&#44592;_VC&#54144;&#46300;_&#53685;&#54633;(&#52572;&#51333;)_2&#5226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요령"/>
      <sheetName val="열제목별 목록값"/>
      <sheetName val="공직유관단체 코드"/>
      <sheetName val="1.1 제안펀드"/>
      <sheetName val="1.2 예상출자내역"/>
      <sheetName val="2.1 제안사 개요"/>
      <sheetName val="2.2 제안사 재무현황"/>
      <sheetName val="2.3 제안사 주주현황"/>
      <sheetName val="2.4 제안사 대표이사 변경이력"/>
      <sheetName val="2.5 제안사 펀드현황"/>
      <sheetName val="2.6 제안사 투자현황"/>
      <sheetName val="3.1 대표이사&amp;참여인력 개요"/>
      <sheetName val="3.2 참여인력 투자현황"/>
      <sheetName val="3.3 참여인력 학력"/>
      <sheetName val="3.4 대표이사&amp;참여인력 경력"/>
      <sheetName val="4.1 펀드거래"/>
      <sheetName val="4.2 핵심운용인력 변경이력"/>
      <sheetName val="5.1 업무협력 현황"/>
      <sheetName val="5.2 투자검토 내역"/>
    </sheetNames>
    <sheetDataSet>
      <sheetData sheetId="0" refreshError="1"/>
      <sheetData sheetId="1">
        <row r="20">
          <cell r="F20" t="str">
            <v>회수료</v>
          </cell>
        </row>
        <row r="21">
          <cell r="F21" t="str">
            <v>부분회수</v>
          </cell>
        </row>
        <row r="22">
          <cell r="F22" t="str">
            <v>미회수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wonki.yoon@imm.co.kr" TargetMode="Externa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28"/>
  <sheetViews>
    <sheetView showGridLines="0" view="pageBreakPreview" zoomScaleNormal="100" zoomScaleSheetLayoutView="100" workbookViewId="0">
      <selection activeCell="H163" sqref="H163"/>
    </sheetView>
  </sheetViews>
  <sheetFormatPr defaultRowHeight="16.5" customHeight="1"/>
  <cols>
    <col min="1" max="1" width="5.625" style="237" customWidth="1"/>
    <col min="2" max="2" width="10.625" style="237" customWidth="1"/>
    <col min="3" max="3" width="25.625" style="237" customWidth="1"/>
    <col min="4" max="4" width="7.125" style="237" customWidth="1"/>
    <col min="5" max="5" width="15.625" style="237" customWidth="1"/>
    <col min="6" max="6" width="31.125" style="237" customWidth="1"/>
    <col min="7" max="7" width="2.625" style="237" customWidth="1"/>
    <col min="8" max="16384" width="9" style="237"/>
  </cols>
  <sheetData>
    <row r="1" spans="1:6" ht="24.95" customHeight="1">
      <c r="A1" s="477" t="s">
        <v>1652</v>
      </c>
      <c r="B1" s="477"/>
      <c r="C1" s="477"/>
      <c r="D1" s="477"/>
      <c r="E1" s="477"/>
      <c r="F1" s="477"/>
    </row>
    <row r="2" spans="1:6" ht="16.5" customHeight="1">
      <c r="A2" s="478"/>
      <c r="B2" s="478"/>
      <c r="C2" s="478"/>
      <c r="D2" s="478"/>
      <c r="E2" s="478"/>
      <c r="F2" s="478"/>
    </row>
    <row r="3" spans="1:6" ht="16.5" customHeight="1">
      <c r="A3" s="401" t="s">
        <v>1653</v>
      </c>
      <c r="B3" s="401"/>
      <c r="C3" s="401"/>
      <c r="D3" s="401"/>
      <c r="E3" s="401"/>
      <c r="F3" s="401"/>
    </row>
    <row r="4" spans="1:6" ht="16.5" customHeight="1">
      <c r="A4" s="401" t="s">
        <v>1654</v>
      </c>
      <c r="B4" s="401"/>
      <c r="C4" s="401"/>
      <c r="D4" s="401"/>
      <c r="E4" s="401"/>
      <c r="F4" s="401"/>
    </row>
    <row r="5" spans="1:6" ht="16.5" customHeight="1">
      <c r="A5" s="402" t="s">
        <v>151</v>
      </c>
      <c r="B5" s="402"/>
      <c r="C5" s="402"/>
      <c r="D5" s="402"/>
      <c r="E5" s="402"/>
      <c r="F5" s="402"/>
    </row>
    <row r="6" spans="1:6" ht="16.5" customHeight="1">
      <c r="A6" s="402" t="s">
        <v>1655</v>
      </c>
      <c r="B6" s="402"/>
      <c r="C6" s="402"/>
      <c r="D6" s="402"/>
      <c r="E6" s="402"/>
      <c r="F6" s="402"/>
    </row>
    <row r="7" spans="1:6" ht="16.5" customHeight="1">
      <c r="A7" s="402" t="s">
        <v>1656</v>
      </c>
      <c r="B7" s="402"/>
      <c r="C7" s="402"/>
      <c r="D7" s="402"/>
      <c r="E7" s="402"/>
      <c r="F7" s="402"/>
    </row>
    <row r="8" spans="1:6" ht="16.5" customHeight="1">
      <c r="A8" s="402" t="s">
        <v>1657</v>
      </c>
      <c r="B8" s="402"/>
      <c r="C8" s="402"/>
      <c r="D8" s="402"/>
      <c r="E8" s="402"/>
      <c r="F8" s="402"/>
    </row>
    <row r="9" spans="1:6" ht="16.5" customHeight="1">
      <c r="A9" s="402" t="s">
        <v>1658</v>
      </c>
      <c r="B9" s="402"/>
      <c r="C9" s="402"/>
      <c r="D9" s="402"/>
      <c r="E9" s="402"/>
      <c r="F9" s="402"/>
    </row>
    <row r="10" spans="1:6" ht="16.5" customHeight="1">
      <c r="A10" s="401" t="s">
        <v>1659</v>
      </c>
      <c r="B10" s="401"/>
      <c r="C10" s="401"/>
      <c r="D10" s="401"/>
      <c r="E10" s="401"/>
      <c r="F10" s="401"/>
    </row>
    <row r="11" spans="1:6" ht="16.5" customHeight="1">
      <c r="A11" s="402" t="s">
        <v>152</v>
      </c>
      <c r="B11" s="402"/>
      <c r="C11" s="402"/>
      <c r="D11" s="402"/>
      <c r="E11" s="402"/>
      <c r="F11" s="402"/>
    </row>
    <row r="12" spans="1:6" ht="16.5" customHeight="1">
      <c r="A12" s="402" t="s">
        <v>1660</v>
      </c>
      <c r="B12" s="402"/>
      <c r="C12" s="402"/>
      <c r="D12" s="402"/>
      <c r="E12" s="402"/>
      <c r="F12" s="402"/>
    </row>
    <row r="13" spans="1:6" ht="16.5" customHeight="1">
      <c r="A13" s="402" t="s">
        <v>1661</v>
      </c>
      <c r="B13" s="402"/>
      <c r="C13" s="402"/>
      <c r="D13" s="402"/>
      <c r="E13" s="402"/>
      <c r="F13" s="402"/>
    </row>
    <row r="14" spans="1:6" ht="16.5" customHeight="1">
      <c r="A14" s="402" t="s">
        <v>1662</v>
      </c>
      <c r="B14" s="402"/>
      <c r="C14" s="402"/>
      <c r="D14" s="402"/>
      <c r="E14" s="402"/>
      <c r="F14" s="402"/>
    </row>
    <row r="15" spans="1:6" ht="16.5" customHeight="1">
      <c r="A15" s="479" t="s">
        <v>1663</v>
      </c>
      <c r="B15" s="479"/>
      <c r="C15" s="479"/>
      <c r="D15" s="479"/>
      <c r="E15" s="479"/>
      <c r="F15" s="479"/>
    </row>
    <row r="16" spans="1:6" ht="16.5" customHeight="1">
      <c r="A16" s="479" t="s">
        <v>1664</v>
      </c>
      <c r="B16" s="479"/>
      <c r="C16" s="479"/>
      <c r="D16" s="479"/>
      <c r="E16" s="479"/>
      <c r="F16" s="479"/>
    </row>
    <row r="17" spans="1:6" ht="16.5" customHeight="1">
      <c r="A17" s="402" t="s">
        <v>1665</v>
      </c>
      <c r="B17" s="402"/>
      <c r="C17" s="402"/>
      <c r="D17" s="402"/>
      <c r="E17" s="402"/>
      <c r="F17" s="402"/>
    </row>
    <row r="18" spans="1:6" ht="16.5" customHeight="1">
      <c r="A18" s="402" t="s">
        <v>1666</v>
      </c>
      <c r="B18" s="402"/>
      <c r="C18" s="402"/>
      <c r="D18" s="402"/>
      <c r="E18" s="402"/>
      <c r="F18" s="402"/>
    </row>
    <row r="19" spans="1:6" ht="16.5" customHeight="1">
      <c r="A19" s="402" t="s">
        <v>1667</v>
      </c>
      <c r="B19" s="402"/>
      <c r="C19" s="402"/>
      <c r="D19" s="402"/>
      <c r="E19" s="402"/>
      <c r="F19" s="402"/>
    </row>
    <row r="20" spans="1:6" ht="16.5" customHeight="1">
      <c r="A20" s="402" t="s">
        <v>1668</v>
      </c>
      <c r="B20" s="402"/>
      <c r="C20" s="402"/>
      <c r="D20" s="402"/>
      <c r="E20" s="402"/>
      <c r="F20" s="402"/>
    </row>
    <row r="21" spans="1:6" ht="16.5" customHeight="1">
      <c r="A21" s="402" t="s">
        <v>1332</v>
      </c>
      <c r="B21" s="402"/>
      <c r="C21" s="402"/>
      <c r="D21" s="402"/>
      <c r="E21" s="402"/>
      <c r="F21" s="402"/>
    </row>
    <row r="22" spans="1:6" ht="16.5" customHeight="1">
      <c r="A22" s="402" t="s">
        <v>1669</v>
      </c>
      <c r="B22" s="402"/>
      <c r="C22" s="402"/>
      <c r="D22" s="402"/>
      <c r="E22" s="402"/>
      <c r="F22" s="402"/>
    </row>
    <row r="23" spans="1:6" ht="16.5" customHeight="1">
      <c r="A23" s="402" t="s">
        <v>1670</v>
      </c>
      <c r="B23" s="402"/>
      <c r="C23" s="402"/>
      <c r="D23" s="402"/>
      <c r="E23" s="402"/>
      <c r="F23" s="402"/>
    </row>
    <row r="24" spans="1:6" ht="16.5" customHeight="1">
      <c r="A24" s="226"/>
      <c r="B24" s="219"/>
      <c r="C24" s="219"/>
      <c r="D24" s="219"/>
      <c r="E24" s="219"/>
      <c r="F24" s="219"/>
    </row>
    <row r="25" spans="1:6" ht="16.5" customHeight="1">
      <c r="A25" s="419" t="s">
        <v>1671</v>
      </c>
      <c r="B25" s="419"/>
      <c r="C25" s="419"/>
      <c r="D25" s="419"/>
      <c r="E25" s="419"/>
      <c r="F25" s="419"/>
    </row>
    <row r="26" spans="1:6" ht="16.5" customHeight="1">
      <c r="A26" s="402" t="s">
        <v>1672</v>
      </c>
      <c r="B26" s="402"/>
      <c r="C26" s="402"/>
      <c r="D26" s="402"/>
      <c r="E26" s="402"/>
      <c r="F26" s="402"/>
    </row>
    <row r="27" spans="1:6" ht="16.5" customHeight="1">
      <c r="A27" s="402" t="s">
        <v>1673</v>
      </c>
      <c r="B27" s="402"/>
      <c r="C27" s="402"/>
      <c r="D27" s="402"/>
      <c r="E27" s="402"/>
      <c r="F27" s="402"/>
    </row>
    <row r="28" spans="1:6" ht="16.5" customHeight="1">
      <c r="A28" s="402" t="s">
        <v>1674</v>
      </c>
      <c r="B28" s="402"/>
      <c r="C28" s="402"/>
      <c r="D28" s="402"/>
      <c r="E28" s="402"/>
      <c r="F28" s="402"/>
    </row>
    <row r="29" spans="1:6" ht="16.5" customHeight="1">
      <c r="A29" s="402" t="s">
        <v>1675</v>
      </c>
      <c r="B29" s="402"/>
      <c r="C29" s="402"/>
      <c r="D29" s="402"/>
      <c r="E29" s="402"/>
      <c r="F29" s="402"/>
    </row>
    <row r="30" spans="1:6" ht="16.5" customHeight="1">
      <c r="A30" s="402" t="s">
        <v>1676</v>
      </c>
      <c r="B30" s="402"/>
      <c r="C30" s="402"/>
      <c r="D30" s="402"/>
      <c r="E30" s="402"/>
      <c r="F30" s="402"/>
    </row>
    <row r="31" spans="1:6" ht="16.5" customHeight="1">
      <c r="A31" s="402" t="s">
        <v>1677</v>
      </c>
      <c r="B31" s="402"/>
      <c r="C31" s="402"/>
      <c r="D31" s="402"/>
      <c r="E31" s="402"/>
      <c r="F31" s="402"/>
    </row>
    <row r="32" spans="1:6" ht="16.5" customHeight="1">
      <c r="A32" s="402" t="s">
        <v>1678</v>
      </c>
      <c r="B32" s="402"/>
      <c r="C32" s="402"/>
      <c r="D32" s="402"/>
      <c r="E32" s="402"/>
      <c r="F32" s="402"/>
    </row>
    <row r="33" spans="1:6" ht="16.5" customHeight="1">
      <c r="A33" s="402" t="s">
        <v>1679</v>
      </c>
      <c r="B33" s="402"/>
      <c r="C33" s="402"/>
      <c r="D33" s="402"/>
      <c r="E33" s="402"/>
      <c r="F33" s="402"/>
    </row>
    <row r="34" spans="1:6" ht="16.5" customHeight="1">
      <c r="A34" s="219"/>
      <c r="B34" s="219"/>
      <c r="C34" s="219"/>
      <c r="D34" s="219"/>
      <c r="E34" s="219"/>
      <c r="F34" s="219"/>
    </row>
    <row r="35" spans="1:6" ht="24.95" customHeight="1">
      <c r="A35" s="229" t="s">
        <v>1680</v>
      </c>
      <c r="B35" s="229"/>
      <c r="C35" s="230"/>
      <c r="D35" s="230"/>
      <c r="E35" s="230"/>
      <c r="F35" s="230"/>
    </row>
    <row r="36" spans="1:6" ht="16.5" customHeight="1">
      <c r="A36" s="103"/>
      <c r="B36" s="103"/>
      <c r="C36" s="103"/>
      <c r="D36" s="103"/>
      <c r="E36" s="103"/>
      <c r="F36" s="103"/>
    </row>
    <row r="37" spans="1:6" ht="16.5" customHeight="1">
      <c r="A37" s="472" t="s">
        <v>153</v>
      </c>
      <c r="B37" s="473"/>
      <c r="C37" s="474" t="s">
        <v>1681</v>
      </c>
      <c r="D37" s="475"/>
      <c r="E37" s="475"/>
      <c r="F37" s="476"/>
    </row>
    <row r="38" spans="1:6" ht="16.5" customHeight="1">
      <c r="A38" s="457" t="s">
        <v>29</v>
      </c>
      <c r="B38" s="458"/>
      <c r="C38" s="451" t="s">
        <v>1682</v>
      </c>
      <c r="D38" s="452"/>
      <c r="E38" s="452"/>
      <c r="F38" s="453"/>
    </row>
    <row r="39" spans="1:6" ht="16.5" customHeight="1">
      <c r="A39" s="395" t="s">
        <v>1683</v>
      </c>
      <c r="B39" s="395"/>
      <c r="C39" s="432" t="s">
        <v>1684</v>
      </c>
      <c r="D39" s="432"/>
      <c r="E39" s="432"/>
      <c r="F39" s="432"/>
    </row>
    <row r="40" spans="1:6" ht="16.5" customHeight="1">
      <c r="A40" s="396"/>
      <c r="B40" s="396"/>
      <c r="C40" s="447" t="s">
        <v>1685</v>
      </c>
      <c r="D40" s="447"/>
      <c r="E40" s="447"/>
      <c r="F40" s="447"/>
    </row>
    <row r="41" spans="1:6" ht="16.5" customHeight="1">
      <c r="A41" s="396"/>
      <c r="B41" s="396"/>
      <c r="C41" s="447" t="s">
        <v>154</v>
      </c>
      <c r="D41" s="447"/>
      <c r="E41" s="447"/>
      <c r="F41" s="447"/>
    </row>
    <row r="42" spans="1:6" ht="16.5" customHeight="1">
      <c r="A42" s="433" t="s">
        <v>1686</v>
      </c>
      <c r="B42" s="434"/>
      <c r="C42" s="438" t="s">
        <v>1687</v>
      </c>
      <c r="D42" s="439"/>
      <c r="E42" s="439"/>
      <c r="F42" s="440"/>
    </row>
    <row r="43" spans="1:6" ht="16.5" customHeight="1">
      <c r="A43" s="435"/>
      <c r="B43" s="436"/>
      <c r="C43" s="448" t="s">
        <v>1688</v>
      </c>
      <c r="D43" s="449"/>
      <c r="E43" s="449"/>
      <c r="F43" s="450"/>
    </row>
    <row r="44" spans="1:6" ht="16.5" customHeight="1">
      <c r="A44" s="435"/>
      <c r="B44" s="436"/>
      <c r="C44" s="441" t="s">
        <v>1689</v>
      </c>
      <c r="D44" s="442"/>
      <c r="E44" s="442"/>
      <c r="F44" s="443"/>
    </row>
    <row r="45" spans="1:6" ht="16.5" customHeight="1">
      <c r="A45" s="456"/>
      <c r="B45" s="437"/>
      <c r="C45" s="444" t="s">
        <v>1690</v>
      </c>
      <c r="D45" s="445"/>
      <c r="E45" s="445"/>
      <c r="F45" s="446"/>
    </row>
    <row r="46" spans="1:6" ht="16.5" customHeight="1">
      <c r="A46" s="433" t="s">
        <v>1691</v>
      </c>
      <c r="B46" s="434"/>
      <c r="C46" s="462" t="s">
        <v>1692</v>
      </c>
      <c r="D46" s="423"/>
      <c r="E46" s="423"/>
      <c r="F46" s="424"/>
    </row>
    <row r="47" spans="1:6" ht="16.5" customHeight="1">
      <c r="A47" s="435"/>
      <c r="B47" s="436"/>
      <c r="C47" s="463" t="s">
        <v>1693</v>
      </c>
      <c r="D47" s="464"/>
      <c r="E47" s="464"/>
      <c r="F47" s="465"/>
    </row>
    <row r="48" spans="1:6" ht="16.5" customHeight="1">
      <c r="A48" s="435"/>
      <c r="B48" s="436"/>
      <c r="C48" s="231" t="s">
        <v>1694</v>
      </c>
      <c r="D48" s="224"/>
      <c r="E48" s="224"/>
      <c r="F48" s="225"/>
    </row>
    <row r="49" spans="1:6" ht="16.5" customHeight="1">
      <c r="A49" s="435"/>
      <c r="B49" s="436"/>
      <c r="C49" s="463" t="s">
        <v>1333</v>
      </c>
      <c r="D49" s="464"/>
      <c r="E49" s="464"/>
      <c r="F49" s="465"/>
    </row>
    <row r="50" spans="1:6" ht="16.5" customHeight="1">
      <c r="A50" s="435"/>
      <c r="B50" s="436"/>
      <c r="C50" s="463" t="s">
        <v>1695</v>
      </c>
      <c r="D50" s="464"/>
      <c r="E50" s="464"/>
      <c r="F50" s="465"/>
    </row>
    <row r="51" spans="1:6" ht="16.5" customHeight="1">
      <c r="A51" s="435"/>
      <c r="B51" s="436"/>
      <c r="C51" s="463" t="s">
        <v>1334</v>
      </c>
      <c r="D51" s="464"/>
      <c r="E51" s="464"/>
      <c r="F51" s="465"/>
    </row>
    <row r="52" spans="1:6" ht="16.5" customHeight="1">
      <c r="A52" s="435"/>
      <c r="B52" s="436"/>
      <c r="C52" s="463" t="s">
        <v>1696</v>
      </c>
      <c r="D52" s="464"/>
      <c r="E52" s="464"/>
      <c r="F52" s="465"/>
    </row>
    <row r="53" spans="1:6" ht="16.5" customHeight="1">
      <c r="A53" s="435"/>
      <c r="B53" s="436"/>
      <c r="C53" s="232" t="s">
        <v>1697</v>
      </c>
      <c r="D53" s="224"/>
      <c r="E53" s="224"/>
      <c r="F53" s="225"/>
    </row>
    <row r="54" spans="1:6" ht="16.5" customHeight="1">
      <c r="A54" s="435"/>
      <c r="B54" s="436"/>
      <c r="C54" s="463" t="s">
        <v>1335</v>
      </c>
      <c r="D54" s="464"/>
      <c r="E54" s="464"/>
      <c r="F54" s="465"/>
    </row>
    <row r="55" spans="1:6" ht="16.5" customHeight="1">
      <c r="A55" s="435"/>
      <c r="B55" s="436"/>
      <c r="C55" s="463" t="s">
        <v>1336</v>
      </c>
      <c r="D55" s="464"/>
      <c r="E55" s="464"/>
      <c r="F55" s="465"/>
    </row>
    <row r="56" spans="1:6" ht="16.5" customHeight="1">
      <c r="A56" s="435"/>
      <c r="B56" s="436"/>
      <c r="C56" s="463" t="s">
        <v>1337</v>
      </c>
      <c r="D56" s="464"/>
      <c r="E56" s="464"/>
      <c r="F56" s="465"/>
    </row>
    <row r="57" spans="1:6" ht="16.5" customHeight="1">
      <c r="A57" s="435"/>
      <c r="B57" s="436"/>
      <c r="C57" s="463" t="s">
        <v>1338</v>
      </c>
      <c r="D57" s="464"/>
      <c r="E57" s="464"/>
      <c r="F57" s="465"/>
    </row>
    <row r="58" spans="1:6" ht="16.5" customHeight="1">
      <c r="A58" s="435"/>
      <c r="B58" s="436"/>
      <c r="C58" s="463" t="s">
        <v>1339</v>
      </c>
      <c r="D58" s="464"/>
      <c r="E58" s="464"/>
      <c r="F58" s="465"/>
    </row>
    <row r="59" spans="1:6" ht="16.5" customHeight="1">
      <c r="A59" s="435"/>
      <c r="B59" s="436"/>
      <c r="C59" s="463" t="s">
        <v>1698</v>
      </c>
      <c r="D59" s="464"/>
      <c r="E59" s="464"/>
      <c r="F59" s="465"/>
    </row>
    <row r="60" spans="1:6" ht="16.5" customHeight="1">
      <c r="A60" s="435"/>
      <c r="B60" s="436"/>
      <c r="C60" s="463" t="s">
        <v>1699</v>
      </c>
      <c r="D60" s="464"/>
      <c r="E60" s="464"/>
      <c r="F60" s="465"/>
    </row>
    <row r="61" spans="1:6" ht="16.5" customHeight="1">
      <c r="A61" s="435"/>
      <c r="B61" s="436"/>
      <c r="C61" s="466" t="s">
        <v>1700</v>
      </c>
      <c r="D61" s="467"/>
      <c r="E61" s="467"/>
      <c r="F61" s="468"/>
    </row>
    <row r="62" spans="1:6" ht="16.5" customHeight="1">
      <c r="A62" s="435"/>
      <c r="B62" s="436"/>
      <c r="C62" s="463" t="s">
        <v>1340</v>
      </c>
      <c r="D62" s="464"/>
      <c r="E62" s="464"/>
      <c r="F62" s="465"/>
    </row>
    <row r="63" spans="1:6" ht="16.5" customHeight="1">
      <c r="A63" s="435"/>
      <c r="B63" s="436"/>
      <c r="C63" s="463" t="s">
        <v>1341</v>
      </c>
      <c r="D63" s="464"/>
      <c r="E63" s="464"/>
      <c r="F63" s="465"/>
    </row>
    <row r="64" spans="1:6" ht="16.5" customHeight="1">
      <c r="A64" s="435"/>
      <c r="B64" s="436"/>
      <c r="C64" s="463" t="s">
        <v>1342</v>
      </c>
      <c r="D64" s="464"/>
      <c r="E64" s="464"/>
      <c r="F64" s="465"/>
    </row>
    <row r="65" spans="1:6" ht="16.5" customHeight="1">
      <c r="A65" s="435"/>
      <c r="B65" s="436"/>
      <c r="C65" s="463" t="s">
        <v>1343</v>
      </c>
      <c r="D65" s="464"/>
      <c r="E65" s="464"/>
      <c r="F65" s="465"/>
    </row>
    <row r="66" spans="1:6" ht="16.5" customHeight="1">
      <c r="A66" s="435"/>
      <c r="B66" s="436"/>
      <c r="C66" s="463" t="s">
        <v>1344</v>
      </c>
      <c r="D66" s="464"/>
      <c r="E66" s="464"/>
      <c r="F66" s="465"/>
    </row>
    <row r="67" spans="1:6" ht="16.5" customHeight="1">
      <c r="A67" s="435"/>
      <c r="B67" s="436"/>
      <c r="C67" s="463" t="s">
        <v>1701</v>
      </c>
      <c r="D67" s="464"/>
      <c r="E67" s="464"/>
      <c r="F67" s="465"/>
    </row>
    <row r="68" spans="1:6" ht="16.5" customHeight="1">
      <c r="A68" s="435"/>
      <c r="B68" s="436"/>
      <c r="C68" s="463" t="s">
        <v>1702</v>
      </c>
      <c r="D68" s="464"/>
      <c r="E68" s="464"/>
      <c r="F68" s="465"/>
    </row>
    <row r="69" spans="1:6" ht="16.5" customHeight="1">
      <c r="A69" s="456"/>
      <c r="B69" s="437"/>
      <c r="C69" s="469" t="s">
        <v>1703</v>
      </c>
      <c r="D69" s="470"/>
      <c r="E69" s="470"/>
      <c r="F69" s="471"/>
    </row>
    <row r="70" spans="1:6" ht="16.5" customHeight="1">
      <c r="A70" s="457" t="s">
        <v>155</v>
      </c>
      <c r="B70" s="458"/>
      <c r="C70" s="451" t="s">
        <v>1704</v>
      </c>
      <c r="D70" s="452"/>
      <c r="E70" s="452"/>
      <c r="F70" s="453"/>
    </row>
    <row r="71" spans="1:6" ht="16.5" customHeight="1">
      <c r="A71" s="433" t="s">
        <v>156</v>
      </c>
      <c r="B71" s="434"/>
      <c r="C71" s="438" t="s">
        <v>1705</v>
      </c>
      <c r="D71" s="439"/>
      <c r="E71" s="439"/>
      <c r="F71" s="440"/>
    </row>
    <row r="72" spans="1:6" ht="16.5" customHeight="1">
      <c r="A72" s="456"/>
      <c r="B72" s="437"/>
      <c r="C72" s="444" t="s">
        <v>1706</v>
      </c>
      <c r="D72" s="445"/>
      <c r="E72" s="445"/>
      <c r="F72" s="446"/>
    </row>
    <row r="73" spans="1:6" ht="16.5" customHeight="1">
      <c r="A73" s="433" t="s">
        <v>1707</v>
      </c>
      <c r="B73" s="434"/>
      <c r="C73" s="438" t="s">
        <v>1708</v>
      </c>
      <c r="D73" s="439"/>
      <c r="E73" s="439"/>
      <c r="F73" s="440"/>
    </row>
    <row r="74" spans="1:6" ht="16.5" customHeight="1">
      <c r="A74" s="435"/>
      <c r="B74" s="436"/>
      <c r="C74" s="441" t="s">
        <v>1709</v>
      </c>
      <c r="D74" s="442"/>
      <c r="E74" s="442"/>
      <c r="F74" s="443"/>
    </row>
    <row r="75" spans="1:6" ht="16.5" customHeight="1">
      <c r="A75" s="456"/>
      <c r="B75" s="437"/>
      <c r="C75" s="459" t="s">
        <v>1330</v>
      </c>
      <c r="D75" s="460"/>
      <c r="E75" s="460"/>
      <c r="F75" s="461"/>
    </row>
    <row r="76" spans="1:6" ht="16.5" customHeight="1">
      <c r="A76" s="457" t="s">
        <v>157</v>
      </c>
      <c r="B76" s="458"/>
      <c r="C76" s="451" t="s">
        <v>1710</v>
      </c>
      <c r="D76" s="452"/>
      <c r="E76" s="452"/>
      <c r="F76" s="453"/>
    </row>
    <row r="77" spans="1:6" ht="16.5" customHeight="1">
      <c r="A77" s="395" t="s">
        <v>1711</v>
      </c>
      <c r="B77" s="233" t="s">
        <v>70</v>
      </c>
      <c r="C77" s="431" t="s">
        <v>158</v>
      </c>
      <c r="D77" s="431"/>
      <c r="E77" s="431"/>
      <c r="F77" s="431"/>
    </row>
    <row r="78" spans="1:6" ht="16.5" customHeight="1">
      <c r="A78" s="396"/>
      <c r="B78" s="233" t="s">
        <v>159</v>
      </c>
      <c r="C78" s="431" t="s">
        <v>160</v>
      </c>
      <c r="D78" s="431"/>
      <c r="E78" s="431"/>
      <c r="F78" s="431"/>
    </row>
    <row r="79" spans="1:6" ht="16.5" customHeight="1">
      <c r="A79" s="395" t="s">
        <v>1712</v>
      </c>
      <c r="B79" s="233" t="s">
        <v>161</v>
      </c>
      <c r="C79" s="451" t="s">
        <v>1713</v>
      </c>
      <c r="D79" s="452"/>
      <c r="E79" s="452"/>
      <c r="F79" s="453"/>
    </row>
    <row r="80" spans="1:6" ht="16.5" customHeight="1">
      <c r="A80" s="396"/>
      <c r="B80" s="233" t="s">
        <v>162</v>
      </c>
      <c r="C80" s="451" t="s">
        <v>163</v>
      </c>
      <c r="D80" s="452"/>
      <c r="E80" s="452"/>
      <c r="F80" s="453"/>
    </row>
    <row r="81" spans="1:6" ht="16.5" customHeight="1">
      <c r="A81" s="396"/>
      <c r="B81" s="233" t="s">
        <v>164</v>
      </c>
      <c r="C81" s="451" t="s">
        <v>165</v>
      </c>
      <c r="D81" s="452"/>
      <c r="E81" s="452"/>
      <c r="F81" s="453"/>
    </row>
    <row r="82" spans="1:6" ht="16.5" customHeight="1">
      <c r="A82" s="396"/>
      <c r="B82" s="233" t="s">
        <v>166</v>
      </c>
      <c r="C82" s="451" t="s">
        <v>167</v>
      </c>
      <c r="D82" s="452"/>
      <c r="E82" s="452"/>
      <c r="F82" s="453"/>
    </row>
    <row r="83" spans="1:6" ht="16.5" customHeight="1">
      <c r="A83" s="397"/>
      <c r="B83" s="233" t="s">
        <v>69</v>
      </c>
      <c r="C83" s="451" t="s">
        <v>168</v>
      </c>
      <c r="D83" s="452"/>
      <c r="E83" s="452"/>
      <c r="F83" s="453"/>
    </row>
    <row r="84" spans="1:6" ht="16.5" customHeight="1">
      <c r="A84" s="421" t="s">
        <v>1714</v>
      </c>
      <c r="B84" s="111" t="s">
        <v>1715</v>
      </c>
      <c r="C84" s="451" t="s">
        <v>1716</v>
      </c>
      <c r="D84" s="452"/>
      <c r="E84" s="452"/>
      <c r="F84" s="453"/>
    </row>
    <row r="85" spans="1:6" ht="16.5" customHeight="1">
      <c r="A85" s="421"/>
      <c r="B85" s="454" t="s">
        <v>1717</v>
      </c>
      <c r="C85" s="438" t="s">
        <v>1718</v>
      </c>
      <c r="D85" s="439"/>
      <c r="E85" s="439"/>
      <c r="F85" s="440"/>
    </row>
    <row r="86" spans="1:6" ht="16.5" customHeight="1">
      <c r="A86" s="421"/>
      <c r="B86" s="455"/>
      <c r="C86" s="444" t="s">
        <v>1719</v>
      </c>
      <c r="D86" s="445"/>
      <c r="E86" s="445"/>
      <c r="F86" s="446"/>
    </row>
    <row r="87" spans="1:6" ht="16.5" customHeight="1">
      <c r="A87" s="421"/>
      <c r="B87" s="223" t="s">
        <v>1720</v>
      </c>
      <c r="C87" s="451" t="s">
        <v>1721</v>
      </c>
      <c r="D87" s="452"/>
      <c r="E87" s="452"/>
      <c r="F87" s="453"/>
    </row>
    <row r="88" spans="1:6" ht="16.5" customHeight="1">
      <c r="A88" s="421"/>
      <c r="B88" s="223" t="s">
        <v>1722</v>
      </c>
      <c r="C88" s="451" t="s">
        <v>1723</v>
      </c>
      <c r="D88" s="452"/>
      <c r="E88" s="452"/>
      <c r="F88" s="453"/>
    </row>
    <row r="89" spans="1:6" ht="16.5" customHeight="1">
      <c r="A89" s="421"/>
      <c r="B89" s="223" t="s">
        <v>1724</v>
      </c>
      <c r="C89" s="451" t="s">
        <v>1725</v>
      </c>
      <c r="D89" s="452"/>
      <c r="E89" s="452"/>
      <c r="F89" s="453"/>
    </row>
    <row r="90" spans="1:6" ht="16.5" customHeight="1">
      <c r="A90" s="433" t="s">
        <v>169</v>
      </c>
      <c r="B90" s="434"/>
      <c r="C90" s="438" t="s">
        <v>1594</v>
      </c>
      <c r="D90" s="439"/>
      <c r="E90" s="439"/>
      <c r="F90" s="440"/>
    </row>
    <row r="91" spans="1:6" ht="16.5" customHeight="1">
      <c r="A91" s="456"/>
      <c r="B91" s="437"/>
      <c r="C91" s="444" t="s">
        <v>1345</v>
      </c>
      <c r="D91" s="445"/>
      <c r="E91" s="445"/>
      <c r="F91" s="446"/>
    </row>
    <row r="92" spans="1:6" ht="16.5" customHeight="1">
      <c r="A92" s="433" t="s">
        <v>1726</v>
      </c>
      <c r="B92" s="434"/>
      <c r="C92" s="438" t="s">
        <v>1727</v>
      </c>
      <c r="D92" s="439"/>
      <c r="E92" s="439"/>
      <c r="F92" s="440"/>
    </row>
    <row r="93" spans="1:6" ht="16.5" customHeight="1">
      <c r="A93" s="435"/>
      <c r="B93" s="436"/>
      <c r="C93" s="441" t="s">
        <v>1728</v>
      </c>
      <c r="D93" s="442"/>
      <c r="E93" s="442"/>
      <c r="F93" s="443"/>
    </row>
    <row r="94" spans="1:6" ht="16.5" customHeight="1">
      <c r="A94" s="435"/>
      <c r="B94" s="437"/>
      <c r="C94" s="444" t="s">
        <v>1729</v>
      </c>
      <c r="D94" s="445"/>
      <c r="E94" s="445"/>
      <c r="F94" s="446"/>
    </row>
    <row r="95" spans="1:6" ht="16.5" customHeight="1">
      <c r="A95" s="421" t="s">
        <v>1730</v>
      </c>
      <c r="B95" s="395" t="s">
        <v>1731</v>
      </c>
      <c r="C95" s="432" t="s">
        <v>1732</v>
      </c>
      <c r="D95" s="432"/>
      <c r="E95" s="432"/>
      <c r="F95" s="432"/>
    </row>
    <row r="96" spans="1:6" ht="16.5" customHeight="1">
      <c r="A96" s="421"/>
      <c r="B96" s="396"/>
      <c r="C96" s="448" t="s">
        <v>1733</v>
      </c>
      <c r="D96" s="449"/>
      <c r="E96" s="449"/>
      <c r="F96" s="450"/>
    </row>
    <row r="97" spans="1:6" ht="16.5" customHeight="1">
      <c r="A97" s="421"/>
      <c r="B97" s="397"/>
      <c r="C97" s="444" t="s">
        <v>1734</v>
      </c>
      <c r="D97" s="445"/>
      <c r="E97" s="445"/>
      <c r="F97" s="446"/>
    </row>
    <row r="98" spans="1:6" ht="16.5" customHeight="1">
      <c r="A98" s="421"/>
      <c r="B98" s="395" t="s">
        <v>128</v>
      </c>
      <c r="C98" s="432" t="s">
        <v>1735</v>
      </c>
      <c r="D98" s="432"/>
      <c r="E98" s="432"/>
      <c r="F98" s="432"/>
    </row>
    <row r="99" spans="1:6" ht="16.5" customHeight="1">
      <c r="A99" s="421"/>
      <c r="B99" s="396"/>
      <c r="C99" s="447" t="s">
        <v>1736</v>
      </c>
      <c r="D99" s="447"/>
      <c r="E99" s="447"/>
      <c r="F99" s="447"/>
    </row>
    <row r="100" spans="1:6" ht="16.5" customHeight="1">
      <c r="A100" s="421"/>
      <c r="B100" s="396"/>
      <c r="C100" s="447" t="s">
        <v>1737</v>
      </c>
      <c r="D100" s="447"/>
      <c r="E100" s="447"/>
      <c r="F100" s="447"/>
    </row>
    <row r="101" spans="1:6" ht="16.5" customHeight="1">
      <c r="A101" s="421"/>
      <c r="B101" s="396"/>
      <c r="C101" s="441" t="s">
        <v>1738</v>
      </c>
      <c r="D101" s="442"/>
      <c r="E101" s="442"/>
      <c r="F101" s="443"/>
    </row>
    <row r="102" spans="1:6" ht="16.5" customHeight="1">
      <c r="A102" s="421"/>
      <c r="B102" s="396"/>
      <c r="C102" s="447" t="s">
        <v>1739</v>
      </c>
      <c r="D102" s="447"/>
      <c r="E102" s="447"/>
      <c r="F102" s="447"/>
    </row>
    <row r="103" spans="1:6" ht="16.5" customHeight="1">
      <c r="A103" s="421"/>
      <c r="B103" s="397"/>
      <c r="C103" s="398" t="s">
        <v>1740</v>
      </c>
      <c r="D103" s="399"/>
      <c r="E103" s="399"/>
      <c r="F103" s="400"/>
    </row>
    <row r="104" spans="1:6" ht="16.5" customHeight="1">
      <c r="A104" s="421"/>
      <c r="B104" s="395" t="s">
        <v>138</v>
      </c>
      <c r="C104" s="438" t="s">
        <v>170</v>
      </c>
      <c r="D104" s="439"/>
      <c r="E104" s="439"/>
      <c r="F104" s="440"/>
    </row>
    <row r="105" spans="1:6" ht="16.5" customHeight="1">
      <c r="A105" s="421"/>
      <c r="B105" s="396"/>
      <c r="C105" s="441" t="s">
        <v>1741</v>
      </c>
      <c r="D105" s="442"/>
      <c r="E105" s="442"/>
      <c r="F105" s="443"/>
    </row>
    <row r="106" spans="1:6" ht="16.5" customHeight="1">
      <c r="A106" s="421"/>
      <c r="B106" s="396"/>
      <c r="C106" s="441" t="s">
        <v>1742</v>
      </c>
      <c r="D106" s="442"/>
      <c r="E106" s="442"/>
      <c r="F106" s="443"/>
    </row>
    <row r="107" spans="1:6" ht="16.5" customHeight="1">
      <c r="A107" s="421"/>
      <c r="B107" s="397"/>
      <c r="C107" s="398" t="s">
        <v>1743</v>
      </c>
      <c r="D107" s="399"/>
      <c r="E107" s="399"/>
      <c r="F107" s="400"/>
    </row>
    <row r="108" spans="1:6" ht="16.5" customHeight="1">
      <c r="A108" s="421"/>
      <c r="B108" s="395" t="s">
        <v>1744</v>
      </c>
      <c r="C108" s="438" t="s">
        <v>170</v>
      </c>
      <c r="D108" s="439"/>
      <c r="E108" s="439"/>
      <c r="F108" s="440"/>
    </row>
    <row r="109" spans="1:6" ht="16.5" customHeight="1">
      <c r="A109" s="421"/>
      <c r="B109" s="397"/>
      <c r="C109" s="444" t="s">
        <v>1745</v>
      </c>
      <c r="D109" s="445"/>
      <c r="E109" s="445"/>
      <c r="F109" s="446"/>
    </row>
    <row r="110" spans="1:6" ht="16.5" customHeight="1">
      <c r="A110" s="421"/>
      <c r="B110" s="448" t="s">
        <v>1746</v>
      </c>
      <c r="C110" s="449"/>
      <c r="D110" s="449"/>
      <c r="E110" s="449"/>
      <c r="F110" s="450"/>
    </row>
    <row r="111" spans="1:6" ht="16.5" customHeight="1">
      <c r="A111" s="421"/>
      <c r="B111" s="448" t="s">
        <v>1747</v>
      </c>
      <c r="C111" s="449"/>
      <c r="D111" s="449"/>
      <c r="E111" s="449"/>
      <c r="F111" s="450"/>
    </row>
    <row r="112" spans="1:6" ht="16.5" customHeight="1">
      <c r="A112" s="421" t="s">
        <v>1748</v>
      </c>
      <c r="B112" s="223" t="s">
        <v>146</v>
      </c>
      <c r="C112" s="431" t="s">
        <v>171</v>
      </c>
      <c r="D112" s="431"/>
      <c r="E112" s="431"/>
      <c r="F112" s="431"/>
    </row>
    <row r="113" spans="1:6" ht="16.5" customHeight="1">
      <c r="A113" s="421"/>
      <c r="B113" s="421" t="s">
        <v>147</v>
      </c>
      <c r="C113" s="432" t="s">
        <v>1749</v>
      </c>
      <c r="D113" s="432"/>
      <c r="E113" s="432"/>
      <c r="F113" s="432"/>
    </row>
    <row r="114" spans="1:6" ht="16.5" customHeight="1">
      <c r="A114" s="421"/>
      <c r="B114" s="421"/>
      <c r="C114" s="398" t="s">
        <v>1750</v>
      </c>
      <c r="D114" s="399"/>
      <c r="E114" s="399"/>
      <c r="F114" s="400"/>
    </row>
    <row r="115" spans="1:6" ht="16.5" customHeight="1">
      <c r="A115" s="421"/>
      <c r="B115" s="223" t="s">
        <v>172</v>
      </c>
      <c r="C115" s="431" t="s">
        <v>173</v>
      </c>
      <c r="D115" s="431"/>
      <c r="E115" s="431"/>
      <c r="F115" s="431"/>
    </row>
    <row r="116" spans="1:6" ht="16.5" customHeight="1">
      <c r="A116" s="421"/>
      <c r="B116" s="223" t="s">
        <v>148</v>
      </c>
      <c r="C116" s="431" t="s">
        <v>174</v>
      </c>
      <c r="D116" s="431"/>
      <c r="E116" s="431"/>
      <c r="F116" s="431"/>
    </row>
    <row r="117" spans="1:6" ht="16.5" customHeight="1">
      <c r="A117" s="421"/>
      <c r="B117" s="421" t="s">
        <v>149</v>
      </c>
      <c r="C117" s="432" t="s">
        <v>1751</v>
      </c>
      <c r="D117" s="432"/>
      <c r="E117" s="432"/>
      <c r="F117" s="432"/>
    </row>
    <row r="118" spans="1:6" ht="16.5" customHeight="1">
      <c r="A118" s="421"/>
      <c r="B118" s="421"/>
      <c r="C118" s="398" t="s">
        <v>1752</v>
      </c>
      <c r="D118" s="399"/>
      <c r="E118" s="399"/>
      <c r="F118" s="400"/>
    </row>
    <row r="119" spans="1:6" ht="16.5" customHeight="1">
      <c r="A119" s="421" t="s">
        <v>1753</v>
      </c>
      <c r="B119" s="421"/>
      <c r="C119" s="422" t="s">
        <v>1754</v>
      </c>
      <c r="D119" s="423"/>
      <c r="E119" s="423"/>
      <c r="F119" s="424"/>
    </row>
    <row r="120" spans="1:6" ht="16.5" customHeight="1">
      <c r="A120" s="421"/>
      <c r="B120" s="421"/>
      <c r="C120" s="425" t="s">
        <v>1755</v>
      </c>
      <c r="D120" s="426"/>
      <c r="E120" s="426"/>
      <c r="F120" s="427"/>
    </row>
    <row r="121" spans="1:6" ht="16.5" customHeight="1">
      <c r="A121" s="421"/>
      <c r="B121" s="421"/>
      <c r="C121" s="425" t="s">
        <v>1756</v>
      </c>
      <c r="D121" s="426"/>
      <c r="E121" s="426"/>
      <c r="F121" s="427"/>
    </row>
    <row r="122" spans="1:6" ht="16.5" customHeight="1">
      <c r="A122" s="421"/>
      <c r="B122" s="421"/>
      <c r="C122" s="428" t="s">
        <v>1346</v>
      </c>
      <c r="D122" s="429"/>
      <c r="E122" s="429"/>
      <c r="F122" s="430"/>
    </row>
    <row r="123" spans="1:6" ht="16.5" customHeight="1">
      <c r="A123" s="226"/>
      <c r="B123" s="234"/>
      <c r="C123" s="235"/>
      <c r="D123" s="235"/>
      <c r="E123" s="235"/>
      <c r="F123" s="235"/>
    </row>
    <row r="124" spans="1:6" ht="16.5" customHeight="1">
      <c r="A124" s="219"/>
      <c r="B124" s="219"/>
      <c r="C124" s="219"/>
      <c r="D124" s="219"/>
      <c r="E124" s="219"/>
      <c r="F124" s="219"/>
    </row>
    <row r="125" spans="1:6" ht="24.95" customHeight="1">
      <c r="A125" s="229" t="s">
        <v>1757</v>
      </c>
      <c r="B125" s="236"/>
      <c r="C125" s="224"/>
      <c r="D125" s="224"/>
      <c r="E125" s="224"/>
      <c r="F125" s="224"/>
    </row>
    <row r="126" spans="1:6" ht="16.5" customHeight="1">
      <c r="A126" s="229"/>
      <c r="B126" s="236"/>
      <c r="C126" s="224"/>
      <c r="D126" s="224"/>
      <c r="E126" s="224"/>
      <c r="F126" s="224"/>
    </row>
    <row r="127" spans="1:6" ht="16.5" customHeight="1">
      <c r="A127" s="401" t="s">
        <v>1758</v>
      </c>
      <c r="B127" s="401"/>
      <c r="C127" s="401"/>
      <c r="D127" s="401"/>
      <c r="E127" s="401"/>
      <c r="F127" s="401"/>
    </row>
    <row r="128" spans="1:6" s="238" customFormat="1" ht="16.5" customHeight="1">
      <c r="A128" s="402" t="s">
        <v>1759</v>
      </c>
      <c r="B128" s="402"/>
      <c r="C128" s="402"/>
      <c r="D128" s="402"/>
      <c r="E128" s="402"/>
      <c r="F128" s="402"/>
    </row>
    <row r="129" spans="1:6" s="238" customFormat="1" ht="16.5" customHeight="1">
      <c r="A129" s="402" t="s">
        <v>1760</v>
      </c>
      <c r="B129" s="402"/>
      <c r="C129" s="402"/>
      <c r="D129" s="402"/>
      <c r="E129" s="402"/>
      <c r="F129" s="402"/>
    </row>
    <row r="130" spans="1:6" s="238" customFormat="1" ht="16.5" customHeight="1">
      <c r="A130" s="402" t="s">
        <v>1761</v>
      </c>
      <c r="B130" s="402"/>
      <c r="C130" s="402"/>
      <c r="D130" s="402"/>
      <c r="E130" s="402"/>
      <c r="F130" s="402"/>
    </row>
    <row r="131" spans="1:6" s="238" customFormat="1" ht="16.5" customHeight="1">
      <c r="A131" s="412" t="s">
        <v>1762</v>
      </c>
      <c r="B131" s="412"/>
      <c r="C131" s="412"/>
      <c r="D131" s="412"/>
      <c r="E131" s="412"/>
      <c r="F131" s="412"/>
    </row>
    <row r="132" spans="1:6" ht="16.5" customHeight="1">
      <c r="A132" s="412" t="s">
        <v>1763</v>
      </c>
      <c r="B132" s="412"/>
      <c r="C132" s="412"/>
      <c r="D132" s="412"/>
      <c r="E132" s="412"/>
      <c r="F132" s="412"/>
    </row>
    <row r="133" spans="1:6" ht="16.5" customHeight="1">
      <c r="A133" s="412" t="s">
        <v>1764</v>
      </c>
      <c r="B133" s="412"/>
      <c r="C133" s="412"/>
      <c r="D133" s="412"/>
      <c r="E133" s="412"/>
      <c r="F133" s="412"/>
    </row>
    <row r="134" spans="1:6" ht="16.5" customHeight="1">
      <c r="A134" s="402" t="s">
        <v>1765</v>
      </c>
      <c r="B134" s="402"/>
      <c r="C134" s="402"/>
      <c r="D134" s="402"/>
      <c r="E134" s="402"/>
      <c r="F134" s="402"/>
    </row>
    <row r="135" spans="1:6" ht="16.5" customHeight="1">
      <c r="A135" s="219"/>
      <c r="B135" s="219"/>
      <c r="C135" s="219"/>
      <c r="D135" s="219"/>
      <c r="E135" s="219"/>
      <c r="F135" s="219"/>
    </row>
    <row r="136" spans="1:6" ht="16.5" customHeight="1">
      <c r="A136" s="401" t="s">
        <v>1766</v>
      </c>
      <c r="B136" s="401"/>
      <c r="C136" s="401"/>
      <c r="D136" s="401"/>
      <c r="E136" s="401"/>
      <c r="F136" s="401"/>
    </row>
    <row r="137" spans="1:6" ht="16.5" customHeight="1">
      <c r="A137" s="402" t="s">
        <v>1767</v>
      </c>
      <c r="B137" s="402"/>
      <c r="C137" s="402"/>
      <c r="D137" s="402"/>
      <c r="E137" s="402"/>
      <c r="F137" s="402"/>
    </row>
    <row r="138" spans="1:6" ht="16.5" customHeight="1">
      <c r="A138" s="402" t="s">
        <v>1768</v>
      </c>
      <c r="B138" s="402"/>
      <c r="C138" s="402"/>
      <c r="D138" s="402"/>
      <c r="E138" s="402"/>
      <c r="F138" s="402"/>
    </row>
    <row r="139" spans="1:6" ht="16.5" customHeight="1">
      <c r="A139" s="409" t="s">
        <v>1769</v>
      </c>
      <c r="B139" s="409"/>
      <c r="C139" s="409"/>
      <c r="D139" s="409"/>
      <c r="E139" s="410"/>
      <c r="F139" s="410"/>
    </row>
    <row r="140" spans="1:6" ht="16.5" customHeight="1">
      <c r="A140" s="409" t="s">
        <v>1770</v>
      </c>
      <c r="B140" s="409"/>
      <c r="C140" s="409"/>
      <c r="D140" s="409"/>
      <c r="E140" s="410"/>
      <c r="F140" s="410"/>
    </row>
    <row r="141" spans="1:6" ht="16.5" customHeight="1">
      <c r="A141" s="409" t="s">
        <v>1771</v>
      </c>
      <c r="B141" s="409"/>
      <c r="C141" s="409"/>
      <c r="D141" s="409"/>
      <c r="E141" s="410"/>
      <c r="F141" s="410"/>
    </row>
    <row r="142" spans="1:6" ht="16.5" customHeight="1">
      <c r="A142" s="402" t="s">
        <v>1772</v>
      </c>
      <c r="B142" s="402"/>
      <c r="C142" s="402"/>
      <c r="D142" s="402"/>
      <c r="E142" s="402"/>
      <c r="F142" s="402"/>
    </row>
    <row r="143" spans="1:6" ht="16.5" customHeight="1">
      <c r="A143" s="402" t="s">
        <v>1773</v>
      </c>
      <c r="B143" s="402"/>
      <c r="C143" s="402"/>
      <c r="D143" s="402"/>
      <c r="E143" s="402"/>
      <c r="F143" s="402"/>
    </row>
    <row r="144" spans="1:6" ht="16.5" customHeight="1">
      <c r="A144" s="402" t="s">
        <v>1774</v>
      </c>
      <c r="B144" s="402"/>
      <c r="C144" s="402"/>
      <c r="D144" s="402"/>
      <c r="E144" s="402"/>
      <c r="F144" s="402"/>
    </row>
    <row r="145" spans="1:6" ht="16.5" customHeight="1">
      <c r="A145" s="402" t="s">
        <v>1775</v>
      </c>
      <c r="B145" s="402"/>
      <c r="C145" s="402"/>
      <c r="D145" s="402"/>
      <c r="E145" s="402"/>
      <c r="F145" s="402"/>
    </row>
    <row r="146" spans="1:6" ht="16.5" customHeight="1">
      <c r="A146" s="402" t="s">
        <v>1776</v>
      </c>
      <c r="B146" s="402"/>
      <c r="C146" s="402"/>
      <c r="D146" s="402"/>
      <c r="E146" s="402"/>
      <c r="F146" s="402"/>
    </row>
    <row r="147" spans="1:6" ht="16.5" customHeight="1">
      <c r="A147" s="402" t="s">
        <v>1777</v>
      </c>
      <c r="B147" s="402"/>
      <c r="C147" s="402"/>
      <c r="D147" s="402"/>
      <c r="E147" s="402"/>
      <c r="F147" s="402"/>
    </row>
    <row r="148" spans="1:6" ht="16.5" customHeight="1">
      <c r="A148" s="402"/>
      <c r="B148" s="402"/>
      <c r="C148" s="402"/>
      <c r="D148" s="402"/>
      <c r="E148" s="402"/>
      <c r="F148" s="402"/>
    </row>
    <row r="149" spans="1:6" ht="16.5" customHeight="1">
      <c r="A149" s="401" t="s">
        <v>1778</v>
      </c>
      <c r="B149" s="401"/>
      <c r="C149" s="401"/>
      <c r="D149" s="401"/>
      <c r="E149" s="401"/>
      <c r="F149" s="401"/>
    </row>
    <row r="150" spans="1:6" ht="16.5" customHeight="1">
      <c r="A150" s="402" t="s">
        <v>1767</v>
      </c>
      <c r="B150" s="402"/>
      <c r="C150" s="402"/>
      <c r="D150" s="402"/>
      <c r="E150" s="402"/>
      <c r="F150" s="402"/>
    </row>
    <row r="151" spans="1:6" ht="16.5" customHeight="1">
      <c r="A151" s="402" t="s">
        <v>1779</v>
      </c>
      <c r="B151" s="402"/>
      <c r="C151" s="402"/>
      <c r="D151" s="402"/>
      <c r="E151" s="402"/>
      <c r="F151" s="402"/>
    </row>
    <row r="152" spans="1:6" ht="16.5" customHeight="1">
      <c r="A152" s="402" t="s">
        <v>1780</v>
      </c>
      <c r="B152" s="402"/>
      <c r="C152" s="402"/>
      <c r="D152" s="402"/>
      <c r="E152" s="402"/>
      <c r="F152" s="402"/>
    </row>
    <row r="153" spans="1:6" ht="16.5" customHeight="1">
      <c r="A153" s="402" t="s">
        <v>1781</v>
      </c>
      <c r="B153" s="402"/>
      <c r="C153" s="402"/>
      <c r="D153" s="402"/>
      <c r="E153" s="402"/>
      <c r="F153" s="402"/>
    </row>
    <row r="154" spans="1:6" ht="16.5" customHeight="1">
      <c r="A154" s="420"/>
      <c r="B154" s="420"/>
      <c r="C154" s="420"/>
      <c r="D154" s="420"/>
      <c r="E154" s="420"/>
      <c r="F154" s="420"/>
    </row>
    <row r="155" spans="1:6" ht="16.5" customHeight="1">
      <c r="A155" s="401" t="s">
        <v>1782</v>
      </c>
      <c r="B155" s="401"/>
      <c r="C155" s="401"/>
      <c r="D155" s="401"/>
      <c r="E155" s="401"/>
      <c r="F155" s="401"/>
    </row>
    <row r="156" spans="1:6" ht="16.5" customHeight="1">
      <c r="A156" s="402" t="s">
        <v>1783</v>
      </c>
      <c r="B156" s="402"/>
      <c r="C156" s="402"/>
      <c r="D156" s="402"/>
      <c r="E156" s="402"/>
      <c r="F156" s="402"/>
    </row>
    <row r="157" spans="1:6" ht="16.5" customHeight="1">
      <c r="A157" s="402" t="s">
        <v>1784</v>
      </c>
      <c r="B157" s="402"/>
      <c r="C157" s="402"/>
      <c r="D157" s="402"/>
      <c r="E157" s="402"/>
      <c r="F157" s="402"/>
    </row>
    <row r="158" spans="1:6" ht="16.5" customHeight="1">
      <c r="A158" s="402" t="s">
        <v>1785</v>
      </c>
      <c r="B158" s="402"/>
      <c r="C158" s="402"/>
      <c r="D158" s="402"/>
      <c r="E158" s="402"/>
      <c r="F158" s="402"/>
    </row>
    <row r="159" spans="1:6" ht="16.5" customHeight="1">
      <c r="A159" s="420"/>
      <c r="B159" s="420"/>
      <c r="C159" s="420"/>
      <c r="D159" s="420"/>
      <c r="E159" s="420"/>
      <c r="F159" s="420"/>
    </row>
    <row r="160" spans="1:6" ht="16.5" customHeight="1">
      <c r="A160" s="401" t="s">
        <v>1786</v>
      </c>
      <c r="B160" s="401"/>
      <c r="C160" s="401"/>
      <c r="D160" s="401"/>
      <c r="E160" s="401"/>
      <c r="F160" s="401"/>
    </row>
    <row r="161" spans="1:6" ht="16.5" customHeight="1">
      <c r="A161" s="402" t="s">
        <v>1787</v>
      </c>
      <c r="B161" s="402"/>
      <c r="C161" s="402"/>
      <c r="D161" s="402"/>
      <c r="E161" s="402"/>
      <c r="F161" s="402"/>
    </row>
    <row r="162" spans="1:6" ht="16.5" customHeight="1">
      <c r="A162" s="402" t="s">
        <v>1788</v>
      </c>
      <c r="B162" s="402"/>
      <c r="C162" s="402"/>
      <c r="D162" s="402"/>
      <c r="E162" s="402"/>
      <c r="F162" s="402"/>
    </row>
    <row r="163" spans="1:6" ht="16.5" customHeight="1">
      <c r="A163" s="402" t="s">
        <v>1789</v>
      </c>
      <c r="B163" s="402"/>
      <c r="C163" s="402"/>
      <c r="D163" s="402"/>
      <c r="E163" s="402"/>
      <c r="F163" s="402"/>
    </row>
    <row r="164" spans="1:6" ht="16.5" customHeight="1">
      <c r="A164" s="402" t="s">
        <v>1790</v>
      </c>
      <c r="B164" s="402"/>
      <c r="C164" s="402"/>
      <c r="D164" s="402"/>
      <c r="E164" s="402"/>
      <c r="F164" s="402"/>
    </row>
    <row r="165" spans="1:6" ht="16.5" customHeight="1">
      <c r="A165" s="402"/>
      <c r="B165" s="402"/>
      <c r="C165" s="402"/>
      <c r="D165" s="402"/>
      <c r="E165" s="402"/>
      <c r="F165" s="402"/>
    </row>
    <row r="166" spans="1:6" ht="16.5" customHeight="1">
      <c r="A166" s="401" t="s">
        <v>1791</v>
      </c>
      <c r="B166" s="401"/>
      <c r="C166" s="401"/>
      <c r="D166" s="401"/>
      <c r="E166" s="401"/>
      <c r="F166" s="401"/>
    </row>
    <row r="167" spans="1:6" ht="16.5" customHeight="1">
      <c r="A167" s="418" t="s">
        <v>1792</v>
      </c>
      <c r="B167" s="418"/>
      <c r="C167" s="418"/>
      <c r="D167" s="418"/>
      <c r="E167" s="418"/>
      <c r="F167" s="418"/>
    </row>
    <row r="168" spans="1:6" ht="16.5" customHeight="1">
      <c r="A168" s="409" t="s">
        <v>1793</v>
      </c>
      <c r="B168" s="409"/>
      <c r="C168" s="409"/>
      <c r="D168" s="409"/>
      <c r="E168" s="409"/>
      <c r="F168" s="409"/>
    </row>
    <row r="169" spans="1:6" ht="16.5" customHeight="1">
      <c r="A169" s="409" t="s">
        <v>1794</v>
      </c>
      <c r="B169" s="409"/>
      <c r="C169" s="409"/>
      <c r="D169" s="409"/>
      <c r="E169" s="410"/>
      <c r="F169" s="410"/>
    </row>
    <row r="170" spans="1:6" ht="16.5" customHeight="1">
      <c r="A170" s="409" t="s">
        <v>1795</v>
      </c>
      <c r="B170" s="409"/>
      <c r="C170" s="409"/>
      <c r="D170" s="409"/>
      <c r="E170" s="410"/>
      <c r="F170" s="410"/>
    </row>
    <row r="171" spans="1:6" ht="16.5" customHeight="1">
      <c r="A171" s="409" t="s">
        <v>1796</v>
      </c>
      <c r="B171" s="409"/>
      <c r="C171" s="409"/>
      <c r="D171" s="409"/>
      <c r="E171" s="410"/>
      <c r="F171" s="410"/>
    </row>
    <row r="172" spans="1:6" ht="16.5" customHeight="1">
      <c r="A172" s="413" t="s">
        <v>1797</v>
      </c>
      <c r="B172" s="413"/>
      <c r="C172" s="413"/>
      <c r="D172" s="413"/>
      <c r="E172" s="414"/>
      <c r="F172" s="414"/>
    </row>
    <row r="173" spans="1:6" ht="16.5" customHeight="1">
      <c r="A173" s="219"/>
      <c r="B173" s="219"/>
      <c r="C173" s="219"/>
      <c r="D173" s="219"/>
      <c r="E173" s="219"/>
      <c r="F173" s="219"/>
    </row>
    <row r="174" spans="1:6" ht="16.5" customHeight="1">
      <c r="A174" s="402" t="s">
        <v>1798</v>
      </c>
      <c r="B174" s="402"/>
      <c r="C174" s="402"/>
      <c r="D174" s="402"/>
      <c r="E174" s="402"/>
      <c r="F174" s="402"/>
    </row>
    <row r="175" spans="1:6" ht="16.5" customHeight="1">
      <c r="A175" s="402"/>
      <c r="B175" s="402"/>
      <c r="C175" s="402"/>
      <c r="D175" s="402"/>
      <c r="E175" s="402"/>
      <c r="F175" s="402"/>
    </row>
    <row r="176" spans="1:6" ht="16.5" customHeight="1">
      <c r="A176" s="402" t="s">
        <v>1799</v>
      </c>
      <c r="B176" s="402"/>
      <c r="C176" s="402"/>
      <c r="D176" s="402"/>
      <c r="E176" s="402"/>
      <c r="F176" s="402"/>
    </row>
    <row r="177" spans="1:6" ht="16.5" customHeight="1">
      <c r="A177" s="402" t="s">
        <v>1800</v>
      </c>
      <c r="B177" s="402"/>
      <c r="C177" s="402"/>
      <c r="D177" s="402"/>
      <c r="E177" s="402"/>
      <c r="F177" s="402"/>
    </row>
    <row r="178" spans="1:6" ht="16.5" customHeight="1">
      <c r="A178" s="402" t="s">
        <v>1801</v>
      </c>
      <c r="B178" s="402"/>
      <c r="C178" s="402"/>
      <c r="D178" s="402"/>
      <c r="E178" s="402"/>
      <c r="F178" s="402"/>
    </row>
    <row r="179" spans="1:6" ht="16.5" customHeight="1">
      <c r="A179" s="402" t="s">
        <v>1802</v>
      </c>
      <c r="B179" s="402"/>
      <c r="C179" s="402"/>
      <c r="D179" s="402"/>
      <c r="E179" s="402"/>
      <c r="F179" s="402"/>
    </row>
    <row r="180" spans="1:6" ht="16.5" customHeight="1">
      <c r="A180" s="412" t="s">
        <v>1803</v>
      </c>
      <c r="B180" s="412"/>
      <c r="C180" s="412"/>
      <c r="D180" s="412"/>
      <c r="E180" s="412"/>
      <c r="F180" s="412"/>
    </row>
    <row r="181" spans="1:6" ht="16.5" customHeight="1">
      <c r="A181" s="402" t="s">
        <v>1804</v>
      </c>
      <c r="B181" s="402"/>
      <c r="C181" s="402"/>
      <c r="D181" s="402"/>
      <c r="E181" s="402"/>
      <c r="F181" s="402"/>
    </row>
    <row r="182" spans="1:6" ht="16.5" customHeight="1">
      <c r="A182" s="402" t="s">
        <v>1805</v>
      </c>
      <c r="B182" s="402"/>
      <c r="C182" s="402"/>
      <c r="D182" s="402"/>
      <c r="E182" s="402"/>
      <c r="F182" s="402"/>
    </row>
    <row r="183" spans="1:6" ht="16.5" customHeight="1">
      <c r="A183" s="402" t="s">
        <v>1806</v>
      </c>
      <c r="B183" s="402"/>
      <c r="C183" s="402"/>
      <c r="D183" s="402"/>
      <c r="E183" s="402"/>
      <c r="F183" s="402"/>
    </row>
    <row r="184" spans="1:6" ht="16.5" customHeight="1">
      <c r="A184" s="402" t="s">
        <v>1807</v>
      </c>
      <c r="B184" s="402"/>
      <c r="C184" s="402"/>
      <c r="D184" s="402"/>
      <c r="E184" s="402"/>
      <c r="F184" s="402"/>
    </row>
    <row r="185" spans="1:6" ht="16.5" customHeight="1">
      <c r="A185" s="402" t="s">
        <v>1808</v>
      </c>
      <c r="B185" s="402"/>
      <c r="C185" s="402"/>
      <c r="D185" s="402"/>
      <c r="E185" s="402"/>
      <c r="F185" s="402"/>
    </row>
    <row r="186" spans="1:6" ht="16.5" customHeight="1">
      <c r="A186" s="402" t="s">
        <v>1809</v>
      </c>
      <c r="B186" s="402"/>
      <c r="C186" s="402"/>
      <c r="D186" s="402"/>
      <c r="E186" s="402"/>
      <c r="F186" s="402"/>
    </row>
    <row r="187" spans="1:6" ht="16.5" customHeight="1">
      <c r="A187" s="402" t="s">
        <v>1810</v>
      </c>
      <c r="B187" s="402"/>
      <c r="C187" s="402"/>
      <c r="D187" s="402"/>
      <c r="E187" s="402"/>
      <c r="F187" s="402"/>
    </row>
    <row r="188" spans="1:6" ht="16.5" customHeight="1">
      <c r="A188" s="404" t="s">
        <v>1811</v>
      </c>
      <c r="B188" s="404"/>
      <c r="C188" s="404"/>
      <c r="D188" s="404"/>
      <c r="E188" s="404"/>
      <c r="F188" s="404"/>
    </row>
    <row r="189" spans="1:6" ht="16.5" customHeight="1">
      <c r="A189" s="404" t="s">
        <v>1812</v>
      </c>
      <c r="B189" s="404"/>
      <c r="C189" s="404"/>
      <c r="D189" s="404"/>
      <c r="E189" s="404"/>
      <c r="F189" s="404"/>
    </row>
    <row r="190" spans="1:6" ht="16.5" customHeight="1">
      <c r="A190" s="404" t="s">
        <v>1813</v>
      </c>
      <c r="B190" s="404"/>
      <c r="C190" s="404"/>
      <c r="D190" s="404"/>
      <c r="E190" s="404"/>
      <c r="F190" s="404"/>
    </row>
    <row r="191" spans="1:6" ht="16.5" customHeight="1">
      <c r="A191" s="404" t="s">
        <v>1814</v>
      </c>
      <c r="B191" s="404"/>
      <c r="C191" s="404"/>
      <c r="D191" s="404"/>
      <c r="E191" s="404"/>
      <c r="F191" s="404"/>
    </row>
    <row r="192" spans="1:6" ht="16.5" customHeight="1">
      <c r="A192" s="402" t="s">
        <v>1815</v>
      </c>
      <c r="B192" s="402"/>
      <c r="C192" s="402"/>
      <c r="D192" s="402"/>
      <c r="E192" s="402"/>
      <c r="F192" s="402"/>
    </row>
    <row r="193" spans="1:7" ht="16.5" customHeight="1">
      <c r="A193" s="412" t="s">
        <v>1816</v>
      </c>
      <c r="B193" s="412"/>
      <c r="C193" s="412"/>
      <c r="D193" s="412"/>
      <c r="E193" s="412"/>
      <c r="F193" s="412"/>
    </row>
    <row r="194" spans="1:7" ht="16.5" customHeight="1">
      <c r="A194" s="402" t="s">
        <v>1817</v>
      </c>
      <c r="B194" s="402"/>
      <c r="C194" s="402"/>
      <c r="D194" s="402"/>
      <c r="E194" s="402"/>
      <c r="F194" s="402"/>
    </row>
    <row r="195" spans="1:7" ht="16.5" customHeight="1">
      <c r="A195" s="402" t="s">
        <v>1818</v>
      </c>
      <c r="B195" s="402"/>
      <c r="C195" s="402"/>
      <c r="D195" s="402"/>
      <c r="E195" s="402"/>
      <c r="F195" s="402"/>
    </row>
    <row r="196" spans="1:7" ht="16.5" customHeight="1">
      <c r="A196" s="402" t="s">
        <v>1819</v>
      </c>
      <c r="B196" s="402"/>
      <c r="C196" s="402"/>
      <c r="D196" s="402"/>
      <c r="E196" s="402"/>
      <c r="F196" s="402"/>
    </row>
    <row r="197" spans="1:7" ht="16.5" customHeight="1">
      <c r="A197" s="402" t="s">
        <v>1820</v>
      </c>
      <c r="B197" s="402"/>
      <c r="C197" s="402"/>
      <c r="D197" s="402"/>
      <c r="E197" s="402"/>
      <c r="F197" s="402"/>
    </row>
    <row r="198" spans="1:7" ht="16.5" customHeight="1">
      <c r="A198" s="402" t="s">
        <v>1821</v>
      </c>
      <c r="B198" s="402"/>
      <c r="C198" s="402"/>
      <c r="D198" s="402"/>
      <c r="E198" s="402"/>
      <c r="F198" s="402"/>
    </row>
    <row r="199" spans="1:7" ht="16.5" customHeight="1">
      <c r="A199" s="402" t="s">
        <v>1820</v>
      </c>
      <c r="B199" s="402"/>
      <c r="C199" s="402"/>
      <c r="D199" s="402"/>
      <c r="E199" s="402"/>
      <c r="F199" s="402"/>
    </row>
    <row r="200" spans="1:7" ht="16.5" customHeight="1">
      <c r="A200" s="219"/>
      <c r="B200" s="219"/>
      <c r="C200" s="219"/>
      <c r="D200" s="219"/>
      <c r="E200" s="219"/>
      <c r="F200" s="219"/>
    </row>
    <row r="201" spans="1:7" ht="16.5" customHeight="1">
      <c r="A201" s="401" t="s">
        <v>1822</v>
      </c>
      <c r="B201" s="401"/>
      <c r="C201" s="401"/>
      <c r="D201" s="401"/>
      <c r="E201" s="401"/>
      <c r="F201" s="401"/>
    </row>
    <row r="202" spans="1:7" ht="16.5" customHeight="1">
      <c r="A202" s="402" t="s">
        <v>1823</v>
      </c>
      <c r="B202" s="402"/>
      <c r="C202" s="402"/>
      <c r="D202" s="402"/>
      <c r="E202" s="402"/>
      <c r="F202" s="402"/>
    </row>
    <row r="203" spans="1:7" ht="16.5" customHeight="1">
      <c r="A203" s="409" t="s">
        <v>1824</v>
      </c>
      <c r="B203" s="409"/>
      <c r="C203" s="409"/>
      <c r="D203" s="409"/>
      <c r="E203" s="409"/>
      <c r="F203" s="409"/>
    </row>
    <row r="204" spans="1:7" ht="16.5" customHeight="1">
      <c r="A204" s="409" t="s">
        <v>1825</v>
      </c>
      <c r="B204" s="409"/>
      <c r="C204" s="409"/>
      <c r="D204" s="409"/>
      <c r="E204" s="409"/>
      <c r="F204" s="409"/>
    </row>
    <row r="205" spans="1:7" ht="16.5" customHeight="1">
      <c r="A205" s="413" t="s">
        <v>1826</v>
      </c>
      <c r="B205" s="413"/>
      <c r="C205" s="413"/>
      <c r="D205" s="413"/>
      <c r="E205" s="413"/>
      <c r="F205" s="413"/>
    </row>
    <row r="206" spans="1:7" ht="16.5" customHeight="1">
      <c r="A206" s="413" t="s">
        <v>1827</v>
      </c>
      <c r="B206" s="413"/>
      <c r="C206" s="413"/>
      <c r="D206" s="413"/>
      <c r="E206" s="413"/>
      <c r="F206" s="413"/>
      <c r="G206" s="413"/>
    </row>
    <row r="207" spans="1:7" ht="16.5" customHeight="1">
      <c r="A207" s="219"/>
      <c r="B207" s="219"/>
      <c r="C207" s="219"/>
      <c r="D207" s="219"/>
      <c r="E207" s="219"/>
      <c r="F207" s="219"/>
    </row>
    <row r="208" spans="1:7" ht="16.5" customHeight="1">
      <c r="A208" s="402" t="s">
        <v>1828</v>
      </c>
      <c r="B208" s="402"/>
      <c r="C208" s="402"/>
      <c r="D208" s="402"/>
      <c r="E208" s="402"/>
      <c r="F208" s="402"/>
    </row>
    <row r="209" spans="1:6" ht="16.5" customHeight="1">
      <c r="A209" s="402" t="s">
        <v>1829</v>
      </c>
      <c r="B209" s="402"/>
      <c r="C209" s="402"/>
      <c r="D209" s="402"/>
      <c r="E209" s="402"/>
      <c r="F209" s="402"/>
    </row>
    <row r="210" spans="1:6" ht="16.5" customHeight="1">
      <c r="A210" s="402"/>
      <c r="B210" s="402"/>
      <c r="C210" s="402"/>
      <c r="D210" s="402"/>
      <c r="E210" s="402"/>
      <c r="F210" s="402"/>
    </row>
    <row r="211" spans="1:6" ht="16.5" customHeight="1">
      <c r="A211" s="402" t="s">
        <v>1830</v>
      </c>
      <c r="B211" s="402"/>
      <c r="C211" s="402"/>
      <c r="D211" s="402"/>
      <c r="E211" s="402"/>
      <c r="F211" s="402"/>
    </row>
    <row r="212" spans="1:6" ht="16.5" customHeight="1">
      <c r="A212" s="401" t="s">
        <v>1831</v>
      </c>
      <c r="B212" s="401"/>
      <c r="C212" s="401"/>
      <c r="D212" s="401"/>
      <c r="E212" s="401"/>
      <c r="F212" s="401"/>
    </row>
    <row r="213" spans="1:6" ht="16.5" customHeight="1">
      <c r="A213" s="402" t="s">
        <v>1832</v>
      </c>
      <c r="B213" s="402"/>
      <c r="C213" s="402"/>
      <c r="D213" s="402"/>
      <c r="E213" s="402"/>
      <c r="F213" s="402"/>
    </row>
    <row r="214" spans="1:6" ht="16.5" customHeight="1">
      <c r="A214" s="402" t="s">
        <v>1833</v>
      </c>
      <c r="B214" s="402"/>
      <c r="C214" s="402"/>
      <c r="D214" s="402"/>
      <c r="E214" s="402"/>
      <c r="F214" s="402"/>
    </row>
    <row r="215" spans="1:6" ht="16.5" customHeight="1">
      <c r="A215" s="401" t="s">
        <v>1834</v>
      </c>
      <c r="B215" s="401"/>
      <c r="C215" s="401"/>
      <c r="D215" s="401"/>
      <c r="E215" s="401"/>
      <c r="F215" s="401"/>
    </row>
    <row r="216" spans="1:6" ht="16.5" customHeight="1">
      <c r="A216" s="402" t="s">
        <v>1835</v>
      </c>
      <c r="B216" s="402"/>
      <c r="C216" s="402"/>
      <c r="D216" s="402"/>
      <c r="E216" s="402"/>
      <c r="F216" s="402"/>
    </row>
    <row r="217" spans="1:6" ht="16.5" customHeight="1">
      <c r="A217" s="402" t="s">
        <v>1836</v>
      </c>
      <c r="B217" s="402"/>
      <c r="C217" s="402"/>
      <c r="D217" s="402"/>
      <c r="E217" s="402"/>
      <c r="F217" s="402"/>
    </row>
    <row r="218" spans="1:6" ht="16.5" customHeight="1">
      <c r="A218" s="402" t="s">
        <v>1837</v>
      </c>
      <c r="B218" s="402"/>
      <c r="C218" s="402"/>
      <c r="D218" s="402"/>
      <c r="E218" s="402"/>
      <c r="F218" s="402"/>
    </row>
    <row r="219" spans="1:6" ht="16.5" customHeight="1">
      <c r="A219" s="402" t="s">
        <v>1838</v>
      </c>
      <c r="B219" s="402"/>
      <c r="C219" s="402"/>
      <c r="D219" s="402"/>
      <c r="E219" s="402"/>
      <c r="F219" s="402"/>
    </row>
    <row r="220" spans="1:6" ht="16.5" customHeight="1">
      <c r="A220" s="402" t="s">
        <v>1839</v>
      </c>
      <c r="B220" s="402"/>
      <c r="C220" s="402"/>
      <c r="D220" s="402"/>
      <c r="E220" s="402"/>
      <c r="F220" s="402"/>
    </row>
    <row r="221" spans="1:6" ht="16.5" customHeight="1">
      <c r="A221" s="402" t="s">
        <v>1840</v>
      </c>
      <c r="B221" s="402"/>
      <c r="C221" s="402"/>
      <c r="D221" s="402"/>
      <c r="E221" s="402"/>
      <c r="F221" s="402"/>
    </row>
    <row r="222" spans="1:6" ht="16.5" customHeight="1">
      <c r="A222" s="402" t="s">
        <v>1841</v>
      </c>
      <c r="B222" s="402"/>
      <c r="C222" s="402"/>
      <c r="D222" s="402"/>
      <c r="E222" s="402"/>
      <c r="F222" s="402"/>
    </row>
    <row r="223" spans="1:6" ht="16.5" customHeight="1">
      <c r="A223" s="402" t="s">
        <v>1842</v>
      </c>
      <c r="B223" s="402"/>
      <c r="C223" s="402"/>
      <c r="D223" s="402"/>
      <c r="E223" s="402"/>
      <c r="F223" s="402"/>
    </row>
    <row r="224" spans="1:6" ht="16.5" customHeight="1">
      <c r="A224" s="402" t="s">
        <v>1843</v>
      </c>
      <c r="B224" s="402"/>
      <c r="C224" s="402"/>
      <c r="D224" s="402"/>
      <c r="E224" s="402"/>
      <c r="F224" s="402"/>
    </row>
    <row r="225" spans="1:6" ht="16.5" customHeight="1">
      <c r="A225" s="402" t="s">
        <v>1844</v>
      </c>
      <c r="B225" s="402"/>
      <c r="C225" s="402"/>
      <c r="D225" s="402"/>
      <c r="E225" s="402"/>
      <c r="F225" s="402"/>
    </row>
    <row r="226" spans="1:6" ht="16.5" customHeight="1">
      <c r="A226" s="402" t="s">
        <v>2210</v>
      </c>
      <c r="B226" s="402"/>
      <c r="C226" s="402"/>
      <c r="D226" s="402"/>
      <c r="E226" s="402"/>
      <c r="F226" s="402"/>
    </row>
    <row r="227" spans="1:6" ht="16.5" customHeight="1">
      <c r="A227" s="402" t="s">
        <v>1845</v>
      </c>
      <c r="B227" s="402"/>
      <c r="C227" s="402"/>
      <c r="D227" s="402"/>
      <c r="E227" s="402"/>
      <c r="F227" s="402"/>
    </row>
    <row r="228" spans="1:6" ht="16.5" customHeight="1">
      <c r="A228" s="219"/>
      <c r="B228" s="219"/>
      <c r="C228" s="219"/>
      <c r="D228" s="219"/>
      <c r="E228" s="219"/>
      <c r="F228" s="219"/>
    </row>
    <row r="229" spans="1:6" ht="16.5" customHeight="1">
      <c r="A229" s="219"/>
      <c r="B229" s="219"/>
      <c r="C229" s="219"/>
      <c r="D229" s="219"/>
      <c r="E229" s="219"/>
      <c r="F229" s="219"/>
    </row>
    <row r="230" spans="1:6" ht="16.5" customHeight="1">
      <c r="A230" s="219"/>
      <c r="B230" s="219"/>
      <c r="C230" s="219"/>
      <c r="D230" s="219"/>
      <c r="E230" s="219"/>
      <c r="F230" s="219"/>
    </row>
    <row r="231" spans="1:6" ht="16.5" customHeight="1">
      <c r="A231" s="219"/>
      <c r="B231" s="219"/>
      <c r="C231" s="219"/>
      <c r="D231" s="219"/>
      <c r="E231" s="219"/>
      <c r="F231" s="219"/>
    </row>
    <row r="232" spans="1:6" ht="16.5" customHeight="1">
      <c r="A232" s="219"/>
      <c r="B232" s="219"/>
      <c r="C232" s="219"/>
      <c r="D232" s="219"/>
      <c r="E232" s="219"/>
      <c r="F232" s="219"/>
    </row>
    <row r="233" spans="1:6" ht="16.5" customHeight="1">
      <c r="A233" s="219"/>
      <c r="B233" s="219"/>
      <c r="C233" s="219"/>
      <c r="D233" s="219"/>
      <c r="E233" s="219"/>
      <c r="F233" s="219"/>
    </row>
    <row r="234" spans="1:6" ht="16.5" customHeight="1">
      <c r="A234" s="219"/>
      <c r="B234" s="219"/>
      <c r="C234" s="219"/>
      <c r="D234" s="219"/>
      <c r="E234" s="219"/>
      <c r="F234" s="219"/>
    </row>
    <row r="235" spans="1:6" ht="16.5" customHeight="1">
      <c r="A235" s="412" t="s">
        <v>1846</v>
      </c>
      <c r="B235" s="412"/>
      <c r="C235" s="412"/>
      <c r="D235" s="412"/>
      <c r="E235" s="412"/>
      <c r="F235" s="412"/>
    </row>
    <row r="236" spans="1:6" ht="16.5" customHeight="1">
      <c r="A236" s="402" t="s">
        <v>1847</v>
      </c>
      <c r="B236" s="402"/>
      <c r="C236" s="402"/>
      <c r="D236" s="402"/>
      <c r="E236" s="402"/>
      <c r="F236" s="402"/>
    </row>
    <row r="237" spans="1:6" ht="16.5" customHeight="1">
      <c r="A237" s="402" t="s">
        <v>1848</v>
      </c>
      <c r="B237" s="402"/>
      <c r="C237" s="402"/>
      <c r="D237" s="402"/>
      <c r="E237" s="402"/>
      <c r="F237" s="402"/>
    </row>
    <row r="238" spans="1:6" ht="16.5" customHeight="1">
      <c r="A238" s="402" t="s">
        <v>1849</v>
      </c>
      <c r="B238" s="402"/>
      <c r="C238" s="402"/>
      <c r="D238" s="402"/>
      <c r="E238" s="402"/>
      <c r="F238" s="402"/>
    </row>
    <row r="239" spans="1:6" ht="16.5" customHeight="1">
      <c r="A239" s="402" t="s">
        <v>1850</v>
      </c>
      <c r="B239" s="402"/>
      <c r="C239" s="402"/>
      <c r="D239" s="402"/>
      <c r="E239" s="402"/>
      <c r="F239" s="402"/>
    </row>
    <row r="240" spans="1:6" ht="16.5" customHeight="1">
      <c r="A240" s="402" t="s">
        <v>1851</v>
      </c>
      <c r="B240" s="402"/>
      <c r="C240" s="402"/>
      <c r="D240" s="402"/>
      <c r="E240" s="402"/>
      <c r="F240" s="402"/>
    </row>
    <row r="241" spans="1:6" ht="16.5" customHeight="1">
      <c r="A241" s="402" t="s">
        <v>1852</v>
      </c>
      <c r="B241" s="402"/>
      <c r="C241" s="402"/>
      <c r="D241" s="402"/>
      <c r="E241" s="402"/>
      <c r="F241" s="402"/>
    </row>
    <row r="242" spans="1:6" ht="16.5" customHeight="1">
      <c r="A242" s="402" t="s">
        <v>1853</v>
      </c>
      <c r="B242" s="402"/>
      <c r="C242" s="402"/>
      <c r="D242" s="402"/>
      <c r="E242" s="402"/>
      <c r="F242" s="402"/>
    </row>
    <row r="243" spans="1:6" ht="16.5" customHeight="1">
      <c r="A243" s="402" t="s">
        <v>1854</v>
      </c>
      <c r="B243" s="402"/>
      <c r="C243" s="402"/>
      <c r="D243" s="402"/>
      <c r="E243" s="402"/>
      <c r="F243" s="402"/>
    </row>
    <row r="244" spans="1:6" ht="16.5" customHeight="1">
      <c r="A244" s="402" t="s">
        <v>1855</v>
      </c>
      <c r="B244" s="402"/>
      <c r="C244" s="402"/>
      <c r="D244" s="402"/>
      <c r="E244" s="402"/>
      <c r="F244" s="402"/>
    </row>
    <row r="245" spans="1:6" ht="16.5" customHeight="1">
      <c r="A245" s="401" t="s">
        <v>1856</v>
      </c>
      <c r="B245" s="401"/>
      <c r="C245" s="401"/>
      <c r="D245" s="401"/>
      <c r="E245" s="401"/>
      <c r="F245" s="401"/>
    </row>
    <row r="246" spans="1:6" ht="16.5" customHeight="1">
      <c r="A246" s="419" t="s">
        <v>1857</v>
      </c>
      <c r="B246" s="419"/>
      <c r="C246" s="419"/>
      <c r="D246" s="419"/>
      <c r="E246" s="419"/>
      <c r="F246" s="419"/>
    </row>
    <row r="247" spans="1:6" ht="16.5" customHeight="1">
      <c r="A247" s="402" t="s">
        <v>175</v>
      </c>
      <c r="B247" s="402"/>
      <c r="C247" s="402"/>
      <c r="D247" s="402"/>
      <c r="E247" s="402"/>
      <c r="F247" s="402"/>
    </row>
    <row r="248" spans="1:6" ht="16.5" customHeight="1">
      <c r="A248" s="402" t="s">
        <v>1858</v>
      </c>
      <c r="B248" s="402"/>
      <c r="C248" s="402"/>
      <c r="D248" s="402"/>
      <c r="E248" s="402"/>
      <c r="F248" s="402"/>
    </row>
    <row r="249" spans="1:6" ht="16.5" customHeight="1">
      <c r="A249" s="402" t="s">
        <v>1859</v>
      </c>
      <c r="B249" s="402"/>
      <c r="C249" s="402"/>
      <c r="D249" s="402"/>
      <c r="E249" s="402"/>
      <c r="F249" s="402"/>
    </row>
    <row r="250" spans="1:6" ht="16.5" customHeight="1">
      <c r="A250" s="402" t="s">
        <v>1860</v>
      </c>
      <c r="B250" s="402"/>
      <c r="C250" s="402"/>
      <c r="D250" s="402"/>
      <c r="E250" s="402"/>
      <c r="F250" s="402"/>
    </row>
    <row r="251" spans="1:6" ht="16.5" customHeight="1">
      <c r="A251" s="402" t="s">
        <v>1861</v>
      </c>
      <c r="B251" s="402"/>
      <c r="C251" s="402"/>
      <c r="D251" s="402"/>
      <c r="E251" s="402"/>
      <c r="F251" s="402"/>
    </row>
    <row r="252" spans="1:6" ht="16.5" customHeight="1">
      <c r="A252" s="402" t="s">
        <v>1862</v>
      </c>
      <c r="B252" s="402"/>
      <c r="C252" s="402"/>
      <c r="D252" s="402"/>
      <c r="E252" s="402"/>
      <c r="F252" s="402"/>
    </row>
    <row r="253" spans="1:6" ht="16.5" customHeight="1">
      <c r="A253" s="402" t="s">
        <v>1863</v>
      </c>
      <c r="B253" s="402"/>
      <c r="C253" s="402"/>
      <c r="D253" s="402"/>
      <c r="E253" s="402"/>
      <c r="F253" s="402"/>
    </row>
    <row r="254" spans="1:6" ht="16.5" customHeight="1">
      <c r="A254" s="402" t="s">
        <v>1864</v>
      </c>
      <c r="B254" s="402"/>
      <c r="C254" s="402"/>
      <c r="D254" s="402"/>
      <c r="E254" s="402"/>
      <c r="F254" s="402"/>
    </row>
    <row r="255" spans="1:6" ht="16.5" customHeight="1">
      <c r="A255" s="402" t="s">
        <v>1865</v>
      </c>
      <c r="B255" s="402"/>
      <c r="C255" s="402"/>
      <c r="D255" s="402"/>
      <c r="E255" s="402"/>
      <c r="F255" s="402"/>
    </row>
    <row r="256" spans="1:6" ht="16.5" customHeight="1">
      <c r="A256" s="402" t="s">
        <v>1866</v>
      </c>
      <c r="B256" s="402"/>
      <c r="C256" s="402"/>
      <c r="D256" s="402"/>
      <c r="E256" s="402"/>
      <c r="F256" s="402"/>
    </row>
    <row r="257" spans="1:6" ht="16.5" customHeight="1">
      <c r="A257" s="402" t="s">
        <v>1867</v>
      </c>
      <c r="B257" s="402"/>
      <c r="C257" s="402"/>
      <c r="D257" s="402"/>
      <c r="E257" s="402"/>
      <c r="F257" s="402"/>
    </row>
    <row r="258" spans="1:6" ht="16.5" customHeight="1">
      <c r="A258" s="402" t="s">
        <v>1868</v>
      </c>
      <c r="B258" s="402"/>
      <c r="C258" s="402"/>
      <c r="D258" s="402"/>
      <c r="E258" s="402"/>
      <c r="F258" s="402"/>
    </row>
    <row r="259" spans="1:6" ht="16.5" customHeight="1">
      <c r="A259" s="402" t="s">
        <v>1869</v>
      </c>
      <c r="B259" s="402"/>
      <c r="C259" s="402"/>
      <c r="D259" s="402"/>
      <c r="E259" s="402"/>
      <c r="F259" s="402"/>
    </row>
    <row r="260" spans="1:6" ht="16.5" customHeight="1">
      <c r="A260" s="402" t="s">
        <v>1870</v>
      </c>
      <c r="B260" s="402"/>
      <c r="C260" s="402"/>
      <c r="D260" s="402"/>
      <c r="E260" s="402"/>
      <c r="F260" s="402"/>
    </row>
    <row r="261" spans="1:6" ht="16.5" customHeight="1">
      <c r="A261" s="402" t="s">
        <v>1871</v>
      </c>
      <c r="B261" s="402"/>
      <c r="C261" s="402"/>
      <c r="D261" s="402"/>
      <c r="E261" s="402"/>
      <c r="F261" s="402"/>
    </row>
    <row r="262" spans="1:6" ht="16.5" customHeight="1">
      <c r="A262" s="402" t="s">
        <v>1872</v>
      </c>
      <c r="B262" s="402"/>
      <c r="C262" s="402"/>
      <c r="D262" s="402"/>
      <c r="E262" s="402"/>
      <c r="F262" s="402"/>
    </row>
    <row r="263" spans="1:6" ht="16.5" customHeight="1">
      <c r="A263" s="402"/>
      <c r="B263" s="402"/>
      <c r="C263" s="402"/>
      <c r="D263" s="402"/>
      <c r="E263" s="402"/>
      <c r="F263" s="402"/>
    </row>
    <row r="264" spans="1:6" ht="16.5" customHeight="1">
      <c r="A264" s="401" t="s">
        <v>1873</v>
      </c>
      <c r="B264" s="401"/>
      <c r="C264" s="401"/>
      <c r="D264" s="401"/>
      <c r="E264" s="401"/>
      <c r="F264" s="401"/>
    </row>
    <row r="265" spans="1:6" ht="16.5" customHeight="1">
      <c r="A265" s="402" t="s">
        <v>1874</v>
      </c>
      <c r="B265" s="402"/>
      <c r="C265" s="402"/>
      <c r="D265" s="402"/>
      <c r="E265" s="402"/>
      <c r="F265" s="402"/>
    </row>
    <row r="266" spans="1:6" ht="16.5" customHeight="1">
      <c r="A266" s="412" t="s">
        <v>1875</v>
      </c>
      <c r="B266" s="412"/>
      <c r="C266" s="412"/>
      <c r="D266" s="412"/>
      <c r="E266" s="412"/>
      <c r="F266" s="412"/>
    </row>
    <row r="267" spans="1:6" ht="16.5" customHeight="1">
      <c r="A267" s="402"/>
      <c r="B267" s="402"/>
      <c r="C267" s="402"/>
      <c r="D267" s="402"/>
      <c r="E267" s="402"/>
      <c r="F267" s="402"/>
    </row>
    <row r="268" spans="1:6" ht="16.5" customHeight="1">
      <c r="A268" s="402" t="s">
        <v>1828</v>
      </c>
      <c r="B268" s="402"/>
      <c r="C268" s="402"/>
      <c r="D268" s="402"/>
      <c r="E268" s="402"/>
      <c r="F268" s="402"/>
    </row>
    <row r="269" spans="1:6" ht="16.5" customHeight="1">
      <c r="A269" s="402" t="s">
        <v>1876</v>
      </c>
      <c r="B269" s="402"/>
      <c r="C269" s="402"/>
      <c r="D269" s="402"/>
      <c r="E269" s="402"/>
      <c r="F269" s="402"/>
    </row>
    <row r="270" spans="1:6" ht="16.5" customHeight="1">
      <c r="A270" s="402" t="s">
        <v>1877</v>
      </c>
      <c r="B270" s="402"/>
      <c r="C270" s="402"/>
      <c r="D270" s="402"/>
      <c r="E270" s="402"/>
      <c r="F270" s="402"/>
    </row>
    <row r="271" spans="1:6" ht="16.5" customHeight="1">
      <c r="A271" s="401" t="s">
        <v>1878</v>
      </c>
      <c r="B271" s="401"/>
      <c r="C271" s="401"/>
      <c r="D271" s="401"/>
      <c r="E271" s="401"/>
      <c r="F271" s="401"/>
    </row>
    <row r="272" spans="1:6" ht="16.5" customHeight="1">
      <c r="A272" s="402"/>
      <c r="B272" s="402"/>
      <c r="C272" s="402"/>
      <c r="D272" s="402"/>
      <c r="E272" s="402"/>
      <c r="F272" s="402"/>
    </row>
    <row r="273" spans="1:6" ht="16.5" customHeight="1">
      <c r="A273" s="402" t="s">
        <v>1830</v>
      </c>
      <c r="B273" s="402"/>
      <c r="C273" s="402"/>
      <c r="D273" s="402"/>
      <c r="E273" s="402"/>
      <c r="F273" s="402"/>
    </row>
    <row r="274" spans="1:6" ht="16.5" customHeight="1">
      <c r="A274" s="402" t="s">
        <v>1879</v>
      </c>
      <c r="B274" s="402"/>
      <c r="C274" s="402"/>
      <c r="D274" s="402"/>
      <c r="E274" s="402"/>
      <c r="F274" s="402"/>
    </row>
    <row r="275" spans="1:6" ht="16.5" customHeight="1">
      <c r="A275" s="402" t="s">
        <v>1880</v>
      </c>
      <c r="B275" s="402"/>
      <c r="C275" s="402"/>
      <c r="D275" s="402"/>
      <c r="E275" s="402"/>
      <c r="F275" s="402"/>
    </row>
    <row r="276" spans="1:6" ht="16.5" customHeight="1">
      <c r="A276" s="402" t="s">
        <v>1881</v>
      </c>
      <c r="B276" s="402"/>
      <c r="C276" s="402"/>
      <c r="D276" s="402"/>
      <c r="E276" s="402"/>
      <c r="F276" s="402"/>
    </row>
    <row r="277" spans="1:6" ht="16.5" customHeight="1">
      <c r="A277" s="402" t="s">
        <v>1882</v>
      </c>
      <c r="B277" s="402"/>
      <c r="C277" s="402"/>
      <c r="D277" s="402"/>
      <c r="E277" s="402"/>
      <c r="F277" s="402"/>
    </row>
    <row r="278" spans="1:6" ht="16.5" customHeight="1">
      <c r="A278" s="402"/>
      <c r="B278" s="402"/>
      <c r="C278" s="402"/>
      <c r="D278" s="402"/>
      <c r="E278" s="402"/>
      <c r="F278" s="402"/>
    </row>
    <row r="279" spans="1:6" ht="16.5" customHeight="1">
      <c r="A279" s="401" t="s">
        <v>1883</v>
      </c>
      <c r="B279" s="401"/>
      <c r="C279" s="401"/>
      <c r="D279" s="401"/>
      <c r="E279" s="401"/>
      <c r="F279" s="401"/>
    </row>
    <row r="280" spans="1:6" ht="16.5" customHeight="1">
      <c r="A280" s="418" t="s">
        <v>1884</v>
      </c>
      <c r="B280" s="418"/>
      <c r="C280" s="418"/>
      <c r="D280" s="418"/>
      <c r="E280" s="418"/>
      <c r="F280" s="418"/>
    </row>
    <row r="281" spans="1:6" ht="16.5" customHeight="1">
      <c r="A281" s="409" t="s">
        <v>1885</v>
      </c>
      <c r="B281" s="409"/>
      <c r="C281" s="409"/>
      <c r="D281" s="409"/>
      <c r="E281" s="409"/>
      <c r="F281" s="409"/>
    </row>
    <row r="282" spans="1:6" ht="16.5" customHeight="1">
      <c r="A282" s="409" t="s">
        <v>1886</v>
      </c>
      <c r="B282" s="409"/>
      <c r="C282" s="409"/>
      <c r="D282" s="409"/>
      <c r="E282" s="410"/>
      <c r="F282" s="410"/>
    </row>
    <row r="283" spans="1:6" ht="16.5" customHeight="1">
      <c r="A283" s="409" t="s">
        <v>1887</v>
      </c>
      <c r="B283" s="409"/>
      <c r="C283" s="409"/>
      <c r="D283" s="409"/>
      <c r="E283" s="410"/>
      <c r="F283" s="410"/>
    </row>
    <row r="284" spans="1:6" ht="16.5" customHeight="1">
      <c r="A284" s="409" t="s">
        <v>1888</v>
      </c>
      <c r="B284" s="409"/>
      <c r="C284" s="409"/>
      <c r="D284" s="409"/>
      <c r="E284" s="410"/>
      <c r="F284" s="410"/>
    </row>
    <row r="285" spans="1:6" ht="16.5" customHeight="1">
      <c r="A285" s="409" t="s">
        <v>1889</v>
      </c>
      <c r="B285" s="409"/>
      <c r="C285" s="409"/>
      <c r="D285" s="409"/>
      <c r="E285" s="410"/>
      <c r="F285" s="410"/>
    </row>
    <row r="286" spans="1:6" ht="16.5" customHeight="1">
      <c r="A286" s="411" t="s">
        <v>1890</v>
      </c>
      <c r="B286" s="409"/>
      <c r="C286" s="409"/>
      <c r="D286" s="409"/>
      <c r="E286" s="410"/>
      <c r="F286" s="410"/>
    </row>
    <row r="287" spans="1:6" ht="16.5" customHeight="1">
      <c r="A287" s="409" t="s">
        <v>1891</v>
      </c>
      <c r="B287" s="409"/>
      <c r="C287" s="409"/>
      <c r="D287" s="409"/>
      <c r="E287" s="410"/>
      <c r="F287" s="410"/>
    </row>
    <row r="288" spans="1:6" ht="16.5" customHeight="1">
      <c r="A288" s="415" t="s">
        <v>1892</v>
      </c>
      <c r="B288" s="415"/>
      <c r="C288" s="415"/>
      <c r="D288" s="415"/>
      <c r="E288" s="415"/>
      <c r="F288" s="415"/>
    </row>
    <row r="289" spans="1:6" ht="16.5" customHeight="1">
      <c r="A289" s="409" t="s">
        <v>1893</v>
      </c>
      <c r="B289" s="409"/>
      <c r="C289" s="409"/>
      <c r="D289" s="409"/>
      <c r="E289" s="410"/>
      <c r="F289" s="410"/>
    </row>
    <row r="290" spans="1:6" ht="16.5" customHeight="1">
      <c r="A290" s="409" t="s">
        <v>1894</v>
      </c>
      <c r="B290" s="416"/>
      <c r="C290" s="416"/>
      <c r="D290" s="416"/>
      <c r="E290" s="417"/>
      <c r="F290" s="417"/>
    </row>
    <row r="291" spans="1:6" ht="16.5" customHeight="1">
      <c r="A291" s="409" t="s">
        <v>1895</v>
      </c>
      <c r="B291" s="416"/>
      <c r="C291" s="416"/>
      <c r="D291" s="416"/>
      <c r="E291" s="417"/>
      <c r="F291" s="417"/>
    </row>
    <row r="292" spans="1:6" ht="16.5" customHeight="1">
      <c r="A292" s="409" t="s">
        <v>1896</v>
      </c>
      <c r="B292" s="409"/>
      <c r="C292" s="409"/>
      <c r="D292" s="409"/>
      <c r="E292" s="410"/>
      <c r="F292" s="410"/>
    </row>
    <row r="293" spans="1:6" ht="16.5" customHeight="1">
      <c r="A293" s="413" t="s">
        <v>1897</v>
      </c>
      <c r="B293" s="413"/>
      <c r="C293" s="413"/>
      <c r="D293" s="413"/>
      <c r="E293" s="414"/>
      <c r="F293" s="414"/>
    </row>
    <row r="294" spans="1:6" ht="16.5" customHeight="1">
      <c r="A294" s="413" t="s">
        <v>1898</v>
      </c>
      <c r="B294" s="413"/>
      <c r="C294" s="413"/>
      <c r="D294" s="413"/>
      <c r="E294" s="414"/>
      <c r="F294" s="414"/>
    </row>
    <row r="295" spans="1:6" ht="16.5" customHeight="1">
      <c r="A295" s="413" t="s">
        <v>1899</v>
      </c>
      <c r="B295" s="413"/>
      <c r="C295" s="413"/>
      <c r="D295" s="413"/>
      <c r="E295" s="414"/>
      <c r="F295" s="414"/>
    </row>
    <row r="296" spans="1:6" ht="16.5" customHeight="1">
      <c r="A296" s="409" t="s">
        <v>1900</v>
      </c>
      <c r="B296" s="409"/>
      <c r="C296" s="409"/>
      <c r="D296" s="409"/>
      <c r="E296" s="410"/>
      <c r="F296" s="410"/>
    </row>
    <row r="297" spans="1:6" ht="16.5" customHeight="1">
      <c r="A297" s="220"/>
      <c r="B297" s="220"/>
      <c r="C297" s="220"/>
      <c r="D297" s="220"/>
      <c r="E297" s="221"/>
      <c r="F297" s="221"/>
    </row>
    <row r="298" spans="1:6" ht="16.5" customHeight="1">
      <c r="A298" s="402" t="s">
        <v>1901</v>
      </c>
      <c r="B298" s="402"/>
      <c r="C298" s="402"/>
      <c r="D298" s="402"/>
      <c r="E298" s="402"/>
      <c r="F298" s="402"/>
    </row>
    <row r="299" spans="1:6" ht="16.5" customHeight="1">
      <c r="A299" s="402" t="s">
        <v>1902</v>
      </c>
      <c r="B299" s="402"/>
      <c r="C299" s="402"/>
      <c r="D299" s="402"/>
      <c r="E299" s="402"/>
      <c r="F299" s="402"/>
    </row>
    <row r="300" spans="1:6" ht="16.5" customHeight="1">
      <c r="A300" s="409" t="s">
        <v>1903</v>
      </c>
      <c r="B300" s="409"/>
      <c r="C300" s="409"/>
      <c r="D300" s="409"/>
      <c r="E300" s="410"/>
      <c r="F300" s="410"/>
    </row>
    <row r="301" spans="1:6" ht="16.5" customHeight="1">
      <c r="A301" s="402" t="s">
        <v>1904</v>
      </c>
      <c r="B301" s="402"/>
      <c r="C301" s="402"/>
      <c r="D301" s="402"/>
      <c r="E301" s="402"/>
      <c r="F301" s="402"/>
    </row>
    <row r="302" spans="1:6" ht="16.5" customHeight="1">
      <c r="A302" s="402"/>
      <c r="B302" s="402"/>
      <c r="C302" s="402"/>
      <c r="D302" s="402"/>
      <c r="E302" s="402"/>
      <c r="F302" s="402"/>
    </row>
    <row r="303" spans="1:6" ht="16.5" customHeight="1">
      <c r="A303" s="402" t="s">
        <v>1905</v>
      </c>
      <c r="B303" s="402"/>
      <c r="C303" s="402"/>
      <c r="D303" s="402"/>
      <c r="E303" s="402"/>
      <c r="F303" s="402"/>
    </row>
    <row r="304" spans="1:6" ht="16.5" customHeight="1">
      <c r="A304" s="401" t="s">
        <v>1906</v>
      </c>
      <c r="B304" s="401"/>
      <c r="C304" s="401"/>
      <c r="D304" s="401"/>
      <c r="E304" s="401"/>
      <c r="F304" s="401"/>
    </row>
    <row r="305" spans="1:6" ht="16.5" customHeight="1">
      <c r="A305" s="402" t="s">
        <v>1907</v>
      </c>
      <c r="B305" s="402"/>
      <c r="C305" s="402"/>
      <c r="D305" s="402"/>
      <c r="E305" s="402"/>
      <c r="F305" s="402"/>
    </row>
    <row r="306" spans="1:6" ht="16.5" customHeight="1">
      <c r="A306" s="402" t="s">
        <v>1908</v>
      </c>
      <c r="B306" s="402"/>
      <c r="C306" s="402"/>
      <c r="D306" s="402"/>
      <c r="E306" s="402"/>
      <c r="F306" s="402"/>
    </row>
    <row r="307" spans="1:6" ht="16.5" customHeight="1">
      <c r="A307" s="402" t="s">
        <v>1909</v>
      </c>
      <c r="B307" s="402"/>
      <c r="C307" s="402"/>
      <c r="D307" s="402"/>
      <c r="E307" s="402"/>
      <c r="F307" s="402"/>
    </row>
    <row r="308" spans="1:6" ht="16.5" customHeight="1">
      <c r="A308" s="401" t="s">
        <v>1910</v>
      </c>
      <c r="B308" s="401"/>
      <c r="C308" s="401"/>
      <c r="D308" s="401"/>
      <c r="E308" s="401"/>
      <c r="F308" s="401"/>
    </row>
    <row r="309" spans="1:6" ht="16.5" customHeight="1">
      <c r="A309" s="402" t="s">
        <v>1911</v>
      </c>
      <c r="B309" s="402"/>
      <c r="C309" s="402"/>
      <c r="D309" s="402"/>
      <c r="E309" s="402"/>
      <c r="F309" s="402"/>
    </row>
    <row r="310" spans="1:6" ht="16.5" customHeight="1">
      <c r="A310" s="402" t="s">
        <v>1912</v>
      </c>
      <c r="B310" s="402"/>
      <c r="C310" s="402"/>
      <c r="D310" s="402"/>
      <c r="E310" s="402"/>
      <c r="F310" s="402"/>
    </row>
    <row r="311" spans="1:6" ht="16.5" customHeight="1">
      <c r="A311" s="401" t="s">
        <v>1913</v>
      </c>
      <c r="B311" s="401"/>
      <c r="C311" s="401"/>
      <c r="D311" s="401"/>
      <c r="E311" s="401"/>
      <c r="F311" s="401"/>
    </row>
    <row r="312" spans="1:6" ht="16.5" customHeight="1">
      <c r="A312" s="401" t="s">
        <v>1914</v>
      </c>
      <c r="B312" s="401"/>
      <c r="C312" s="401"/>
      <c r="D312" s="401"/>
      <c r="E312" s="401"/>
      <c r="F312" s="401"/>
    </row>
    <row r="313" spans="1:6" ht="16.5" customHeight="1">
      <c r="A313" s="402" t="s">
        <v>1915</v>
      </c>
      <c r="B313" s="402"/>
      <c r="C313" s="402"/>
      <c r="D313" s="402"/>
      <c r="E313" s="402"/>
      <c r="F313" s="402"/>
    </row>
    <row r="314" spans="1:6" ht="16.5" customHeight="1">
      <c r="A314" s="402" t="s">
        <v>1916</v>
      </c>
      <c r="B314" s="402"/>
      <c r="C314" s="402"/>
      <c r="D314" s="402"/>
      <c r="E314" s="402"/>
      <c r="F314" s="402"/>
    </row>
    <row r="315" spans="1:6" ht="16.5" customHeight="1">
      <c r="A315" s="402" t="s">
        <v>1917</v>
      </c>
      <c r="B315" s="402"/>
      <c r="C315" s="402"/>
      <c r="D315" s="402"/>
      <c r="E315" s="402"/>
      <c r="F315" s="402"/>
    </row>
    <row r="316" spans="1:6" ht="16.5" customHeight="1">
      <c r="A316" s="402" t="s">
        <v>1918</v>
      </c>
      <c r="B316" s="402"/>
      <c r="C316" s="402"/>
      <c r="D316" s="402"/>
      <c r="E316" s="402"/>
      <c r="F316" s="402"/>
    </row>
    <row r="317" spans="1:6" ht="16.5" customHeight="1">
      <c r="A317" s="402" t="s">
        <v>1919</v>
      </c>
      <c r="B317" s="402"/>
      <c r="C317" s="402"/>
      <c r="D317" s="402"/>
      <c r="E317" s="402"/>
      <c r="F317" s="402"/>
    </row>
    <row r="318" spans="1:6" ht="16.5" customHeight="1">
      <c r="A318" s="402" t="s">
        <v>1920</v>
      </c>
      <c r="B318" s="402"/>
      <c r="C318" s="402"/>
      <c r="D318" s="402"/>
      <c r="E318" s="402"/>
      <c r="F318" s="402"/>
    </row>
    <row r="319" spans="1:6" ht="16.5" customHeight="1">
      <c r="A319" s="402" t="s">
        <v>1921</v>
      </c>
      <c r="B319" s="402"/>
      <c r="C319" s="402"/>
      <c r="D319" s="402"/>
      <c r="E319" s="402"/>
      <c r="F319" s="402"/>
    </row>
    <row r="320" spans="1:6" ht="16.5" customHeight="1">
      <c r="A320" s="402" t="s">
        <v>1347</v>
      </c>
      <c r="B320" s="402"/>
      <c r="C320" s="402"/>
      <c r="D320" s="402"/>
      <c r="E320" s="402"/>
      <c r="F320" s="402"/>
    </row>
    <row r="321" spans="1:6" ht="16.5" customHeight="1">
      <c r="A321" s="402" t="s">
        <v>1922</v>
      </c>
      <c r="B321" s="402"/>
      <c r="C321" s="402"/>
      <c r="D321" s="402"/>
      <c r="E321" s="402"/>
      <c r="F321" s="402"/>
    </row>
    <row r="322" spans="1:6" ht="16.5" customHeight="1">
      <c r="A322" s="402" t="s">
        <v>1923</v>
      </c>
      <c r="B322" s="402"/>
      <c r="C322" s="402"/>
      <c r="D322" s="402"/>
      <c r="E322" s="402"/>
      <c r="F322" s="402"/>
    </row>
    <row r="323" spans="1:6" ht="16.5" customHeight="1">
      <c r="A323" s="412" t="s">
        <v>1924</v>
      </c>
      <c r="B323" s="412"/>
      <c r="C323" s="412"/>
      <c r="D323" s="412"/>
      <c r="E323" s="412"/>
      <c r="F323" s="412"/>
    </row>
    <row r="324" spans="1:6" ht="16.5" customHeight="1">
      <c r="A324" s="402" t="s">
        <v>1925</v>
      </c>
      <c r="B324" s="402"/>
      <c r="C324" s="402"/>
      <c r="D324" s="402"/>
      <c r="E324" s="402"/>
      <c r="F324" s="402"/>
    </row>
    <row r="325" spans="1:6" ht="16.5" customHeight="1">
      <c r="A325" s="402"/>
      <c r="B325" s="402"/>
      <c r="C325" s="402"/>
      <c r="D325" s="402"/>
      <c r="E325" s="402"/>
      <c r="F325" s="402"/>
    </row>
    <row r="326" spans="1:6" ht="16.5" customHeight="1">
      <c r="A326" s="401" t="s">
        <v>1926</v>
      </c>
      <c r="B326" s="401"/>
      <c r="C326" s="401"/>
      <c r="D326" s="401"/>
      <c r="E326" s="401"/>
      <c r="F326" s="401"/>
    </row>
    <row r="327" spans="1:6" ht="16.5" customHeight="1">
      <c r="A327" s="402" t="s">
        <v>1927</v>
      </c>
      <c r="B327" s="402"/>
      <c r="C327" s="402"/>
      <c r="D327" s="402"/>
      <c r="E327" s="402"/>
      <c r="F327" s="402"/>
    </row>
    <row r="328" spans="1:6" ht="16.5" customHeight="1">
      <c r="A328" s="409" t="s">
        <v>1903</v>
      </c>
      <c r="B328" s="409"/>
      <c r="C328" s="409"/>
      <c r="D328" s="409"/>
      <c r="E328" s="410"/>
      <c r="F328" s="410"/>
    </row>
    <row r="329" spans="1:6" ht="16.5" customHeight="1">
      <c r="A329" s="402" t="s">
        <v>1928</v>
      </c>
      <c r="B329" s="402"/>
      <c r="C329" s="402"/>
      <c r="D329" s="402"/>
      <c r="E329" s="402"/>
      <c r="F329" s="402"/>
    </row>
    <row r="330" spans="1:6" ht="16.5" customHeight="1">
      <c r="A330" s="402"/>
      <c r="B330" s="402"/>
      <c r="C330" s="402"/>
      <c r="D330" s="402"/>
      <c r="E330" s="402"/>
      <c r="F330" s="402"/>
    </row>
    <row r="331" spans="1:6" ht="16.5" customHeight="1">
      <c r="A331" s="401" t="s">
        <v>1929</v>
      </c>
      <c r="B331" s="401"/>
      <c r="C331" s="401"/>
      <c r="D331" s="401"/>
      <c r="E331" s="401"/>
      <c r="F331" s="401"/>
    </row>
    <row r="332" spans="1:6" ht="16.5" customHeight="1">
      <c r="A332" s="402" t="s">
        <v>1930</v>
      </c>
      <c r="B332" s="402"/>
      <c r="C332" s="402"/>
      <c r="D332" s="402"/>
      <c r="E332" s="402"/>
      <c r="F332" s="402"/>
    </row>
    <row r="333" spans="1:6" ht="16.5" customHeight="1">
      <c r="A333" s="401" t="s">
        <v>1931</v>
      </c>
      <c r="B333" s="401"/>
      <c r="C333" s="401"/>
      <c r="D333" s="401"/>
      <c r="E333" s="401"/>
      <c r="F333" s="401"/>
    </row>
    <row r="334" spans="1:6" ht="16.5" customHeight="1">
      <c r="A334" s="402" t="s">
        <v>1932</v>
      </c>
      <c r="B334" s="402"/>
      <c r="C334" s="402"/>
      <c r="D334" s="402"/>
      <c r="E334" s="402"/>
      <c r="F334" s="402"/>
    </row>
    <row r="335" spans="1:6" ht="16.5" customHeight="1">
      <c r="A335" s="402" t="s">
        <v>1933</v>
      </c>
      <c r="B335" s="402"/>
      <c r="C335" s="402"/>
      <c r="D335" s="402"/>
      <c r="E335" s="402"/>
      <c r="F335" s="402"/>
    </row>
    <row r="336" spans="1:6" ht="16.5" customHeight="1">
      <c r="A336" s="402" t="s">
        <v>1934</v>
      </c>
      <c r="B336" s="402"/>
      <c r="C336" s="402"/>
      <c r="D336" s="402"/>
      <c r="E336" s="402"/>
      <c r="F336" s="402"/>
    </row>
    <row r="337" spans="1:6" ht="16.5" customHeight="1">
      <c r="A337" s="219"/>
      <c r="B337" s="219"/>
      <c r="C337" s="219"/>
      <c r="D337" s="219"/>
      <c r="E337" s="219"/>
      <c r="F337" s="219"/>
    </row>
    <row r="338" spans="1:6" ht="16.5" customHeight="1">
      <c r="A338" s="219"/>
      <c r="B338" s="219"/>
      <c r="C338" s="219"/>
      <c r="D338" s="219"/>
      <c r="E338" s="219"/>
      <c r="F338" s="219"/>
    </row>
    <row r="339" spans="1:6" ht="16.5" customHeight="1">
      <c r="A339" s="219"/>
      <c r="B339" s="219"/>
      <c r="C339" s="219"/>
      <c r="D339" s="219"/>
      <c r="E339" s="219"/>
      <c r="F339" s="219"/>
    </row>
    <row r="340" spans="1:6" ht="16.5" customHeight="1">
      <c r="A340" s="219"/>
      <c r="B340" s="219"/>
      <c r="C340" s="219"/>
      <c r="D340" s="219"/>
      <c r="E340" s="219"/>
      <c r="F340" s="219"/>
    </row>
    <row r="341" spans="1:6" ht="16.5" customHeight="1">
      <c r="A341" s="219"/>
      <c r="B341" s="219"/>
      <c r="C341" s="219"/>
      <c r="D341" s="219"/>
      <c r="E341" s="219"/>
      <c r="F341" s="219"/>
    </row>
    <row r="342" spans="1:6" ht="16.5" customHeight="1">
      <c r="A342" s="219"/>
      <c r="B342" s="219"/>
      <c r="C342" s="219"/>
      <c r="D342" s="219"/>
      <c r="E342" s="219"/>
      <c r="F342" s="219"/>
    </row>
    <row r="343" spans="1:6" ht="16.5" customHeight="1">
      <c r="A343" s="219"/>
      <c r="B343" s="219"/>
      <c r="C343" s="219"/>
      <c r="D343" s="219"/>
      <c r="E343" s="219"/>
      <c r="F343" s="219"/>
    </row>
    <row r="344" spans="1:6" ht="16.5" customHeight="1">
      <c r="A344" s="402" t="s">
        <v>1935</v>
      </c>
      <c r="B344" s="402"/>
      <c r="C344" s="402"/>
      <c r="D344" s="402"/>
      <c r="E344" s="402"/>
      <c r="F344" s="402"/>
    </row>
    <row r="345" spans="1:6" ht="16.5" customHeight="1">
      <c r="A345" s="402" t="s">
        <v>1936</v>
      </c>
      <c r="B345" s="402"/>
      <c r="C345" s="402"/>
      <c r="D345" s="402"/>
      <c r="E345" s="402"/>
      <c r="F345" s="402"/>
    </row>
    <row r="346" spans="1:6" ht="16.5" customHeight="1">
      <c r="A346" s="402" t="s">
        <v>1348</v>
      </c>
      <c r="B346" s="402"/>
      <c r="C346" s="402"/>
      <c r="D346" s="402"/>
      <c r="E346" s="402"/>
      <c r="F346" s="402"/>
    </row>
    <row r="347" spans="1:6" ht="16.5" customHeight="1">
      <c r="A347" s="412" t="s">
        <v>1937</v>
      </c>
      <c r="B347" s="412"/>
      <c r="C347" s="412"/>
      <c r="D347" s="412"/>
      <c r="E347" s="412"/>
      <c r="F347" s="412"/>
    </row>
    <row r="348" spans="1:6" ht="16.5" customHeight="1">
      <c r="A348" s="402" t="s">
        <v>1938</v>
      </c>
      <c r="B348" s="402"/>
      <c r="C348" s="402"/>
      <c r="D348" s="402"/>
      <c r="E348" s="402"/>
      <c r="F348" s="402"/>
    </row>
    <row r="349" spans="1:6" ht="16.5" customHeight="1">
      <c r="A349" s="402" t="s">
        <v>1939</v>
      </c>
      <c r="B349" s="402"/>
      <c r="C349" s="402"/>
      <c r="D349" s="402"/>
      <c r="E349" s="402"/>
      <c r="F349" s="402"/>
    </row>
    <row r="350" spans="1:6" ht="16.5" customHeight="1">
      <c r="A350" s="402" t="s">
        <v>1940</v>
      </c>
      <c r="B350" s="402"/>
      <c r="C350" s="402"/>
      <c r="D350" s="402"/>
      <c r="E350" s="402"/>
      <c r="F350" s="402"/>
    </row>
    <row r="351" spans="1:6" ht="16.5" customHeight="1">
      <c r="A351" s="401" t="s">
        <v>1941</v>
      </c>
      <c r="B351" s="401"/>
      <c r="C351" s="401"/>
      <c r="D351" s="401"/>
      <c r="E351" s="401"/>
      <c r="F351" s="401"/>
    </row>
    <row r="352" spans="1:6" ht="16.5" customHeight="1">
      <c r="A352" s="409" t="s">
        <v>1942</v>
      </c>
      <c r="B352" s="409"/>
      <c r="C352" s="409"/>
      <c r="D352" s="409"/>
      <c r="E352" s="410"/>
      <c r="F352" s="410"/>
    </row>
    <row r="353" spans="1:6" ht="16.5" customHeight="1">
      <c r="A353" s="409" t="s">
        <v>1943</v>
      </c>
      <c r="B353" s="409"/>
      <c r="C353" s="409"/>
      <c r="D353" s="409"/>
      <c r="E353" s="410"/>
      <c r="F353" s="410"/>
    </row>
    <row r="354" spans="1:6" ht="16.5" customHeight="1">
      <c r="A354" s="401" t="s">
        <v>1944</v>
      </c>
      <c r="B354" s="401"/>
      <c r="C354" s="401"/>
      <c r="D354" s="401"/>
      <c r="E354" s="401"/>
      <c r="F354" s="401"/>
    </row>
    <row r="355" spans="1:6" ht="16.5" customHeight="1">
      <c r="A355" s="401" t="s">
        <v>1945</v>
      </c>
      <c r="B355" s="401"/>
      <c r="C355" s="401"/>
      <c r="D355" s="401"/>
      <c r="E355" s="401"/>
      <c r="F355" s="401"/>
    </row>
    <row r="356" spans="1:6" ht="16.5" customHeight="1">
      <c r="A356" s="401" t="s">
        <v>1946</v>
      </c>
      <c r="B356" s="401"/>
      <c r="C356" s="401"/>
      <c r="D356" s="401"/>
      <c r="E356" s="401"/>
      <c r="F356" s="401"/>
    </row>
    <row r="357" spans="1:6" ht="16.5" customHeight="1">
      <c r="A357" s="401" t="s">
        <v>1947</v>
      </c>
      <c r="B357" s="401"/>
      <c r="C357" s="401"/>
      <c r="D357" s="401"/>
      <c r="E357" s="401"/>
      <c r="F357" s="401"/>
    </row>
    <row r="358" spans="1:6" ht="16.5" customHeight="1">
      <c r="A358" s="401" t="s">
        <v>1948</v>
      </c>
      <c r="B358" s="401"/>
      <c r="C358" s="401"/>
      <c r="D358" s="401"/>
      <c r="E358" s="401"/>
      <c r="F358" s="401"/>
    </row>
    <row r="359" spans="1:6" ht="16.5" customHeight="1">
      <c r="A359" s="401" t="s">
        <v>1949</v>
      </c>
      <c r="B359" s="401"/>
      <c r="C359" s="401"/>
      <c r="D359" s="401"/>
      <c r="E359" s="401"/>
      <c r="F359" s="401"/>
    </row>
    <row r="360" spans="1:6" ht="16.5" customHeight="1">
      <c r="A360" s="409" t="s">
        <v>1950</v>
      </c>
      <c r="B360" s="409"/>
      <c r="C360" s="409"/>
      <c r="D360" s="409"/>
      <c r="E360" s="410"/>
      <c r="F360" s="410"/>
    </row>
    <row r="361" spans="1:6" ht="16.5" customHeight="1">
      <c r="A361" s="409" t="s">
        <v>1951</v>
      </c>
      <c r="B361" s="409"/>
      <c r="C361" s="409"/>
      <c r="D361" s="409"/>
      <c r="E361" s="410"/>
      <c r="F361" s="410"/>
    </row>
    <row r="362" spans="1:6" ht="16.5" customHeight="1">
      <c r="A362" s="411" t="s">
        <v>1952</v>
      </c>
      <c r="B362" s="409"/>
      <c r="C362" s="409"/>
      <c r="D362" s="409"/>
      <c r="E362" s="410"/>
      <c r="F362" s="410"/>
    </row>
    <row r="363" spans="1:6" ht="16.5" customHeight="1">
      <c r="A363" s="401" t="s">
        <v>1953</v>
      </c>
      <c r="B363" s="401"/>
      <c r="C363" s="401"/>
      <c r="D363" s="401"/>
      <c r="E363" s="401"/>
      <c r="F363" s="401"/>
    </row>
    <row r="364" spans="1:6" ht="16.5" customHeight="1">
      <c r="A364" s="401" t="s">
        <v>1954</v>
      </c>
      <c r="B364" s="401"/>
      <c r="C364" s="401"/>
      <c r="D364" s="401"/>
      <c r="E364" s="401"/>
      <c r="F364" s="401"/>
    </row>
    <row r="365" spans="1:6" ht="16.5" customHeight="1">
      <c r="A365" s="401" t="s">
        <v>1955</v>
      </c>
      <c r="B365" s="401"/>
      <c r="C365" s="401"/>
      <c r="D365" s="401"/>
      <c r="E365" s="401"/>
      <c r="F365" s="401"/>
    </row>
    <row r="366" spans="1:6" ht="16.5" customHeight="1">
      <c r="A366" s="402"/>
      <c r="B366" s="402"/>
      <c r="C366" s="402"/>
      <c r="D366" s="402"/>
      <c r="E366" s="402"/>
      <c r="F366" s="402"/>
    </row>
    <row r="367" spans="1:6" ht="16.5" customHeight="1">
      <c r="A367" s="401" t="s">
        <v>1956</v>
      </c>
      <c r="B367" s="401"/>
      <c r="C367" s="401"/>
      <c r="D367" s="401"/>
      <c r="E367" s="401"/>
      <c r="F367" s="401"/>
    </row>
    <row r="368" spans="1:6" ht="16.5" customHeight="1">
      <c r="A368" s="402" t="s">
        <v>1823</v>
      </c>
      <c r="B368" s="402"/>
      <c r="C368" s="402"/>
      <c r="D368" s="402"/>
      <c r="E368" s="402"/>
      <c r="F368" s="402"/>
    </row>
    <row r="369" spans="1:6" ht="16.5" customHeight="1">
      <c r="A369" s="402" t="s">
        <v>1957</v>
      </c>
      <c r="B369" s="402"/>
      <c r="C369" s="402"/>
      <c r="D369" s="402"/>
      <c r="E369" s="402"/>
      <c r="F369" s="402"/>
    </row>
    <row r="370" spans="1:6" ht="16.5" customHeight="1">
      <c r="A370" s="402" t="s">
        <v>1958</v>
      </c>
      <c r="B370" s="402"/>
      <c r="C370" s="402"/>
      <c r="D370" s="402"/>
      <c r="E370" s="402"/>
      <c r="F370" s="402"/>
    </row>
    <row r="371" spans="1:6" ht="16.5" customHeight="1">
      <c r="A371" s="402"/>
      <c r="B371" s="402"/>
      <c r="C371" s="402"/>
      <c r="D371" s="402"/>
      <c r="E371" s="402"/>
      <c r="F371" s="402"/>
    </row>
    <row r="372" spans="1:6" ht="16.5" customHeight="1">
      <c r="A372" s="402" t="s">
        <v>1959</v>
      </c>
      <c r="B372" s="402"/>
      <c r="C372" s="402"/>
      <c r="D372" s="402"/>
      <c r="E372" s="402"/>
      <c r="F372" s="402"/>
    </row>
    <row r="373" spans="1:6" ht="16.5" customHeight="1">
      <c r="A373" s="402" t="s">
        <v>1960</v>
      </c>
      <c r="B373" s="402"/>
      <c r="C373" s="402"/>
      <c r="D373" s="402"/>
      <c r="E373" s="402"/>
      <c r="F373" s="402"/>
    </row>
    <row r="374" spans="1:6" ht="16.5" customHeight="1">
      <c r="A374" s="401" t="s">
        <v>1961</v>
      </c>
      <c r="B374" s="401"/>
      <c r="C374" s="401"/>
      <c r="D374" s="401"/>
      <c r="E374" s="401"/>
      <c r="F374" s="401"/>
    </row>
    <row r="375" spans="1:6" ht="16.5" customHeight="1">
      <c r="A375" s="402"/>
      <c r="B375" s="402"/>
      <c r="C375" s="402"/>
      <c r="D375" s="402"/>
      <c r="E375" s="402"/>
      <c r="F375" s="402"/>
    </row>
    <row r="376" spans="1:6" ht="16.5" customHeight="1">
      <c r="A376" s="402" t="s">
        <v>1962</v>
      </c>
      <c r="B376" s="402"/>
      <c r="C376" s="402"/>
      <c r="D376" s="402"/>
      <c r="E376" s="402"/>
      <c r="F376" s="402"/>
    </row>
    <row r="377" spans="1:6" ht="16.5" customHeight="1">
      <c r="A377" s="402" t="s">
        <v>1963</v>
      </c>
      <c r="B377" s="402"/>
      <c r="C377" s="402"/>
      <c r="D377" s="402"/>
      <c r="E377" s="402"/>
      <c r="F377" s="402"/>
    </row>
    <row r="378" spans="1:6" ht="16.5" customHeight="1">
      <c r="A378" s="402" t="s">
        <v>1964</v>
      </c>
      <c r="B378" s="402"/>
      <c r="C378" s="402"/>
      <c r="D378" s="402"/>
      <c r="E378" s="402"/>
      <c r="F378" s="402"/>
    </row>
    <row r="379" spans="1:6" ht="16.5" customHeight="1">
      <c r="A379" s="402" t="s">
        <v>1965</v>
      </c>
      <c r="B379" s="402"/>
      <c r="C379" s="402"/>
      <c r="D379" s="402"/>
      <c r="E379" s="402"/>
      <c r="F379" s="402"/>
    </row>
    <row r="380" spans="1:6" ht="16.5" customHeight="1">
      <c r="A380" s="402" t="s">
        <v>1966</v>
      </c>
      <c r="B380" s="402"/>
      <c r="C380" s="402"/>
      <c r="D380" s="402"/>
      <c r="E380" s="402"/>
      <c r="F380" s="402"/>
    </row>
    <row r="381" spans="1:6" ht="16.5" customHeight="1">
      <c r="A381" s="402" t="s">
        <v>1967</v>
      </c>
      <c r="B381" s="402"/>
      <c r="C381" s="402"/>
      <c r="D381" s="402"/>
      <c r="E381" s="402"/>
      <c r="F381" s="402"/>
    </row>
    <row r="382" spans="1:6" ht="16.5" customHeight="1">
      <c r="A382" s="402" t="s">
        <v>1968</v>
      </c>
      <c r="B382" s="402"/>
      <c r="C382" s="402"/>
      <c r="D382" s="402"/>
      <c r="E382" s="402"/>
      <c r="F382" s="402"/>
    </row>
    <row r="384" spans="1:6" ht="16.5" customHeight="1">
      <c r="A384" s="401" t="s">
        <v>1969</v>
      </c>
      <c r="B384" s="401"/>
      <c r="C384" s="401"/>
      <c r="D384" s="401"/>
      <c r="E384" s="401"/>
      <c r="F384" s="401"/>
    </row>
    <row r="385" spans="1:6" ht="16.5" customHeight="1">
      <c r="A385" s="402" t="s">
        <v>1884</v>
      </c>
      <c r="B385" s="402"/>
      <c r="C385" s="402"/>
      <c r="D385" s="402"/>
      <c r="E385" s="402"/>
      <c r="F385" s="402"/>
    </row>
    <row r="386" spans="1:6" ht="16.5" customHeight="1">
      <c r="A386" s="402" t="s">
        <v>1970</v>
      </c>
      <c r="B386" s="402"/>
      <c r="C386" s="402"/>
      <c r="D386" s="402"/>
      <c r="E386" s="402"/>
      <c r="F386" s="402"/>
    </row>
    <row r="387" spans="1:6" ht="16.5" customHeight="1">
      <c r="A387" s="402" t="s">
        <v>1971</v>
      </c>
      <c r="B387" s="402"/>
      <c r="C387" s="402"/>
      <c r="D387" s="402"/>
      <c r="E387" s="402"/>
      <c r="F387" s="402"/>
    </row>
    <row r="388" spans="1:6" ht="16.5" customHeight="1">
      <c r="A388" s="404" t="s">
        <v>1972</v>
      </c>
      <c r="B388" s="404"/>
      <c r="C388" s="404"/>
      <c r="D388" s="404"/>
      <c r="E388" s="404"/>
      <c r="F388" s="404"/>
    </row>
    <row r="389" spans="1:6" ht="16.5" customHeight="1">
      <c r="A389" s="222"/>
      <c r="B389" s="222"/>
      <c r="C389" s="222"/>
      <c r="D389" s="222"/>
      <c r="E389" s="222"/>
      <c r="F389" s="222"/>
    </row>
    <row r="390" spans="1:6" ht="16.5" customHeight="1">
      <c r="A390" s="402" t="s">
        <v>1973</v>
      </c>
      <c r="B390" s="402"/>
      <c r="C390" s="402"/>
      <c r="D390" s="402"/>
      <c r="E390" s="402"/>
      <c r="F390" s="402"/>
    </row>
    <row r="391" spans="1:6" ht="16.5" customHeight="1">
      <c r="A391" s="404" t="s">
        <v>1974</v>
      </c>
      <c r="B391" s="404"/>
      <c r="C391" s="404"/>
      <c r="D391" s="404"/>
      <c r="E391" s="404"/>
      <c r="F391" s="404"/>
    </row>
    <row r="392" spans="1:6" ht="16.5" customHeight="1">
      <c r="A392" s="402" t="s">
        <v>1975</v>
      </c>
      <c r="B392" s="402"/>
      <c r="C392" s="402"/>
      <c r="D392" s="402"/>
      <c r="E392" s="402"/>
      <c r="F392" s="402"/>
    </row>
    <row r="393" spans="1:6" ht="16.5" customHeight="1">
      <c r="A393" s="404" t="s">
        <v>1976</v>
      </c>
      <c r="B393" s="404"/>
      <c r="C393" s="404"/>
      <c r="D393" s="404"/>
      <c r="E393" s="404"/>
      <c r="F393" s="404"/>
    </row>
    <row r="394" spans="1:6" ht="16.5" customHeight="1">
      <c r="A394" s="222"/>
      <c r="B394" s="222"/>
      <c r="C394" s="222"/>
      <c r="D394" s="222"/>
      <c r="E394" s="222"/>
      <c r="F394" s="222"/>
    </row>
    <row r="395" spans="1:6" ht="16.5" customHeight="1">
      <c r="A395" s="401" t="s">
        <v>1977</v>
      </c>
      <c r="B395" s="401"/>
      <c r="C395" s="401"/>
      <c r="D395" s="401"/>
      <c r="E395" s="401"/>
      <c r="F395" s="401"/>
    </row>
    <row r="396" spans="1:6" ht="16.5" customHeight="1">
      <c r="A396" s="405" t="s">
        <v>1978</v>
      </c>
      <c r="B396" s="405"/>
      <c r="C396" s="405"/>
      <c r="D396" s="405"/>
      <c r="E396" s="405"/>
      <c r="F396" s="405"/>
    </row>
    <row r="397" spans="1:6" ht="16.5" customHeight="1">
      <c r="A397" s="404" t="s">
        <v>1979</v>
      </c>
      <c r="B397" s="406"/>
      <c r="C397" s="406"/>
      <c r="D397" s="406"/>
      <c r="E397" s="406"/>
      <c r="F397" s="406"/>
    </row>
    <row r="398" spans="1:6" ht="16.5" customHeight="1">
      <c r="A398" s="405" t="s">
        <v>1980</v>
      </c>
      <c r="B398" s="405"/>
      <c r="C398" s="405"/>
      <c r="D398" s="405"/>
      <c r="E398" s="405"/>
      <c r="F398" s="405"/>
    </row>
    <row r="399" spans="1:6" ht="16.5" customHeight="1">
      <c r="A399" s="405" t="s">
        <v>1981</v>
      </c>
      <c r="B399" s="405"/>
      <c r="C399" s="405"/>
      <c r="D399" s="405"/>
      <c r="E399" s="405"/>
      <c r="F399" s="405"/>
    </row>
    <row r="400" spans="1:6" ht="16.5" customHeight="1">
      <c r="A400" s="405" t="s">
        <v>1982</v>
      </c>
      <c r="B400" s="405"/>
      <c r="C400" s="405"/>
      <c r="D400" s="405"/>
      <c r="E400" s="405"/>
      <c r="F400" s="405"/>
    </row>
    <row r="401" spans="1:6" ht="16.5" customHeight="1">
      <c r="A401" s="405" t="s">
        <v>1983</v>
      </c>
      <c r="B401" s="405"/>
      <c r="C401" s="405"/>
      <c r="D401" s="405"/>
      <c r="E401" s="405"/>
      <c r="F401" s="405"/>
    </row>
    <row r="402" spans="1:6" ht="16.5" customHeight="1">
      <c r="A402" s="405" t="s">
        <v>1984</v>
      </c>
      <c r="B402" s="407"/>
      <c r="C402" s="407"/>
      <c r="D402" s="407"/>
      <c r="E402" s="407"/>
      <c r="F402" s="407"/>
    </row>
    <row r="403" spans="1:6" ht="16.5" customHeight="1">
      <c r="A403" s="405" t="s">
        <v>1266</v>
      </c>
      <c r="B403" s="405"/>
      <c r="C403" s="405"/>
      <c r="D403" s="405"/>
      <c r="E403" s="405"/>
      <c r="F403" s="405"/>
    </row>
    <row r="404" spans="1:6" ht="16.5" customHeight="1">
      <c r="A404" s="226"/>
      <c r="B404" s="219"/>
      <c r="C404" s="219"/>
      <c r="D404" s="219"/>
      <c r="E404" s="219"/>
      <c r="F404" s="219"/>
    </row>
    <row r="405" spans="1:6" ht="16.5" customHeight="1">
      <c r="A405" s="402" t="s">
        <v>1985</v>
      </c>
      <c r="B405" s="402"/>
      <c r="C405" s="402"/>
      <c r="D405" s="402"/>
      <c r="E405" s="402"/>
      <c r="F405" s="402"/>
    </row>
    <row r="406" spans="1:6" ht="16.5" customHeight="1">
      <c r="A406" s="226" t="s">
        <v>1267</v>
      </c>
      <c r="B406" s="218"/>
      <c r="C406" s="218"/>
      <c r="D406" s="218"/>
      <c r="E406" s="218"/>
      <c r="F406" s="218"/>
    </row>
    <row r="407" spans="1:6" ht="16.5" customHeight="1">
      <c r="A407" s="137" t="s">
        <v>1986</v>
      </c>
      <c r="B407" s="138"/>
      <c r="C407" s="138"/>
      <c r="D407" s="138"/>
      <c r="E407" s="138"/>
      <c r="F407" s="138"/>
    </row>
    <row r="408" spans="1:6" ht="16.5" customHeight="1">
      <c r="A408" s="226" t="s">
        <v>1268</v>
      </c>
      <c r="B408" s="218"/>
      <c r="C408" s="218"/>
      <c r="D408" s="218"/>
      <c r="E408" s="218"/>
      <c r="F408" s="218"/>
    </row>
    <row r="409" spans="1:6" ht="16.5" customHeight="1">
      <c r="A409" s="226" t="s">
        <v>1269</v>
      </c>
      <c r="B409" s="218"/>
      <c r="C409" s="218"/>
      <c r="D409" s="218"/>
      <c r="E409" s="218"/>
      <c r="F409" s="218"/>
    </row>
    <row r="410" spans="1:6" ht="16.5" customHeight="1">
      <c r="A410" s="226" t="s">
        <v>1270</v>
      </c>
      <c r="B410" s="218"/>
      <c r="C410" s="218"/>
      <c r="D410" s="218"/>
      <c r="E410" s="218"/>
      <c r="F410" s="218"/>
    </row>
    <row r="411" spans="1:6" ht="16.5" customHeight="1">
      <c r="A411" s="226" t="s">
        <v>1271</v>
      </c>
      <c r="B411" s="218"/>
      <c r="C411" s="218"/>
      <c r="D411" s="218"/>
      <c r="E411" s="218"/>
      <c r="F411" s="218"/>
    </row>
    <row r="412" spans="1:6" ht="16.5" customHeight="1">
      <c r="A412" s="226" t="s">
        <v>1272</v>
      </c>
      <c r="B412" s="104"/>
      <c r="C412" s="104"/>
      <c r="D412" s="104"/>
      <c r="E412" s="104"/>
      <c r="F412" s="104"/>
    </row>
    <row r="413" spans="1:6" ht="16.5" customHeight="1">
      <c r="A413" s="408"/>
      <c r="B413" s="408"/>
      <c r="C413" s="408"/>
      <c r="D413" s="408"/>
      <c r="E413" s="408"/>
      <c r="F413" s="408"/>
    </row>
    <row r="414" spans="1:6" ht="16.5" customHeight="1">
      <c r="A414" s="401" t="s">
        <v>1987</v>
      </c>
      <c r="B414" s="401"/>
      <c r="C414" s="401"/>
      <c r="D414" s="401"/>
      <c r="E414" s="401"/>
      <c r="F414" s="401"/>
    </row>
    <row r="415" spans="1:6" ht="16.5" customHeight="1">
      <c r="A415" s="402" t="s">
        <v>1823</v>
      </c>
      <c r="B415" s="402"/>
      <c r="C415" s="402"/>
      <c r="D415" s="402"/>
      <c r="E415" s="402"/>
      <c r="F415" s="402"/>
    </row>
    <row r="416" spans="1:6" ht="16.5" customHeight="1">
      <c r="A416" s="402" t="s">
        <v>1988</v>
      </c>
      <c r="B416" s="402"/>
      <c r="C416" s="402"/>
      <c r="D416" s="402"/>
      <c r="E416" s="402"/>
      <c r="F416" s="402"/>
    </row>
    <row r="417" spans="1:6" ht="16.5" customHeight="1">
      <c r="A417" s="402" t="s">
        <v>1989</v>
      </c>
      <c r="B417" s="402"/>
      <c r="C417" s="402"/>
      <c r="D417" s="402"/>
      <c r="E417" s="402"/>
      <c r="F417" s="402"/>
    </row>
    <row r="418" spans="1:6" ht="16.5" customHeight="1">
      <c r="A418" s="402" t="s">
        <v>1990</v>
      </c>
      <c r="B418" s="402"/>
      <c r="C418" s="402"/>
      <c r="D418" s="402"/>
      <c r="E418" s="402"/>
      <c r="F418" s="402"/>
    </row>
    <row r="419" spans="1:6" ht="16.5" customHeight="1">
      <c r="A419" s="402" t="s">
        <v>1991</v>
      </c>
      <c r="B419" s="402"/>
      <c r="C419" s="402"/>
      <c r="D419" s="402"/>
      <c r="E419" s="402"/>
      <c r="F419" s="402"/>
    </row>
    <row r="420" spans="1:6" ht="16.5" customHeight="1">
      <c r="A420" s="402" t="s">
        <v>1992</v>
      </c>
      <c r="B420" s="402"/>
      <c r="C420" s="402"/>
      <c r="D420" s="402"/>
      <c r="E420" s="402"/>
      <c r="F420" s="402"/>
    </row>
    <row r="421" spans="1:6" ht="16.5" customHeight="1">
      <c r="A421" s="402" t="s">
        <v>1993</v>
      </c>
      <c r="B421" s="402"/>
      <c r="C421" s="402"/>
      <c r="D421" s="402"/>
      <c r="E421" s="402"/>
      <c r="F421" s="402"/>
    </row>
    <row r="422" spans="1:6" ht="16.5" customHeight="1">
      <c r="A422" s="403"/>
      <c r="B422" s="403"/>
      <c r="C422" s="403"/>
      <c r="D422" s="403"/>
      <c r="E422" s="403"/>
      <c r="F422" s="403"/>
    </row>
    <row r="423" spans="1:6" ht="16.5" customHeight="1">
      <c r="A423" s="401" t="s">
        <v>1994</v>
      </c>
      <c r="B423" s="401"/>
      <c r="C423" s="401"/>
      <c r="D423" s="401"/>
      <c r="E423" s="401"/>
      <c r="F423" s="401"/>
    </row>
    <row r="424" spans="1:6" ht="16.5" customHeight="1">
      <c r="A424" s="402" t="s">
        <v>1823</v>
      </c>
      <c r="B424" s="402"/>
      <c r="C424" s="402"/>
      <c r="D424" s="402"/>
      <c r="E424" s="402"/>
      <c r="F424" s="402"/>
    </row>
    <row r="425" spans="1:6" ht="16.5" customHeight="1">
      <c r="A425" s="402" t="s">
        <v>1995</v>
      </c>
      <c r="B425" s="402"/>
      <c r="C425" s="402"/>
      <c r="D425" s="402"/>
      <c r="E425" s="402"/>
      <c r="F425" s="402"/>
    </row>
    <row r="426" spans="1:6" ht="16.5" customHeight="1">
      <c r="A426" s="402" t="s">
        <v>1996</v>
      </c>
      <c r="B426" s="402"/>
      <c r="C426" s="402"/>
      <c r="D426" s="402"/>
      <c r="E426" s="402"/>
      <c r="F426" s="402"/>
    </row>
    <row r="427" spans="1:6" ht="16.5" customHeight="1">
      <c r="A427" s="402" t="s">
        <v>1997</v>
      </c>
      <c r="B427" s="402"/>
      <c r="C427" s="402"/>
      <c r="D427" s="402"/>
      <c r="E427" s="402"/>
      <c r="F427" s="402"/>
    </row>
    <row r="428" spans="1:6" ht="16.5" customHeight="1">
      <c r="A428" s="402" t="s">
        <v>1998</v>
      </c>
      <c r="B428" s="402"/>
      <c r="C428" s="402"/>
      <c r="D428" s="402"/>
      <c r="E428" s="402"/>
      <c r="F428" s="402"/>
    </row>
  </sheetData>
  <mergeCells count="412">
    <mergeCell ref="A17:F17"/>
    <mergeCell ref="A18:F18"/>
    <mergeCell ref="A19:F19"/>
    <mergeCell ref="A20:F20"/>
    <mergeCell ref="A21:F21"/>
    <mergeCell ref="A22:F22"/>
    <mergeCell ref="A23:F23"/>
    <mergeCell ref="A10:F10"/>
    <mergeCell ref="A11:F11"/>
    <mergeCell ref="A12:F12"/>
    <mergeCell ref="A13:F13"/>
    <mergeCell ref="A14:F14"/>
    <mergeCell ref="A15:F15"/>
    <mergeCell ref="A16:F16"/>
    <mergeCell ref="A1:F1"/>
    <mergeCell ref="A2:F2"/>
    <mergeCell ref="A3:F3"/>
    <mergeCell ref="A4:F4"/>
    <mergeCell ref="A5:F5"/>
    <mergeCell ref="A6:F6"/>
    <mergeCell ref="A7:F7"/>
    <mergeCell ref="A8:F8"/>
    <mergeCell ref="A9:F9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7:B37"/>
    <mergeCell ref="C37:F37"/>
    <mergeCell ref="A38:B38"/>
    <mergeCell ref="C38:F38"/>
    <mergeCell ref="A39:B41"/>
    <mergeCell ref="C39:F39"/>
    <mergeCell ref="C40:F40"/>
    <mergeCell ref="C41:F41"/>
    <mergeCell ref="A42:B45"/>
    <mergeCell ref="C42:F42"/>
    <mergeCell ref="C43:F43"/>
    <mergeCell ref="C44:F44"/>
    <mergeCell ref="C45:F45"/>
    <mergeCell ref="A46:B69"/>
    <mergeCell ref="C46:F46"/>
    <mergeCell ref="C47:F47"/>
    <mergeCell ref="C49:F49"/>
    <mergeCell ref="C50:F50"/>
    <mergeCell ref="C51:F51"/>
    <mergeCell ref="C52:F52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A70:B70"/>
    <mergeCell ref="C70:F70"/>
    <mergeCell ref="A71:B72"/>
    <mergeCell ref="C71:F71"/>
    <mergeCell ref="C72:F72"/>
    <mergeCell ref="A73:B75"/>
    <mergeCell ref="C73:F73"/>
    <mergeCell ref="C74:F74"/>
    <mergeCell ref="C75:F75"/>
    <mergeCell ref="A76:B76"/>
    <mergeCell ref="C76:F76"/>
    <mergeCell ref="A77:A78"/>
    <mergeCell ref="C77:F77"/>
    <mergeCell ref="C78:F78"/>
    <mergeCell ref="A79:A83"/>
    <mergeCell ref="C79:F79"/>
    <mergeCell ref="C80:F80"/>
    <mergeCell ref="C81:F81"/>
    <mergeCell ref="C82:F82"/>
    <mergeCell ref="C83:F83"/>
    <mergeCell ref="A84:A89"/>
    <mergeCell ref="C84:F84"/>
    <mergeCell ref="B85:B86"/>
    <mergeCell ref="C85:F85"/>
    <mergeCell ref="C86:F86"/>
    <mergeCell ref="C87:F87"/>
    <mergeCell ref="C88:F88"/>
    <mergeCell ref="C89:F89"/>
    <mergeCell ref="A90:B91"/>
    <mergeCell ref="C90:F90"/>
    <mergeCell ref="C91:F91"/>
    <mergeCell ref="A92:B94"/>
    <mergeCell ref="C92:F92"/>
    <mergeCell ref="C93:F93"/>
    <mergeCell ref="C94:F94"/>
    <mergeCell ref="A95:A111"/>
    <mergeCell ref="B95:B97"/>
    <mergeCell ref="C95:F95"/>
    <mergeCell ref="C97:F97"/>
    <mergeCell ref="B98:B103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B108:B109"/>
    <mergeCell ref="C108:F108"/>
    <mergeCell ref="C109:F109"/>
    <mergeCell ref="B110:F110"/>
    <mergeCell ref="B111:F111"/>
    <mergeCell ref="C96:F96"/>
    <mergeCell ref="A112:A118"/>
    <mergeCell ref="C112:F112"/>
    <mergeCell ref="B113:B114"/>
    <mergeCell ref="C113:F113"/>
    <mergeCell ref="C114:F114"/>
    <mergeCell ref="C115:F115"/>
    <mergeCell ref="C116:F116"/>
    <mergeCell ref="B117:B118"/>
    <mergeCell ref="C117:F117"/>
    <mergeCell ref="C118:F118"/>
    <mergeCell ref="A119:B122"/>
    <mergeCell ref="C119:F119"/>
    <mergeCell ref="C120:F120"/>
    <mergeCell ref="C121:F121"/>
    <mergeCell ref="C122:F122"/>
    <mergeCell ref="A127:F127"/>
    <mergeCell ref="A128:F128"/>
    <mergeCell ref="A129:F129"/>
    <mergeCell ref="A130:F130"/>
    <mergeCell ref="A131:F131"/>
    <mergeCell ref="A132:F132"/>
    <mergeCell ref="A133:F133"/>
    <mergeCell ref="A134:F134"/>
    <mergeCell ref="A136:F136"/>
    <mergeCell ref="A137:F137"/>
    <mergeCell ref="A138:F138"/>
    <mergeCell ref="A139:F139"/>
    <mergeCell ref="A140:F140"/>
    <mergeCell ref="A141:F141"/>
    <mergeCell ref="A142:F142"/>
    <mergeCell ref="A143:F143"/>
    <mergeCell ref="A144:F144"/>
    <mergeCell ref="A145:F145"/>
    <mergeCell ref="A155:F155"/>
    <mergeCell ref="A156:F156"/>
    <mergeCell ref="A157:F157"/>
    <mergeCell ref="A158:F158"/>
    <mergeCell ref="A159:F159"/>
    <mergeCell ref="A160:F160"/>
    <mergeCell ref="A161:F161"/>
    <mergeCell ref="A162:F162"/>
    <mergeCell ref="A146:F146"/>
    <mergeCell ref="A147:F147"/>
    <mergeCell ref="A148:F148"/>
    <mergeCell ref="A149:F149"/>
    <mergeCell ref="A150:F150"/>
    <mergeCell ref="A151:F151"/>
    <mergeCell ref="A152:F152"/>
    <mergeCell ref="A153:F153"/>
    <mergeCell ref="A154:F154"/>
    <mergeCell ref="A163:F163"/>
    <mergeCell ref="A164:F164"/>
    <mergeCell ref="A165:F165"/>
    <mergeCell ref="A166:F166"/>
    <mergeCell ref="A167:F167"/>
    <mergeCell ref="A168:F168"/>
    <mergeCell ref="A169:F169"/>
    <mergeCell ref="A170:F170"/>
    <mergeCell ref="A171:F171"/>
    <mergeCell ref="A172:F172"/>
    <mergeCell ref="A174:F174"/>
    <mergeCell ref="A175:F175"/>
    <mergeCell ref="A176:F176"/>
    <mergeCell ref="A177:F177"/>
    <mergeCell ref="A178:F178"/>
    <mergeCell ref="A179:F179"/>
    <mergeCell ref="A180:F180"/>
    <mergeCell ref="A181:F181"/>
    <mergeCell ref="A182:F182"/>
    <mergeCell ref="A183:F183"/>
    <mergeCell ref="A184:F184"/>
    <mergeCell ref="A185:F185"/>
    <mergeCell ref="A186:F186"/>
    <mergeCell ref="A187:F187"/>
    <mergeCell ref="A188:F188"/>
    <mergeCell ref="A189:F189"/>
    <mergeCell ref="A190:F190"/>
    <mergeCell ref="A191:F191"/>
    <mergeCell ref="A192:F192"/>
    <mergeCell ref="A193:F193"/>
    <mergeCell ref="A194:F194"/>
    <mergeCell ref="A195:F195"/>
    <mergeCell ref="A196:F196"/>
    <mergeCell ref="A197:F197"/>
    <mergeCell ref="A198:F198"/>
    <mergeCell ref="A199:F199"/>
    <mergeCell ref="A201:F201"/>
    <mergeCell ref="A202:F202"/>
    <mergeCell ref="A203:F203"/>
    <mergeCell ref="A204:F204"/>
    <mergeCell ref="A205:F205"/>
    <mergeCell ref="A208:F208"/>
    <mergeCell ref="A209:F209"/>
    <mergeCell ref="A210:F210"/>
    <mergeCell ref="A211:F211"/>
    <mergeCell ref="A206:G206"/>
    <mergeCell ref="A212:F212"/>
    <mergeCell ref="A213:F213"/>
    <mergeCell ref="A214:F214"/>
    <mergeCell ref="A215:F215"/>
    <mergeCell ref="A216:F216"/>
    <mergeCell ref="A217:F217"/>
    <mergeCell ref="A218:F218"/>
    <mergeCell ref="A219:F219"/>
    <mergeCell ref="A220:F220"/>
    <mergeCell ref="A221:F221"/>
    <mergeCell ref="A222:F222"/>
    <mergeCell ref="A223:F223"/>
    <mergeCell ref="A224:F224"/>
    <mergeCell ref="A225:F225"/>
    <mergeCell ref="A226:F226"/>
    <mergeCell ref="A227:F227"/>
    <mergeCell ref="A235:F235"/>
    <mergeCell ref="A236:F236"/>
    <mergeCell ref="A237:F237"/>
    <mergeCell ref="A238:F238"/>
    <mergeCell ref="A239:F239"/>
    <mergeCell ref="A240:F240"/>
    <mergeCell ref="A241:F241"/>
    <mergeCell ref="A242:F242"/>
    <mergeCell ref="A243:F243"/>
    <mergeCell ref="A244:F244"/>
    <mergeCell ref="A245:F245"/>
    <mergeCell ref="A246:F246"/>
    <mergeCell ref="A247:F247"/>
    <mergeCell ref="A248:F248"/>
    <mergeCell ref="A249:F249"/>
    <mergeCell ref="A250:F250"/>
    <mergeCell ref="A251:F251"/>
    <mergeCell ref="A252:F252"/>
    <mergeCell ref="A253:F253"/>
    <mergeCell ref="A254:F254"/>
    <mergeCell ref="A255:F255"/>
    <mergeCell ref="A256:F256"/>
    <mergeCell ref="A257:F257"/>
    <mergeCell ref="A258:F258"/>
    <mergeCell ref="A259:F259"/>
    <mergeCell ref="A260:F260"/>
    <mergeCell ref="A261:F261"/>
    <mergeCell ref="A262:F262"/>
    <mergeCell ref="A263:F263"/>
    <mergeCell ref="A264:F264"/>
    <mergeCell ref="A265:F265"/>
    <mergeCell ref="A267:F267"/>
    <mergeCell ref="A268:F268"/>
    <mergeCell ref="A269:F269"/>
    <mergeCell ref="A270:F270"/>
    <mergeCell ref="A271:F271"/>
    <mergeCell ref="A272:F272"/>
    <mergeCell ref="A273:F273"/>
    <mergeCell ref="A266:F266"/>
    <mergeCell ref="A274:F274"/>
    <mergeCell ref="A275:F275"/>
    <mergeCell ref="A276:F276"/>
    <mergeCell ref="A277:F277"/>
    <mergeCell ref="A278:F278"/>
    <mergeCell ref="A279:F279"/>
    <mergeCell ref="A280:F280"/>
    <mergeCell ref="A281:F281"/>
    <mergeCell ref="A282:F282"/>
    <mergeCell ref="A283:F283"/>
    <mergeCell ref="A284:F284"/>
    <mergeCell ref="A285:F285"/>
    <mergeCell ref="A286:F286"/>
    <mergeCell ref="A287:F287"/>
    <mergeCell ref="A288:F288"/>
    <mergeCell ref="A289:F289"/>
    <mergeCell ref="A290:F290"/>
    <mergeCell ref="A291:F291"/>
    <mergeCell ref="A292:F292"/>
    <mergeCell ref="A293:F293"/>
    <mergeCell ref="A294:F294"/>
    <mergeCell ref="A295:F295"/>
    <mergeCell ref="A296:F296"/>
    <mergeCell ref="A298:F298"/>
    <mergeCell ref="A299:F299"/>
    <mergeCell ref="A301:F301"/>
    <mergeCell ref="A302:F302"/>
    <mergeCell ref="A300:F300"/>
    <mergeCell ref="A303:F303"/>
    <mergeCell ref="A304:F304"/>
    <mergeCell ref="A305:F305"/>
    <mergeCell ref="A306:F306"/>
    <mergeCell ref="A307:F307"/>
    <mergeCell ref="A308:F308"/>
    <mergeCell ref="A309:F309"/>
    <mergeCell ref="A310:F310"/>
    <mergeCell ref="A311:F311"/>
    <mergeCell ref="A312:F312"/>
    <mergeCell ref="A313:F313"/>
    <mergeCell ref="A314:F314"/>
    <mergeCell ref="A315:F315"/>
    <mergeCell ref="A316:F316"/>
    <mergeCell ref="A317:F317"/>
    <mergeCell ref="A318:F318"/>
    <mergeCell ref="A319:F319"/>
    <mergeCell ref="A320:F320"/>
    <mergeCell ref="A321:F321"/>
    <mergeCell ref="A322:F322"/>
    <mergeCell ref="A323:F323"/>
    <mergeCell ref="A324:F324"/>
    <mergeCell ref="A325:F325"/>
    <mergeCell ref="A326:F326"/>
    <mergeCell ref="A327:F327"/>
    <mergeCell ref="A329:F329"/>
    <mergeCell ref="A330:F330"/>
    <mergeCell ref="A328:F328"/>
    <mergeCell ref="A331:F331"/>
    <mergeCell ref="A332:F332"/>
    <mergeCell ref="A334:F334"/>
    <mergeCell ref="A335:F335"/>
    <mergeCell ref="A336:F336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91:F391"/>
    <mergeCell ref="A392:F39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425:F425"/>
    <mergeCell ref="A426:F426"/>
    <mergeCell ref="A427:F427"/>
    <mergeCell ref="A428:F428"/>
    <mergeCell ref="A403:F403"/>
    <mergeCell ref="A405:F405"/>
    <mergeCell ref="A413:F413"/>
    <mergeCell ref="A414:F414"/>
    <mergeCell ref="A415:F415"/>
    <mergeCell ref="A416:F416"/>
    <mergeCell ref="A417:F417"/>
    <mergeCell ref="A418:F418"/>
    <mergeCell ref="A419:F419"/>
    <mergeCell ref="B104:B107"/>
    <mergeCell ref="C107:F107"/>
    <mergeCell ref="A333:F333"/>
    <mergeCell ref="A420:F420"/>
    <mergeCell ref="A421:F421"/>
    <mergeCell ref="A422:F422"/>
    <mergeCell ref="A423:F423"/>
    <mergeCell ref="A424:F424"/>
    <mergeCell ref="A393:F393"/>
    <mergeCell ref="A395:F395"/>
    <mergeCell ref="A396:F396"/>
    <mergeCell ref="A397:F397"/>
    <mergeCell ref="A398:F398"/>
    <mergeCell ref="A399:F399"/>
    <mergeCell ref="A400:F400"/>
    <mergeCell ref="A401:F401"/>
    <mergeCell ref="A402:F402"/>
    <mergeCell ref="A382:F382"/>
    <mergeCell ref="A384:F384"/>
    <mergeCell ref="A385:F385"/>
    <mergeCell ref="A386:F386"/>
    <mergeCell ref="A387:F387"/>
    <mergeCell ref="A388:F388"/>
    <mergeCell ref="A390:F39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tToHeight="8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E1:CD52"/>
  <sheetViews>
    <sheetView tabSelected="1" topLeftCell="F4" zoomScale="130" zoomScaleNormal="130" workbookViewId="0">
      <pane ySplit="7" topLeftCell="A29" activePane="bottomLeft" state="frozen"/>
      <selection activeCell="E4" sqref="E4"/>
      <selection pane="bottomLeft" activeCell="M35" sqref="M35"/>
    </sheetView>
  </sheetViews>
  <sheetFormatPr defaultRowHeight="13.5"/>
  <cols>
    <col min="1" max="4" width="0" style="1" hidden="1" customWidth="1"/>
    <col min="5" max="5" width="30" style="1" customWidth="1"/>
    <col min="6" max="6" width="10.875" style="1" customWidth="1"/>
    <col min="7" max="7" width="11" style="1" customWidth="1"/>
    <col min="8" max="8" width="7.875" style="1" customWidth="1"/>
    <col min="9" max="9" width="14.625" style="1" customWidth="1"/>
    <col min="10" max="10" width="8.625" style="1" customWidth="1"/>
    <col min="11" max="11" width="12.5" style="1" customWidth="1"/>
    <col min="12" max="12" width="11" style="1" customWidth="1"/>
    <col min="13" max="13" width="9.5" style="1" customWidth="1"/>
    <col min="14" max="14" width="7.625" style="1" customWidth="1"/>
    <col min="15" max="16" width="7.125" style="1" customWidth="1"/>
    <col min="17" max="19" width="10.625" style="1" customWidth="1"/>
    <col min="20" max="20" width="4.625" style="1" customWidth="1"/>
    <col min="21" max="21" width="5.625" style="1" customWidth="1"/>
    <col min="22" max="22" width="13.5" style="1" customWidth="1"/>
    <col min="23" max="23" width="14.25" style="1" customWidth="1"/>
    <col min="24" max="25" width="7.125" style="1" customWidth="1"/>
    <col min="26" max="26" width="4.125" style="1" customWidth="1"/>
    <col min="27" max="30" width="7.125" style="1" customWidth="1"/>
    <col min="31" max="37" width="7.625" style="1" customWidth="1"/>
    <col min="38" max="38" width="7.125" style="1" customWidth="1"/>
    <col min="39" max="39" width="7.625" style="1" customWidth="1"/>
    <col min="40" max="40" width="13.5" style="1" customWidth="1"/>
    <col min="41" max="42" width="10.25" style="1" customWidth="1"/>
    <col min="43" max="43" width="5" style="1" customWidth="1"/>
    <col min="44" max="44" width="7.625" style="1" customWidth="1"/>
    <col min="45" max="45" width="9.625" style="364" customWidth="1"/>
    <col min="46" max="46" width="10.25" style="364" customWidth="1"/>
    <col min="47" max="47" width="4.5" style="1" customWidth="1"/>
    <col min="48" max="48" width="7.625" style="367" customWidth="1"/>
    <col min="49" max="49" width="10.25" style="1" customWidth="1"/>
    <col min="50" max="50" width="9.5" style="1" customWidth="1"/>
    <col min="51" max="51" width="4.125" style="1" customWidth="1"/>
    <col min="52" max="52" width="7.625" style="1" customWidth="1"/>
    <col min="53" max="53" width="6.625" style="1" customWidth="1"/>
    <col min="54" max="55" width="10.625" style="1" customWidth="1"/>
    <col min="56" max="56" width="4.625" style="1" customWidth="1"/>
    <col min="57" max="57" width="6.625" style="1" customWidth="1"/>
    <col min="58" max="59" width="10.625" style="1" customWidth="1"/>
    <col min="60" max="60" width="4.625" style="1" customWidth="1"/>
    <col min="61" max="61" width="6.625" style="1" customWidth="1"/>
    <col min="62" max="63" width="10.625" style="1" customWidth="1"/>
    <col min="64" max="66" width="4.625" style="1" customWidth="1"/>
    <col min="67" max="67" width="10.125" style="1" customWidth="1"/>
    <col min="68" max="68" width="7.125" style="1" customWidth="1"/>
    <col min="69" max="69" width="7.625" style="1" customWidth="1"/>
    <col min="70" max="70" width="10.125" style="1" customWidth="1"/>
    <col min="71" max="71" width="7.125" style="1" customWidth="1"/>
    <col min="72" max="72" width="7.625" style="1" customWidth="1"/>
    <col min="73" max="73" width="10.125" style="1" customWidth="1"/>
    <col min="74" max="74" width="7.125" style="1" customWidth="1"/>
    <col min="75" max="75" width="7.625" style="1" customWidth="1"/>
    <col min="76" max="76" width="10.125" style="1" customWidth="1"/>
    <col min="77" max="77" width="7.125" style="1" customWidth="1"/>
    <col min="78" max="78" width="10.125" style="1" customWidth="1"/>
    <col min="79" max="79" width="7.125" style="1" customWidth="1"/>
    <col min="80" max="80" width="10.125" style="1" customWidth="1"/>
    <col min="81" max="81" width="7.125" style="1" customWidth="1"/>
    <col min="82" max="82" width="13.5" style="387" bestFit="1" customWidth="1"/>
    <col min="83" max="16384" width="9" style="1"/>
  </cols>
  <sheetData>
    <row r="1" spans="5:81" ht="17.25" hidden="1" customHeight="1"/>
    <row r="2" spans="5:81" ht="17.25" hidden="1" customHeight="1"/>
    <row r="3" spans="5:81" ht="15.75" hidden="1" customHeight="1"/>
    <row r="4" spans="5:81" ht="24" customHeight="1">
      <c r="E4" s="537" t="s">
        <v>1356</v>
      </c>
      <c r="F4" s="537"/>
      <c r="G4" s="537"/>
      <c r="H4" s="537" t="s">
        <v>1357</v>
      </c>
      <c r="I4" s="537"/>
      <c r="J4" s="537"/>
      <c r="K4" s="537"/>
      <c r="L4" s="537"/>
      <c r="M4" s="537"/>
      <c r="N4" s="537"/>
      <c r="O4" s="534" t="s">
        <v>1358</v>
      </c>
      <c r="P4" s="536"/>
      <c r="Q4" s="534" t="s">
        <v>1359</v>
      </c>
      <c r="R4" s="535"/>
      <c r="S4" s="535"/>
      <c r="T4" s="536"/>
      <c r="U4" s="534" t="s">
        <v>1360</v>
      </c>
      <c r="V4" s="535"/>
      <c r="W4" s="536"/>
      <c r="X4" s="534" t="s">
        <v>1361</v>
      </c>
      <c r="Y4" s="536"/>
      <c r="Z4" s="534" t="s">
        <v>1362</v>
      </c>
      <c r="AA4" s="535"/>
      <c r="AB4" s="536"/>
      <c r="AC4" s="534" t="s">
        <v>1363</v>
      </c>
      <c r="AD4" s="536"/>
      <c r="AE4" s="538" t="s">
        <v>1364</v>
      </c>
      <c r="AF4" s="539"/>
      <c r="AG4" s="539"/>
      <c r="AH4" s="539"/>
      <c r="AI4" s="540"/>
      <c r="AJ4" s="541" t="s">
        <v>1365</v>
      </c>
      <c r="AK4" s="541" t="s">
        <v>1366</v>
      </c>
      <c r="AL4" s="523" t="s">
        <v>1367</v>
      </c>
      <c r="AM4" s="541" t="s">
        <v>1368</v>
      </c>
      <c r="AN4" s="520" t="s">
        <v>1369</v>
      </c>
      <c r="AO4" s="521"/>
      <c r="AP4" s="521"/>
      <c r="AQ4" s="522"/>
      <c r="AR4" s="520" t="s">
        <v>1370</v>
      </c>
      <c r="AS4" s="521"/>
      <c r="AT4" s="521"/>
      <c r="AU4" s="522"/>
      <c r="AV4" s="520" t="s">
        <v>1371</v>
      </c>
      <c r="AW4" s="521"/>
      <c r="AX4" s="521"/>
      <c r="AY4" s="522"/>
      <c r="AZ4" s="523" t="s">
        <v>1372</v>
      </c>
      <c r="BA4" s="520" t="s">
        <v>1373</v>
      </c>
      <c r="BB4" s="521"/>
      <c r="BC4" s="521"/>
      <c r="BD4" s="522"/>
      <c r="BE4" s="520" t="s">
        <v>1374</v>
      </c>
      <c r="BF4" s="521"/>
      <c r="BG4" s="521"/>
      <c r="BH4" s="522"/>
      <c r="BI4" s="520" t="s">
        <v>1375</v>
      </c>
      <c r="BJ4" s="521"/>
      <c r="BK4" s="521"/>
      <c r="BL4" s="522"/>
      <c r="BM4" s="523" t="s">
        <v>1376</v>
      </c>
      <c r="BN4" s="523" t="s">
        <v>1377</v>
      </c>
      <c r="BO4" s="520" t="s">
        <v>1378</v>
      </c>
      <c r="BP4" s="521"/>
      <c r="BQ4" s="522"/>
      <c r="BR4" s="520" t="s">
        <v>1379</v>
      </c>
      <c r="BS4" s="521"/>
      <c r="BT4" s="522"/>
      <c r="BU4" s="520" t="s">
        <v>1380</v>
      </c>
      <c r="BV4" s="521"/>
      <c r="BW4" s="522"/>
      <c r="BX4" s="520" t="s">
        <v>1381</v>
      </c>
      <c r="BY4" s="522"/>
      <c r="BZ4" s="520" t="s">
        <v>1382</v>
      </c>
      <c r="CA4" s="522"/>
      <c r="CB4" s="533" t="s">
        <v>1383</v>
      </c>
      <c r="CC4" s="533"/>
    </row>
    <row r="5" spans="5:81" ht="40.5">
      <c r="E5" s="196" t="s">
        <v>130</v>
      </c>
      <c r="F5" s="196" t="s">
        <v>1589</v>
      </c>
      <c r="G5" s="178" t="s">
        <v>1331</v>
      </c>
      <c r="H5" s="178" t="s">
        <v>75</v>
      </c>
      <c r="I5" s="178" t="s">
        <v>1384</v>
      </c>
      <c r="J5" s="178" t="s">
        <v>93</v>
      </c>
      <c r="K5" s="178" t="s">
        <v>1385</v>
      </c>
      <c r="L5" s="182" t="s">
        <v>76</v>
      </c>
      <c r="M5" s="182" t="s">
        <v>1386</v>
      </c>
      <c r="N5" s="182" t="s">
        <v>150</v>
      </c>
      <c r="O5" s="178" t="s">
        <v>1387</v>
      </c>
      <c r="P5" s="178" t="s">
        <v>77</v>
      </c>
      <c r="Q5" s="35" t="s">
        <v>1388</v>
      </c>
      <c r="R5" s="35" t="s">
        <v>78</v>
      </c>
      <c r="S5" s="35" t="s">
        <v>1389</v>
      </c>
      <c r="T5" s="178" t="s">
        <v>79</v>
      </c>
      <c r="U5" s="178" t="s">
        <v>1390</v>
      </c>
      <c r="V5" s="178" t="s">
        <v>68</v>
      </c>
      <c r="W5" s="178" t="s">
        <v>1391</v>
      </c>
      <c r="X5" s="178" t="s">
        <v>80</v>
      </c>
      <c r="Y5" s="178" t="s">
        <v>1392</v>
      </c>
      <c r="Z5" s="178" t="s">
        <v>46</v>
      </c>
      <c r="AA5" s="178" t="s">
        <v>1393</v>
      </c>
      <c r="AB5" s="178" t="s">
        <v>81</v>
      </c>
      <c r="AC5" s="178" t="s">
        <v>1394</v>
      </c>
      <c r="AD5" s="178" t="s">
        <v>82</v>
      </c>
      <c r="AE5" s="178" t="s">
        <v>1395</v>
      </c>
      <c r="AF5" s="182" t="s">
        <v>83</v>
      </c>
      <c r="AG5" s="178" t="s">
        <v>1396</v>
      </c>
      <c r="AH5" s="183" t="s">
        <v>84</v>
      </c>
      <c r="AI5" s="183" t="s">
        <v>1397</v>
      </c>
      <c r="AJ5" s="542"/>
      <c r="AK5" s="542"/>
      <c r="AL5" s="524"/>
      <c r="AM5" s="542"/>
      <c r="AN5" s="36" t="s">
        <v>1398</v>
      </c>
      <c r="AO5" s="37" t="s">
        <v>1399</v>
      </c>
      <c r="AP5" s="37" t="s">
        <v>85</v>
      </c>
      <c r="AQ5" s="185" t="s">
        <v>1400</v>
      </c>
      <c r="AR5" s="36" t="s">
        <v>1398</v>
      </c>
      <c r="AS5" s="35" t="s">
        <v>1399</v>
      </c>
      <c r="AT5" s="35" t="s">
        <v>85</v>
      </c>
      <c r="AU5" s="185" t="s">
        <v>1400</v>
      </c>
      <c r="AV5" s="36" t="s">
        <v>1398</v>
      </c>
      <c r="AW5" s="37" t="s">
        <v>1399</v>
      </c>
      <c r="AX5" s="37" t="s">
        <v>85</v>
      </c>
      <c r="AY5" s="185" t="s">
        <v>1400</v>
      </c>
      <c r="AZ5" s="524"/>
      <c r="BA5" s="36" t="s">
        <v>1398</v>
      </c>
      <c r="BB5" s="37" t="s">
        <v>1399</v>
      </c>
      <c r="BC5" s="37" t="s">
        <v>85</v>
      </c>
      <c r="BD5" s="185" t="s">
        <v>1400</v>
      </c>
      <c r="BE5" s="36" t="s">
        <v>1398</v>
      </c>
      <c r="BF5" s="37" t="s">
        <v>1399</v>
      </c>
      <c r="BG5" s="37" t="s">
        <v>85</v>
      </c>
      <c r="BH5" s="185" t="s">
        <v>1400</v>
      </c>
      <c r="BI5" s="36" t="s">
        <v>1398</v>
      </c>
      <c r="BJ5" s="37" t="s">
        <v>1399</v>
      </c>
      <c r="BK5" s="37" t="s">
        <v>85</v>
      </c>
      <c r="BL5" s="185" t="s">
        <v>1400</v>
      </c>
      <c r="BM5" s="524"/>
      <c r="BN5" s="524"/>
      <c r="BO5" s="185" t="s">
        <v>86</v>
      </c>
      <c r="BP5" s="185" t="s">
        <v>1401</v>
      </c>
      <c r="BQ5" s="185" t="s">
        <v>88</v>
      </c>
      <c r="BR5" s="185" t="s">
        <v>1402</v>
      </c>
      <c r="BS5" s="185" t="s">
        <v>87</v>
      </c>
      <c r="BT5" s="185" t="s">
        <v>1403</v>
      </c>
      <c r="BU5" s="185" t="s">
        <v>89</v>
      </c>
      <c r="BV5" s="185" t="s">
        <v>87</v>
      </c>
      <c r="BW5" s="185" t="s">
        <v>88</v>
      </c>
      <c r="BX5" s="185" t="s">
        <v>90</v>
      </c>
      <c r="BY5" s="185" t="s">
        <v>91</v>
      </c>
      <c r="BZ5" s="185" t="s">
        <v>90</v>
      </c>
      <c r="CA5" s="185" t="s">
        <v>91</v>
      </c>
      <c r="CB5" s="185" t="s">
        <v>90</v>
      </c>
      <c r="CC5" s="185" t="s">
        <v>91</v>
      </c>
    </row>
    <row r="6" spans="5:81" ht="13.5" hidden="1" customHeight="1">
      <c r="E6" s="56"/>
      <c r="F6" s="38"/>
      <c r="G6" s="39"/>
      <c r="H6" s="40"/>
      <c r="I6" s="38"/>
      <c r="J6" s="38"/>
      <c r="K6" s="41"/>
      <c r="L6" s="140"/>
      <c r="M6" s="140"/>
      <c r="N6" s="39"/>
      <c r="O6" s="41"/>
      <c r="P6" s="41"/>
      <c r="Q6" s="42"/>
      <c r="R6" s="42"/>
      <c r="S6" s="42"/>
      <c r="T6" s="39"/>
      <c r="U6" s="39"/>
      <c r="V6" s="38"/>
      <c r="W6" s="38"/>
      <c r="X6" s="41"/>
      <c r="Y6" s="41"/>
      <c r="Z6" s="41"/>
      <c r="AA6" s="41"/>
      <c r="AB6" s="41"/>
      <c r="AC6" s="41"/>
      <c r="AD6" s="41"/>
      <c r="AE6" s="41"/>
      <c r="AF6" s="43"/>
      <c r="AG6" s="41"/>
      <c r="AH6" s="44"/>
      <c r="AI6" s="44"/>
      <c r="AJ6" s="41"/>
      <c r="AK6" s="41"/>
      <c r="AL6" s="41"/>
      <c r="AM6" s="43"/>
      <c r="AN6" s="43"/>
      <c r="AO6" s="43"/>
      <c r="AP6" s="43"/>
      <c r="AQ6" s="43"/>
      <c r="AR6" s="43"/>
      <c r="AS6" s="365"/>
      <c r="AT6" s="365"/>
      <c r="AU6" s="43"/>
      <c r="AV6" s="368"/>
      <c r="AW6" s="43"/>
      <c r="AX6" s="43"/>
      <c r="AY6" s="43"/>
      <c r="AZ6" s="43"/>
      <c r="BA6" s="45"/>
      <c r="BB6" s="46"/>
      <c r="BC6" s="46"/>
      <c r="BD6" s="47"/>
      <c r="BE6" s="45"/>
      <c r="BF6" s="46"/>
      <c r="BG6" s="46"/>
      <c r="BH6" s="47"/>
      <c r="BI6" s="45"/>
      <c r="BJ6" s="46"/>
      <c r="BK6" s="46"/>
      <c r="BL6" s="47"/>
      <c r="BM6" s="47"/>
      <c r="BN6" s="48"/>
      <c r="BO6" s="47"/>
      <c r="BP6" s="49"/>
      <c r="BQ6" s="50"/>
      <c r="BR6" s="50"/>
      <c r="BS6" s="49"/>
      <c r="BT6" s="50"/>
      <c r="BU6" s="50"/>
      <c r="BV6" s="49"/>
      <c r="BW6" s="50"/>
      <c r="BX6" s="50"/>
      <c r="BY6" s="50"/>
      <c r="BZ6" s="50"/>
      <c r="CA6" s="50"/>
      <c r="CB6" s="50"/>
      <c r="CC6" s="50"/>
    </row>
    <row r="7" spans="5:81" ht="13.5" hidden="1" customHeight="1">
      <c r="E7" s="56"/>
      <c r="F7" s="38"/>
      <c r="G7" s="39"/>
      <c r="H7" s="40"/>
      <c r="I7" s="38"/>
      <c r="J7" s="38"/>
      <c r="K7" s="41"/>
      <c r="L7" s="140"/>
      <c r="M7" s="140"/>
      <c r="N7" s="39"/>
      <c r="O7" s="41"/>
      <c r="P7" s="41"/>
      <c r="Q7" s="42"/>
      <c r="R7" s="42"/>
      <c r="S7" s="42"/>
      <c r="T7" s="39"/>
      <c r="U7" s="39"/>
      <c r="V7" s="38"/>
      <c r="W7" s="38"/>
      <c r="X7" s="41"/>
      <c r="Y7" s="41"/>
      <c r="Z7" s="41"/>
      <c r="AA7" s="41"/>
      <c r="AB7" s="41"/>
      <c r="AC7" s="41"/>
      <c r="AD7" s="41"/>
      <c r="AE7" s="41"/>
      <c r="AF7" s="43"/>
      <c r="AG7" s="41"/>
      <c r="AH7" s="44"/>
      <c r="AI7" s="44"/>
      <c r="AJ7" s="41"/>
      <c r="AK7" s="41"/>
      <c r="AL7" s="41"/>
      <c r="AM7" s="43"/>
      <c r="AN7" s="43"/>
      <c r="AO7" s="43"/>
      <c r="AP7" s="43"/>
      <c r="AQ7" s="43"/>
      <c r="AR7" s="43"/>
      <c r="AS7" s="365"/>
      <c r="AT7" s="365"/>
      <c r="AU7" s="43"/>
      <c r="AV7" s="368"/>
      <c r="AW7" s="43"/>
      <c r="AX7" s="43"/>
      <c r="AY7" s="43"/>
      <c r="AZ7" s="43"/>
      <c r="BA7" s="45"/>
      <c r="BB7" s="46"/>
      <c r="BC7" s="46"/>
      <c r="BD7" s="47"/>
      <c r="BE7" s="45"/>
      <c r="BF7" s="46"/>
      <c r="BG7" s="46"/>
      <c r="BH7" s="47"/>
      <c r="BI7" s="45"/>
      <c r="BJ7" s="46"/>
      <c r="BK7" s="46"/>
      <c r="BL7" s="47"/>
      <c r="BM7" s="47"/>
      <c r="BN7" s="48"/>
      <c r="BO7" s="47"/>
      <c r="BP7" s="49"/>
      <c r="BQ7" s="50"/>
      <c r="BR7" s="50"/>
      <c r="BS7" s="49"/>
      <c r="BT7" s="50"/>
      <c r="BU7" s="50"/>
      <c r="BV7" s="49"/>
      <c r="BW7" s="50"/>
      <c r="BX7" s="50"/>
      <c r="BY7" s="50"/>
      <c r="BZ7" s="50"/>
      <c r="CA7" s="50"/>
      <c r="CB7" s="50"/>
      <c r="CC7" s="50"/>
    </row>
    <row r="8" spans="5:81" ht="13.5" hidden="1" customHeight="1">
      <c r="E8" s="56"/>
      <c r="F8" s="38"/>
      <c r="G8" s="39"/>
      <c r="H8" s="40"/>
      <c r="I8" s="38"/>
      <c r="J8" s="38"/>
      <c r="K8" s="41"/>
      <c r="L8" s="140"/>
      <c r="M8" s="140"/>
      <c r="N8" s="39"/>
      <c r="O8" s="41"/>
      <c r="P8" s="41"/>
      <c r="Q8" s="42"/>
      <c r="R8" s="42"/>
      <c r="S8" s="42"/>
      <c r="T8" s="39"/>
      <c r="U8" s="39"/>
      <c r="V8" s="38"/>
      <c r="W8" s="38"/>
      <c r="X8" s="41"/>
      <c r="Y8" s="41"/>
      <c r="Z8" s="41"/>
      <c r="AA8" s="41"/>
      <c r="AB8" s="41"/>
      <c r="AC8" s="41"/>
      <c r="AD8" s="41"/>
      <c r="AE8" s="41"/>
      <c r="AF8" s="43"/>
      <c r="AG8" s="41"/>
      <c r="AH8" s="44"/>
      <c r="AI8" s="44"/>
      <c r="AJ8" s="41"/>
      <c r="AK8" s="41"/>
      <c r="AL8" s="41"/>
      <c r="AM8" s="43"/>
      <c r="AN8" s="43"/>
      <c r="AO8" s="43"/>
      <c r="AP8" s="43"/>
      <c r="AQ8" s="43"/>
      <c r="AR8" s="43"/>
      <c r="AS8" s="365"/>
      <c r="AT8" s="365"/>
      <c r="AU8" s="43"/>
      <c r="AV8" s="368"/>
      <c r="AW8" s="43"/>
      <c r="AX8" s="43"/>
      <c r="AY8" s="43"/>
      <c r="AZ8" s="43"/>
      <c r="BA8" s="45"/>
      <c r="BB8" s="46"/>
      <c r="BC8" s="46"/>
      <c r="BD8" s="47"/>
      <c r="BE8" s="45"/>
      <c r="BF8" s="46"/>
      <c r="BG8" s="46"/>
      <c r="BH8" s="47"/>
      <c r="BI8" s="45"/>
      <c r="BJ8" s="46"/>
      <c r="BK8" s="46"/>
      <c r="BL8" s="47"/>
      <c r="BM8" s="47"/>
      <c r="BN8" s="48"/>
      <c r="BO8" s="47"/>
      <c r="BP8" s="49"/>
      <c r="BQ8" s="50"/>
      <c r="BR8" s="50"/>
      <c r="BS8" s="49"/>
      <c r="BT8" s="50"/>
      <c r="BU8" s="50"/>
      <c r="BV8" s="49"/>
      <c r="BW8" s="50"/>
      <c r="BX8" s="50"/>
      <c r="BY8" s="50"/>
      <c r="BZ8" s="50"/>
      <c r="CA8" s="50"/>
      <c r="CB8" s="50"/>
      <c r="CC8" s="50"/>
    </row>
    <row r="9" spans="5:81" ht="13.5" hidden="1" customHeight="1">
      <c r="E9" s="56"/>
      <c r="F9" s="38"/>
      <c r="G9" s="39"/>
      <c r="H9" s="40"/>
      <c r="I9" s="38"/>
      <c r="J9" s="38"/>
      <c r="K9" s="41"/>
      <c r="L9" s="140"/>
      <c r="M9" s="140"/>
      <c r="N9" s="39"/>
      <c r="O9" s="41"/>
      <c r="P9" s="41"/>
      <c r="Q9" s="42"/>
      <c r="R9" s="42"/>
      <c r="S9" s="42"/>
      <c r="T9" s="39"/>
      <c r="U9" s="39"/>
      <c r="V9" s="38"/>
      <c r="W9" s="38"/>
      <c r="X9" s="41"/>
      <c r="Y9" s="41"/>
      <c r="Z9" s="41"/>
      <c r="AA9" s="41"/>
      <c r="AB9" s="41"/>
      <c r="AC9" s="41"/>
      <c r="AD9" s="41"/>
      <c r="AE9" s="41"/>
      <c r="AF9" s="43"/>
      <c r="AG9" s="41"/>
      <c r="AH9" s="44"/>
      <c r="AI9" s="44"/>
      <c r="AJ9" s="41"/>
      <c r="AK9" s="41"/>
      <c r="AL9" s="41"/>
      <c r="AM9" s="43"/>
      <c r="AN9" s="43"/>
      <c r="AO9" s="43"/>
      <c r="AP9" s="43"/>
      <c r="AQ9" s="43"/>
      <c r="AR9" s="43"/>
      <c r="AS9" s="365"/>
      <c r="AT9" s="365"/>
      <c r="AU9" s="43"/>
      <c r="AV9" s="368"/>
      <c r="AW9" s="43"/>
      <c r="AX9" s="43"/>
      <c r="AY9" s="43"/>
      <c r="AZ9" s="43"/>
      <c r="BA9" s="45"/>
      <c r="BB9" s="46"/>
      <c r="BC9" s="46"/>
      <c r="BD9" s="47"/>
      <c r="BE9" s="45"/>
      <c r="BF9" s="46"/>
      <c r="BG9" s="46"/>
      <c r="BH9" s="47"/>
      <c r="BI9" s="45"/>
      <c r="BJ9" s="46"/>
      <c r="BK9" s="46"/>
      <c r="BL9" s="47"/>
      <c r="BM9" s="47"/>
      <c r="BN9" s="48"/>
      <c r="BO9" s="47"/>
      <c r="BP9" s="49"/>
      <c r="BQ9" s="50"/>
      <c r="BR9" s="50"/>
      <c r="BS9" s="49"/>
      <c r="BT9" s="50"/>
      <c r="BU9" s="50"/>
      <c r="BV9" s="49"/>
      <c r="BW9" s="50"/>
      <c r="BX9" s="50"/>
      <c r="BY9" s="50"/>
      <c r="BZ9" s="50"/>
      <c r="CA9" s="50"/>
      <c r="CB9" s="50"/>
      <c r="CC9" s="50"/>
    </row>
    <row r="10" spans="5:81" ht="13.5" hidden="1" customHeight="1">
      <c r="E10" s="56"/>
      <c r="F10" s="38"/>
      <c r="G10" s="39"/>
      <c r="H10" s="40"/>
      <c r="I10" s="38"/>
      <c r="J10" s="38"/>
      <c r="K10" s="41"/>
      <c r="L10" s="140"/>
      <c r="M10" s="140"/>
      <c r="N10" s="39"/>
      <c r="O10" s="41"/>
      <c r="P10" s="41"/>
      <c r="Q10" s="42"/>
      <c r="R10" s="42"/>
      <c r="S10" s="42"/>
      <c r="T10" s="39"/>
      <c r="U10" s="39"/>
      <c r="V10" s="38"/>
      <c r="W10" s="38"/>
      <c r="X10" s="41"/>
      <c r="Y10" s="41"/>
      <c r="Z10" s="41"/>
      <c r="AA10" s="41"/>
      <c r="AB10" s="41"/>
      <c r="AC10" s="41"/>
      <c r="AD10" s="41"/>
      <c r="AE10" s="41"/>
      <c r="AF10" s="43"/>
      <c r="AG10" s="41"/>
      <c r="AH10" s="44"/>
      <c r="AI10" s="44"/>
      <c r="AJ10" s="41"/>
      <c r="AK10" s="41"/>
      <c r="AL10" s="41"/>
      <c r="AM10" s="43"/>
      <c r="AN10" s="43"/>
      <c r="AO10" s="43"/>
      <c r="AP10" s="43"/>
      <c r="AQ10" s="43"/>
      <c r="AR10" s="43"/>
      <c r="AS10" s="365"/>
      <c r="AT10" s="365"/>
      <c r="AU10" s="43"/>
      <c r="AV10" s="368"/>
      <c r="AW10" s="43"/>
      <c r="AX10" s="43"/>
      <c r="AY10" s="43"/>
      <c r="AZ10" s="43"/>
      <c r="BA10" s="45"/>
      <c r="BB10" s="46"/>
      <c r="BC10" s="46"/>
      <c r="BD10" s="47"/>
      <c r="BE10" s="45"/>
      <c r="BF10" s="46"/>
      <c r="BG10" s="46"/>
      <c r="BH10" s="47"/>
      <c r="BI10" s="45"/>
      <c r="BJ10" s="46"/>
      <c r="BK10" s="46"/>
      <c r="BL10" s="47"/>
      <c r="BM10" s="47"/>
      <c r="BN10" s="48"/>
      <c r="BO10" s="47"/>
      <c r="BP10" s="49"/>
      <c r="BQ10" s="50"/>
      <c r="BR10" s="50"/>
      <c r="BS10" s="49"/>
      <c r="BT10" s="50"/>
      <c r="BU10" s="50"/>
      <c r="BV10" s="49"/>
      <c r="BW10" s="50"/>
      <c r="BX10" s="50"/>
      <c r="BY10" s="50"/>
      <c r="BZ10" s="50"/>
      <c r="CA10" s="50"/>
      <c r="CB10" s="50"/>
      <c r="CC10" s="50"/>
    </row>
    <row r="11" spans="5:81" ht="13.5" customHeight="1">
      <c r="E11" s="334" t="s">
        <v>2937</v>
      </c>
      <c r="F11" s="240" t="s">
        <v>2926</v>
      </c>
      <c r="G11" s="336" t="s">
        <v>2938</v>
      </c>
      <c r="H11" s="337" t="s">
        <v>69</v>
      </c>
      <c r="I11" s="249" t="s">
        <v>1649</v>
      </c>
      <c r="J11" s="394" t="s">
        <v>159</v>
      </c>
      <c r="K11" s="338" t="s">
        <v>2928</v>
      </c>
      <c r="L11" s="352" t="s">
        <v>71</v>
      </c>
      <c r="M11" s="352" t="s">
        <v>72</v>
      </c>
      <c r="N11" s="333" t="s">
        <v>117</v>
      </c>
      <c r="O11" s="348">
        <v>21200</v>
      </c>
      <c r="P11" s="348">
        <v>21200</v>
      </c>
      <c r="Q11" s="339">
        <v>39427</v>
      </c>
      <c r="R11" s="339">
        <v>40123</v>
      </c>
      <c r="S11" s="339">
        <v>40123</v>
      </c>
      <c r="T11" s="52">
        <f t="shared" ref="T11:T14" si="0">IF(ISBLANK(Q11),"",DATEDIF(Q11,S11,"d")/365)</f>
        <v>1.9068493150684931</v>
      </c>
      <c r="U11" s="349">
        <v>0.08</v>
      </c>
      <c r="V11" s="335" t="s">
        <v>73</v>
      </c>
      <c r="W11" s="335" t="s">
        <v>2939</v>
      </c>
      <c r="X11" s="26">
        <f ca="1">IF(ISBLANK($E11), "",    IF(   ISERROR(  XIRR( OFFSET(펀드_거래,MATCH($E11,OFFSET(펀드_거래,0,0,ROWS(펀드_거래),1),0)-1,2,COUNTIF(펀드_거래,$E11),1), OFFSET(펀드_거래,MATCH($E11,OFFSET(펀드_거래,0,0,ROWS(펀드_거래),1),0)-1,3,COUNTIF(펀드_거래,$E11),1) )  ),   "N/A",   XIRR( OFFSET(펀드_거래,MATCH($E11,OFFSET(펀드_거래,0,0,ROWS(펀드_거래),1),0)-1,2,COUNTIF(펀드_거래,$E11),1), OFFSET(펀드_거래,MATCH($E11,OFFSET(펀드_거래,0,0,ROWS(펀드_거래),1),0)-1,3,COUNTIF(펀드_거래,$E11),1), IF(SUM(OFFSET(펀드_거래,MATCH($E11,OFFSET(펀드_거래,0,0,ROWS(펀드_거래),1),0)-1,2,COUNTIF(펀드_거래,$E11),1))&gt;0, 1%, -1%) )   )   )</f>
        <v>0.27680898189544678</v>
      </c>
      <c r="Y11" s="33">
        <f ca="1">IF( ISBLANK($E11), "", IF(ISNUMBER(O11), (AD11+AE11+AF11+AJ11-AK11)/O11, "N/A")  )</f>
        <v>1.5777284805660376</v>
      </c>
      <c r="Z11" s="199">
        <f t="shared" ref="Z11:Z14" ca="1" si="1">IF( ISBLANK($E11), "", SUMPRODUCT( (OFFSET(제안사_투자현황,0,1,ROWS(제안사_투자현황),1)=$E11)*1, ISTEXT(OFFSET(제안사_투자현황,0,4,ROWS(제안사_투자현황),1))*1 ) )</f>
        <v>1</v>
      </c>
      <c r="AA11" s="204">
        <f t="shared" ref="AA11:AA14" ca="1" si="2">IF( ISBLANK($E11), "", SUMPRODUCT( (OFFSET(제안사_투자현황,0,1,ROWS(제안사_투자현황),1)=$E11)*1, OFFSET(제안사_투자현황,0,9,ROWS(제안사_투자현황),1)) )</f>
        <v>19980</v>
      </c>
      <c r="AB11" s="204">
        <f t="shared" ref="AB11:AB14" ca="1" si="3">IF( ISBLANK($E11), "", SUMPRODUCT( (OFFSET(제안사_투자현황,0,1,ROWS(제안사_투자현황),1)=$E11)*1, OFFSET(제안사_투자현황,0,14,ROWS(제안사_투자현황),1)) )</f>
        <v>33063</v>
      </c>
      <c r="AC11" s="204">
        <f t="shared" ref="AC11:AC14" ca="1" si="4">IF( ISBLANK($E11), "", SUMPRODUCT( (OFFSET(제안사_투자현황,0,1,ROWS(제안사_투자현황),1)=$E11)*1, OFFSET(제안사_투자현황,0,21,ROWS(제안사_투자현황),1)) )</f>
        <v>0</v>
      </c>
      <c r="AD11" s="204">
        <f t="shared" ref="AD11:AD14" ca="1" si="5">IF( ISBLANK($E11), "", SUMPRODUCT( (OFFSET(제안사_투자현황,0,1,ROWS(제안사_투자현황),1)=$E11)*1, OFFSET(제안사_투자현황,0,22,ROWS(제안사_투자현황),1)) )</f>
        <v>0</v>
      </c>
      <c r="AE11" s="204">
        <f t="shared" ref="AE11:AE14" ca="1" si="6">IF(   ISBLANK($E11),  "",   SUMPRODUCT( (OFFSET(펀드_거래,0,0,ROWS(펀드_거래),1)=$E11)*1, (OFFSET(펀드_거래,0,1,ROWS(펀드_거래),1)="현금분배")*1, OFFSET(펀드_거래,0,2,ROWS(펀드_거래),1)/1000000 )  +  SUMPRODUCT( (OFFSET(펀드_거래,0,0,ROWS(펀드_거래),1)=$F11)*1, (OFFSET(펀드_거래,0,1,ROWS(펀드_거래),1)="현물분배")*1, OFFSET(펀드_거래,0,2,ROWS(펀드_거래),1)/1000000 )  )</f>
        <v>33447.843787999998</v>
      </c>
      <c r="AF11" s="203">
        <f t="shared" ref="AF11:AF14" ca="1" si="7">IF( ISBLANK($E11), "", SUMPRODUCT( (OFFSET(펀드_거래,0,0,ROWS(펀드_거래),1)=$E11)*1, (OFFSET(펀드_거래,0,1,ROWS(펀드_거래),1)="성과보수")*1, OFFSET(펀드_거래,0,2,ROWS(펀드_거래),1)/1000000) )</f>
        <v>0</v>
      </c>
      <c r="AG11" s="338">
        <v>0</v>
      </c>
      <c r="AH11" s="350">
        <v>3104</v>
      </c>
      <c r="AI11" s="341">
        <v>228</v>
      </c>
      <c r="AJ11" s="338">
        <v>0</v>
      </c>
      <c r="AK11" s="338">
        <v>0</v>
      </c>
      <c r="AL11" s="204">
        <f t="shared" ref="AL11:AL14" ca="1" si="8">IF( ISERROR(AD11+AJ11-AK11), "", AD11+AJ11-AK11 )</f>
        <v>0</v>
      </c>
      <c r="AM11" s="340">
        <v>0</v>
      </c>
      <c r="AN11" s="333" t="s">
        <v>2062</v>
      </c>
      <c r="AO11" s="362">
        <v>39427</v>
      </c>
      <c r="AP11" s="362">
        <v>40123</v>
      </c>
      <c r="AQ11" s="333" t="s">
        <v>131</v>
      </c>
      <c r="AR11" s="340"/>
      <c r="AS11" s="366"/>
      <c r="AT11" s="366"/>
      <c r="AU11" s="340"/>
      <c r="AV11" s="369"/>
      <c r="AW11" s="340"/>
      <c r="AX11" s="340"/>
      <c r="AY11" s="340"/>
      <c r="AZ11" s="340">
        <v>1</v>
      </c>
      <c r="BA11" s="342" t="s">
        <v>2062</v>
      </c>
      <c r="BB11" s="353">
        <v>39427</v>
      </c>
      <c r="BC11" s="353">
        <v>40123</v>
      </c>
      <c r="BD11" s="344" t="s">
        <v>131</v>
      </c>
      <c r="BE11" s="342"/>
      <c r="BF11" s="343"/>
      <c r="BG11" s="343"/>
      <c r="BH11" s="344"/>
      <c r="BI11" s="342"/>
      <c r="BJ11" s="343"/>
      <c r="BK11" s="343"/>
      <c r="BL11" s="344"/>
      <c r="BM11" s="135">
        <f t="shared" ref="BM11:BM14" ca="1" si="9">IF(ISBLANK($E11),"",SUMPRODUCT((OFFSET(핵심운용인력_변경내역,0,0,ROWS(핵심운용인력_변경내역),1)=$E11)*1,(OFFSET(핵심운용인력_변경내역,0,1,ROWS(핵심운용인력_변경내역),1)="유출")*1))</f>
        <v>0</v>
      </c>
      <c r="BN11" s="345">
        <v>1</v>
      </c>
      <c r="BO11" s="344" t="s">
        <v>2072</v>
      </c>
      <c r="BP11" s="348">
        <v>3200</v>
      </c>
      <c r="BQ11" s="347"/>
      <c r="BR11" s="347"/>
      <c r="BS11" s="346"/>
      <c r="BT11" s="347"/>
      <c r="BU11" s="347"/>
      <c r="BV11" s="346"/>
      <c r="BW11" s="347"/>
      <c r="BX11" s="347" t="s">
        <v>807</v>
      </c>
      <c r="BY11" s="351">
        <v>18000</v>
      </c>
      <c r="BZ11" s="347"/>
      <c r="CA11" s="347"/>
      <c r="CB11" s="347"/>
      <c r="CC11" s="347"/>
    </row>
    <row r="12" spans="5:81" ht="13.5" customHeight="1">
      <c r="E12" s="334" t="s">
        <v>2925</v>
      </c>
      <c r="F12" s="240" t="s">
        <v>2926</v>
      </c>
      <c r="G12" s="336" t="s">
        <v>2927</v>
      </c>
      <c r="H12" s="337" t="s">
        <v>166</v>
      </c>
      <c r="I12" s="249" t="s">
        <v>1649</v>
      </c>
      <c r="J12" s="335" t="s">
        <v>70</v>
      </c>
      <c r="K12" s="338" t="s">
        <v>2928</v>
      </c>
      <c r="L12" s="352" t="s">
        <v>71</v>
      </c>
      <c r="M12" s="352" t="s">
        <v>72</v>
      </c>
      <c r="N12" s="333" t="s">
        <v>117</v>
      </c>
      <c r="O12" s="348">
        <v>29645</v>
      </c>
      <c r="P12" s="348">
        <v>29645</v>
      </c>
      <c r="Q12" s="339">
        <v>39566</v>
      </c>
      <c r="R12" s="339">
        <v>41756</v>
      </c>
      <c r="S12" s="339">
        <v>41756</v>
      </c>
      <c r="T12" s="52">
        <f t="shared" si="0"/>
        <v>6</v>
      </c>
      <c r="U12" s="349">
        <v>0.08</v>
      </c>
      <c r="V12" s="335" t="s">
        <v>73</v>
      </c>
      <c r="W12" s="335" t="s">
        <v>2929</v>
      </c>
      <c r="X12" s="26">
        <f ca="1">IF(ISBLANK($E12), "",    IF(   ISERROR(  XIRR( OFFSET(펀드_거래,MATCH($E12,OFFSET(펀드_거래,0,0,ROWS(펀드_거래),1),0)-1,2,COUNTIF(펀드_거래,$E12),1), OFFSET(펀드_거래,MATCH($E12,OFFSET(펀드_거래,0,0,ROWS(펀드_거래),1),0)-1,3,COUNTIF(펀드_거래,$E12),1) )  ),   "N/A",   XIRR( OFFSET(펀드_거래,MATCH($E12,OFFSET(펀드_거래,0,0,ROWS(펀드_거래),1),0)-1,2,COUNTIF(펀드_거래,$E12),1), OFFSET(펀드_거래,MATCH($E12,OFFSET(펀드_거래,0,0,ROWS(펀드_거래),1),0)-1,3,COUNTIF(펀드_거래,$E12),1), IF(SUM(OFFSET(펀드_거래,MATCH($E12,OFFSET(펀드_거래,0,0,ROWS(펀드_거래),1),0)-1,2,COUNTIF(펀드_거래,$E12),1))&gt;0, 1%, -1%) )   )   )</f>
        <v>0.22428635120391843</v>
      </c>
      <c r="Y12" s="33">
        <f ca="1">IF( ISBLANK($E12), "", IF(ISNUMBER(O12), (AD12+AE12+AF12+AJ12-AK12)/O12, "N/A")  )</f>
        <v>2.5080787733513241</v>
      </c>
      <c r="Z12" s="199">
        <f t="shared" ca="1" si="1"/>
        <v>14</v>
      </c>
      <c r="AA12" s="204">
        <f t="shared" ca="1" si="2"/>
        <v>34795</v>
      </c>
      <c r="AB12" s="204">
        <f t="shared" ca="1" si="3"/>
        <v>78194</v>
      </c>
      <c r="AC12" s="204">
        <f t="shared" ca="1" si="4"/>
        <v>3371</v>
      </c>
      <c r="AD12" s="204">
        <f t="shared" ca="1" si="5"/>
        <v>3371</v>
      </c>
      <c r="AE12" s="204">
        <f t="shared" ca="1" si="6"/>
        <v>64299.185400000002</v>
      </c>
      <c r="AF12" s="203">
        <f t="shared" ca="1" si="7"/>
        <v>6674.8098360000004</v>
      </c>
      <c r="AG12" s="338">
        <v>0</v>
      </c>
      <c r="AH12" s="350">
        <v>1880</v>
      </c>
      <c r="AI12" s="341">
        <v>366</v>
      </c>
      <c r="AJ12" s="338">
        <v>19</v>
      </c>
      <c r="AK12" s="338">
        <v>12</v>
      </c>
      <c r="AL12" s="204">
        <f t="shared" ca="1" si="8"/>
        <v>3378</v>
      </c>
      <c r="AM12" s="340">
        <v>0</v>
      </c>
      <c r="AN12" s="340"/>
      <c r="AO12" s="340"/>
      <c r="AP12" s="340"/>
      <c r="AQ12" s="340"/>
      <c r="AR12" s="340"/>
      <c r="AS12" s="366"/>
      <c r="AT12" s="366"/>
      <c r="AU12" s="340"/>
      <c r="AV12" s="369"/>
      <c r="AW12" s="340"/>
      <c r="AX12" s="340"/>
      <c r="AY12" s="340"/>
      <c r="AZ12" s="340"/>
      <c r="BA12" s="342"/>
      <c r="BB12" s="343"/>
      <c r="BC12" s="343"/>
      <c r="BD12" s="344"/>
      <c r="BE12" s="342"/>
      <c r="BF12" s="343"/>
      <c r="BG12" s="343"/>
      <c r="BH12" s="344"/>
      <c r="BI12" s="342"/>
      <c r="BJ12" s="343"/>
      <c r="BK12" s="343"/>
      <c r="BL12" s="344"/>
      <c r="BM12" s="135">
        <f t="shared" ca="1" si="9"/>
        <v>0</v>
      </c>
      <c r="BN12" s="345">
        <v>1</v>
      </c>
      <c r="BO12" s="344" t="s">
        <v>2072</v>
      </c>
      <c r="BP12" s="348">
        <v>1347</v>
      </c>
      <c r="BQ12" s="347"/>
      <c r="BR12" s="347"/>
      <c r="BS12" s="346"/>
      <c r="BT12" s="347"/>
      <c r="BU12" s="347"/>
      <c r="BV12" s="346"/>
      <c r="BW12" s="347"/>
      <c r="BX12" s="347" t="s">
        <v>2755</v>
      </c>
      <c r="BY12" s="351">
        <v>7700</v>
      </c>
      <c r="BZ12" s="347" t="s">
        <v>2756</v>
      </c>
      <c r="CA12" s="351">
        <v>7700</v>
      </c>
      <c r="CB12" s="347" t="s">
        <v>2757</v>
      </c>
      <c r="CC12" s="351">
        <v>7700</v>
      </c>
    </row>
    <row r="13" spans="5:81" ht="13.5" customHeight="1">
      <c r="E13" s="334" t="s">
        <v>2930</v>
      </c>
      <c r="F13" s="240" t="s">
        <v>2926</v>
      </c>
      <c r="G13" s="336" t="s">
        <v>2931</v>
      </c>
      <c r="H13" s="337" t="s">
        <v>166</v>
      </c>
      <c r="I13" s="249" t="s">
        <v>1649</v>
      </c>
      <c r="J13" s="335" t="s">
        <v>70</v>
      </c>
      <c r="K13" s="338" t="s">
        <v>2928</v>
      </c>
      <c r="L13" s="352" t="s">
        <v>71</v>
      </c>
      <c r="M13" s="352" t="s">
        <v>116</v>
      </c>
      <c r="N13" s="333" t="s">
        <v>117</v>
      </c>
      <c r="O13" s="348">
        <v>5000</v>
      </c>
      <c r="P13" s="348">
        <v>5000</v>
      </c>
      <c r="Q13" s="339">
        <v>39574</v>
      </c>
      <c r="R13" s="339">
        <v>41764</v>
      </c>
      <c r="S13" s="339">
        <v>41764</v>
      </c>
      <c r="T13" s="52">
        <f t="shared" si="0"/>
        <v>6</v>
      </c>
      <c r="U13" s="349">
        <v>0.08</v>
      </c>
      <c r="V13" s="335" t="s">
        <v>73</v>
      </c>
      <c r="W13" s="335" t="s">
        <v>2929</v>
      </c>
      <c r="X13" s="26">
        <f ca="1">IF(ISBLANK($E13), "",    IF(   ISERROR(  XIRR( OFFSET(펀드_거래,MATCH($E13,OFFSET(펀드_거래,0,0,ROWS(펀드_거래),1),0)-1,2,COUNTIF(펀드_거래,$E13),1), OFFSET(펀드_거래,MATCH($E13,OFFSET(펀드_거래,0,0,ROWS(펀드_거래),1),0)-1,3,COUNTIF(펀드_거래,$E13),1) )  ),   "N/A",   XIRR( OFFSET(펀드_거래,MATCH($E13,OFFSET(펀드_거래,0,0,ROWS(펀드_거래),1),0)-1,2,COUNTIF(펀드_거래,$E13),1), OFFSET(펀드_거래,MATCH($E13,OFFSET(펀드_거래,0,0,ROWS(펀드_거래),1),0)-1,3,COUNTIF(펀드_거래,$E13),1), IF(SUM(OFFSET(펀드_거래,MATCH($E13,OFFSET(펀드_거래,0,0,ROWS(펀드_거래),1),0)-1,2,COUNTIF(펀드_거래,$E13),1))&gt;0, 1%, -1%) )   )   )</f>
        <v>0.2814988851547241</v>
      </c>
      <c r="Y13" s="33">
        <f t="shared" ref="Y13:Y14" ca="1" si="10">IF( ISBLANK($E13), "", IF(ISNUMBER(O13), (AD13+AE13+AF13+AJ13-AK13)/O13, "N/A")  )</f>
        <v>2.3216666429999999</v>
      </c>
      <c r="Z13" s="199">
        <f t="shared" ca="1" si="1"/>
        <v>9</v>
      </c>
      <c r="AA13" s="204">
        <f t="shared" ca="1" si="2"/>
        <v>7164</v>
      </c>
      <c r="AB13" s="204">
        <f t="shared" ca="1" si="3"/>
        <v>12924</v>
      </c>
      <c r="AC13" s="204">
        <f t="shared" ca="1" si="4"/>
        <v>1171</v>
      </c>
      <c r="AD13" s="204">
        <f t="shared" ca="1" si="5"/>
        <v>1171</v>
      </c>
      <c r="AE13" s="204">
        <f t="shared" ca="1" si="6"/>
        <v>9568.9123999999993</v>
      </c>
      <c r="AF13" s="203">
        <f t="shared" ca="1" si="7"/>
        <v>864.42081499999995</v>
      </c>
      <c r="AG13" s="338">
        <v>0</v>
      </c>
      <c r="AH13" s="341">
        <v>366</v>
      </c>
      <c r="AI13" s="341">
        <v>75</v>
      </c>
      <c r="AJ13" s="338">
        <v>48</v>
      </c>
      <c r="AK13" s="338">
        <v>44</v>
      </c>
      <c r="AL13" s="204">
        <f t="shared" ca="1" si="8"/>
        <v>1175</v>
      </c>
      <c r="AM13" s="340">
        <v>0</v>
      </c>
      <c r="AN13" s="340"/>
      <c r="AO13" s="340"/>
      <c r="AP13" s="340"/>
      <c r="AQ13" s="340"/>
      <c r="AR13" s="340"/>
      <c r="AS13" s="366"/>
      <c r="AT13" s="366"/>
      <c r="AU13" s="340"/>
      <c r="AV13" s="369"/>
      <c r="AW13" s="340"/>
      <c r="AX13" s="340"/>
      <c r="AY13" s="340"/>
      <c r="AZ13" s="340"/>
      <c r="BA13" s="342"/>
      <c r="BB13" s="343"/>
      <c r="BC13" s="343"/>
      <c r="BD13" s="344"/>
      <c r="BE13" s="342"/>
      <c r="BF13" s="343"/>
      <c r="BG13" s="343"/>
      <c r="BH13" s="344"/>
      <c r="BI13" s="342"/>
      <c r="BJ13" s="343"/>
      <c r="BK13" s="343"/>
      <c r="BL13" s="344"/>
      <c r="BM13" s="135">
        <f t="shared" ca="1" si="9"/>
        <v>0</v>
      </c>
      <c r="BN13" s="345">
        <v>1</v>
      </c>
      <c r="BO13" s="344" t="s">
        <v>2072</v>
      </c>
      <c r="BP13" s="346">
        <v>250</v>
      </c>
      <c r="BQ13" s="347"/>
      <c r="BR13" s="347"/>
      <c r="BS13" s="346"/>
      <c r="BT13" s="347"/>
      <c r="BU13" s="347"/>
      <c r="BV13" s="346"/>
      <c r="BW13" s="347"/>
      <c r="BX13" s="347" t="s">
        <v>2932</v>
      </c>
      <c r="BY13" s="347">
        <v>500</v>
      </c>
      <c r="BZ13" s="347" t="s">
        <v>2933</v>
      </c>
      <c r="CA13" s="347">
        <v>500</v>
      </c>
      <c r="CB13" s="347" t="s">
        <v>2934</v>
      </c>
      <c r="CC13" s="347">
        <v>400</v>
      </c>
    </row>
    <row r="14" spans="5:81" ht="13.5" customHeight="1">
      <c r="E14" s="334" t="s">
        <v>2935</v>
      </c>
      <c r="F14" s="240" t="s">
        <v>2926</v>
      </c>
      <c r="G14" s="336" t="s">
        <v>2936</v>
      </c>
      <c r="H14" s="337" t="s">
        <v>166</v>
      </c>
      <c r="I14" s="249" t="s">
        <v>1649</v>
      </c>
      <c r="J14" s="335" t="s">
        <v>70</v>
      </c>
      <c r="K14" s="338" t="s">
        <v>2928</v>
      </c>
      <c r="L14" s="352" t="s">
        <v>71</v>
      </c>
      <c r="M14" s="352" t="s">
        <v>179</v>
      </c>
      <c r="N14" s="333" t="s">
        <v>117</v>
      </c>
      <c r="O14" s="348">
        <v>22230</v>
      </c>
      <c r="P14" s="348">
        <v>22230</v>
      </c>
      <c r="Q14" s="339">
        <v>39812</v>
      </c>
      <c r="R14" s="339">
        <v>41766</v>
      </c>
      <c r="S14" s="339">
        <v>41766</v>
      </c>
      <c r="T14" s="52">
        <f t="shared" si="0"/>
        <v>5.353424657534247</v>
      </c>
      <c r="U14" s="349">
        <v>0.08</v>
      </c>
      <c r="V14" s="335" t="s">
        <v>73</v>
      </c>
      <c r="W14" s="335" t="s">
        <v>2929</v>
      </c>
      <c r="X14" s="26">
        <f ca="1">IF(ISBLANK($E14), "",    IF(   ISERROR(  XIRR( OFFSET(펀드_거래,MATCH($E14,OFFSET(펀드_거래,0,0,ROWS(펀드_거래),1),0)-1,2,COUNTIF(펀드_거래,$E14),1), OFFSET(펀드_거래,MATCH($E14,OFFSET(펀드_거래,0,0,ROWS(펀드_거래),1),0)-1,3,COUNTIF(펀드_거래,$E14),1) )  ),   "N/A",   XIRR( OFFSET(펀드_거래,MATCH($E14,OFFSET(펀드_거래,0,0,ROWS(펀드_거래),1),0)-1,2,COUNTIF(펀드_거래,$E14),1), OFFSET(펀드_거래,MATCH($E14,OFFSET(펀드_거래,0,0,ROWS(펀드_거래),1),0)-1,3,COUNTIF(펀드_거래,$E14),1), IF(SUM(OFFSET(펀드_거래,MATCH($E14,OFFSET(펀드_거래,0,0,ROWS(펀드_거래),1),0)-1,2,COUNTIF(펀드_거래,$E14),1))&gt;0, 1%, -1%) )   )   )</f>
        <v>0.21443252086639408</v>
      </c>
      <c r="Y14" s="33">
        <f t="shared" ca="1" si="10"/>
        <v>2.3283696774628884</v>
      </c>
      <c r="Z14" s="199">
        <f t="shared" ca="1" si="1"/>
        <v>7</v>
      </c>
      <c r="AA14" s="204">
        <f t="shared" ca="1" si="2"/>
        <v>21800</v>
      </c>
      <c r="AB14" s="204">
        <f t="shared" ca="1" si="3"/>
        <v>38688</v>
      </c>
      <c r="AC14" s="204">
        <f t="shared" ca="1" si="4"/>
        <v>6513</v>
      </c>
      <c r="AD14" s="204">
        <f t="shared" ca="1" si="5"/>
        <v>14358</v>
      </c>
      <c r="AE14" s="204">
        <f t="shared" ca="1" si="6"/>
        <v>34895.262899000008</v>
      </c>
      <c r="AF14" s="203">
        <f t="shared" ca="1" si="7"/>
        <v>2504.395031</v>
      </c>
      <c r="AG14" s="338">
        <v>98</v>
      </c>
      <c r="AH14" s="350">
        <v>1228</v>
      </c>
      <c r="AI14" s="341">
        <v>183</v>
      </c>
      <c r="AJ14" s="338">
        <v>54</v>
      </c>
      <c r="AK14" s="338">
        <v>52</v>
      </c>
      <c r="AL14" s="204">
        <f t="shared" ca="1" si="8"/>
        <v>14360</v>
      </c>
      <c r="AM14" s="340">
        <v>0</v>
      </c>
      <c r="AN14" s="340"/>
      <c r="AO14" s="340"/>
      <c r="AP14" s="340"/>
      <c r="AQ14" s="340"/>
      <c r="AR14" s="340"/>
      <c r="AS14" s="366"/>
      <c r="AT14" s="366"/>
      <c r="AU14" s="340"/>
      <c r="AV14" s="369"/>
      <c r="AW14" s="340"/>
      <c r="AX14" s="340"/>
      <c r="AY14" s="340"/>
      <c r="AZ14" s="340"/>
      <c r="BA14" s="342"/>
      <c r="BB14" s="343"/>
      <c r="BC14" s="343"/>
      <c r="BD14" s="344"/>
      <c r="BE14" s="342"/>
      <c r="BF14" s="343"/>
      <c r="BG14" s="343"/>
      <c r="BH14" s="344"/>
      <c r="BI14" s="342"/>
      <c r="BJ14" s="343"/>
      <c r="BK14" s="343"/>
      <c r="BL14" s="344"/>
      <c r="BM14" s="135">
        <f t="shared" ca="1" si="9"/>
        <v>0</v>
      </c>
      <c r="BN14" s="345">
        <v>1</v>
      </c>
      <c r="BO14" s="344" t="s">
        <v>2072</v>
      </c>
      <c r="BP14" s="346">
        <v>436</v>
      </c>
      <c r="BQ14" s="347"/>
      <c r="BR14" s="347"/>
      <c r="BS14" s="346"/>
      <c r="BT14" s="347"/>
      <c r="BU14" s="347"/>
      <c r="BV14" s="346"/>
      <c r="BW14" s="347"/>
      <c r="BX14" s="347" t="s">
        <v>2079</v>
      </c>
      <c r="BY14" s="351">
        <v>21794</v>
      </c>
      <c r="BZ14" s="347"/>
      <c r="CA14" s="347"/>
      <c r="CB14" s="347"/>
      <c r="CC14" s="347"/>
    </row>
    <row r="15" spans="5:81" ht="27">
      <c r="E15" s="260" t="s">
        <v>2742</v>
      </c>
      <c r="F15" s="240" t="s">
        <v>2690</v>
      </c>
      <c r="G15" s="242" t="s">
        <v>2743</v>
      </c>
      <c r="H15" s="240" t="s">
        <v>69</v>
      </c>
      <c r="I15" s="249" t="s">
        <v>181</v>
      </c>
      <c r="J15" s="239" t="s">
        <v>159</v>
      </c>
      <c r="K15" s="239" t="s">
        <v>137</v>
      </c>
      <c r="L15" s="254" t="s">
        <v>71</v>
      </c>
      <c r="M15" s="254" t="s">
        <v>133</v>
      </c>
      <c r="N15" s="246" t="s">
        <v>117</v>
      </c>
      <c r="O15" s="250">
        <v>38500</v>
      </c>
      <c r="P15" s="250">
        <v>38500</v>
      </c>
      <c r="Q15" s="243">
        <v>39976</v>
      </c>
      <c r="R15" s="243">
        <v>40630</v>
      </c>
      <c r="S15" s="243">
        <v>40686</v>
      </c>
      <c r="T15" s="52">
        <f>IF(ISBLANK(Q15),"",DATEDIF(Q15,S15,"d")/365)</f>
        <v>1.9452054794520548</v>
      </c>
      <c r="U15" s="244">
        <v>0.09</v>
      </c>
      <c r="V15" s="239" t="s">
        <v>73</v>
      </c>
      <c r="W15" s="239" t="s">
        <v>2744</v>
      </c>
      <c r="X15" s="26">
        <f ca="1">IF(ISBLANK($E15), "",    IF(   ISERROR(  XIRR( OFFSET(펀드_거래,MATCH($E15,OFFSET(펀드_거래,0,0,ROWS(펀드_거래),1),0)-1,2,COUNTIF(펀드_거래,$E15),1), OFFSET(펀드_거래,MATCH($E15,OFFSET(펀드_거래,0,0,ROWS(펀드_거래),1),0)-1,3,COUNTIF(펀드_거래,$E15),1) )  ),   "N/A",   XIRR( OFFSET(펀드_거래,MATCH($E15,OFFSET(펀드_거래,0,0,ROWS(펀드_거래),1),0)-1,2,COUNTIF(펀드_거래,$E15),1), OFFSET(펀드_거래,MATCH($E15,OFFSET(펀드_거래,0,0,ROWS(펀드_거래),1),0)-1,3,COUNTIF(펀드_거래,$E15),1), IF(SUM(OFFSET(펀드_거래,MATCH($E15,OFFSET(펀드_거래,0,0,ROWS(펀드_거래),1),0)-1,2,COUNTIF(펀드_거래,$E15),1))&gt;0, 1%, -1%) )   )   )</f>
        <v>0.20990603923797613</v>
      </c>
      <c r="Y15" s="33">
        <f ca="1">IF( ISBLANK($E15), "", IF(ISNUMBER(O15), (AD15+AE15+AF15+AJ15-AK15)/O15, "N/A")  )</f>
        <v>1.2148935984415585</v>
      </c>
      <c r="Z15" s="199">
        <f t="shared" ref="Z15:Z51" ca="1" si="11">IF( ISBLANK($E15), "", SUMPRODUCT( (OFFSET(제안사_투자현황,0,1,ROWS(제안사_투자현황),1)=$E15)*1, ISTEXT(OFFSET(제안사_투자현황,0,4,ROWS(제안사_투자현황),1))*1 ) )</f>
        <v>1</v>
      </c>
      <c r="AA15" s="27">
        <f ca="1">IF( ISBLANK($E15), "", SUMPRODUCT( (OFFSET(제안사_투자현황,0,1,ROWS(제안사_투자현황),1)=$E15)*1, OFFSET(제안사_투자현황,0,9,ROWS(제안사_투자현황),1)) )</f>
        <v>37500</v>
      </c>
      <c r="AB15" s="27">
        <f t="shared" ref="AB15:AB51" ca="1" si="12">IF( ISBLANK($E15), "", SUMPRODUCT( (OFFSET(제안사_투자현황,0,1,ROWS(제안사_투자현황),1)=$E15)*1, OFFSET(제안사_투자현황,0,14,ROWS(제안사_투자현황),1)) )</f>
        <v>46564</v>
      </c>
      <c r="AC15" s="27">
        <f t="shared" ref="AC15:AC51" ca="1" si="13">IF( ISBLANK($E15), "", SUMPRODUCT( (OFFSET(제안사_투자현황,0,1,ROWS(제안사_투자현황),1)=$E15)*1, OFFSET(제안사_투자현황,0,21,ROWS(제안사_투자현황),1)) )</f>
        <v>0</v>
      </c>
      <c r="AD15" s="27">
        <f t="shared" ref="AD15:AD51" ca="1" si="14">IF( ISBLANK($E15), "", SUMPRODUCT( (OFFSET(제안사_투자현황,0,1,ROWS(제안사_투자현황),1)=$E15)*1, OFFSET(제안사_투자현황,0,22,ROWS(제안사_투자현황),1)) )</f>
        <v>0</v>
      </c>
      <c r="AE15" s="27">
        <f t="shared" ref="AE15:AE51" ca="1" si="15">IF(   ISBLANK($E15),  "",   SUMPRODUCT( (OFFSET(펀드_거래,0,0,ROWS(펀드_거래),1)=$E15)*1, (OFFSET(펀드_거래,0,1,ROWS(펀드_거래),1)="현금분배")*1, OFFSET(펀드_거래,0,2,ROWS(펀드_거래),1)/1000000 )  +  SUMPRODUCT( (OFFSET(펀드_거래,0,0,ROWS(펀드_거래),1)=$F15)*1, (OFFSET(펀드_거래,0,1,ROWS(펀드_거래),1)="현물분배")*1, OFFSET(펀드_거래,0,2,ROWS(펀드_거래),1)/1000000 )  )</f>
        <v>45807.929588999999</v>
      </c>
      <c r="AF15" s="203">
        <f t="shared" ref="AF15:AF51" ca="1" si="16">IF( ISBLANK($E15), "", SUMPRODUCT( (OFFSET(펀드_거래,0,0,ROWS(펀드_거래),1)=$E15)*1, (OFFSET(펀드_거래,0,1,ROWS(펀드_거래),1)="성과보수")*1, OFFSET(펀드_거래,0,2,ROWS(펀드_거래),1)/1000000) )</f>
        <v>965.47395099999994</v>
      </c>
      <c r="AG15" s="251">
        <v>308</v>
      </c>
      <c r="AH15" s="252">
        <v>607</v>
      </c>
      <c r="AI15" s="252">
        <v>65</v>
      </c>
      <c r="AJ15" s="251">
        <v>0</v>
      </c>
      <c r="AK15" s="251">
        <v>0</v>
      </c>
      <c r="AL15" s="204">
        <f ca="1">IF( ISERROR(AD15+AJ15-AK15), "", AD15+AJ15-AK15 )</f>
        <v>0</v>
      </c>
      <c r="AM15" s="166">
        <v>0</v>
      </c>
      <c r="AN15" s="255" t="s">
        <v>2062</v>
      </c>
      <c r="AO15" s="253">
        <v>39976</v>
      </c>
      <c r="AP15" s="253">
        <v>40686</v>
      </c>
      <c r="AQ15" s="245" t="s">
        <v>131</v>
      </c>
      <c r="AR15" s="255"/>
      <c r="AS15" s="253"/>
      <c r="AT15" s="253"/>
      <c r="AU15" s="245"/>
      <c r="AV15" s="255"/>
      <c r="AW15" s="253"/>
      <c r="AX15" s="253"/>
      <c r="AY15" s="245"/>
      <c r="AZ15" s="247">
        <v>1</v>
      </c>
      <c r="BA15" s="54" t="s">
        <v>2062</v>
      </c>
      <c r="BB15" s="243">
        <v>39976</v>
      </c>
      <c r="BC15" s="243">
        <v>40686</v>
      </c>
      <c r="BD15" s="245" t="s">
        <v>131</v>
      </c>
      <c r="BE15" s="54"/>
      <c r="BF15" s="243"/>
      <c r="BG15" s="243"/>
      <c r="BH15" s="245"/>
      <c r="BI15" s="54"/>
      <c r="BJ15" s="243"/>
      <c r="BK15" s="243"/>
      <c r="BL15" s="245"/>
      <c r="BM15" s="135">
        <f t="shared" ref="BM15:BM51" ca="1" si="17">IF(ISBLANK($E15),"",SUMPRODUCT((OFFSET(핵심운용인력_변경내역,0,0,ROWS(핵심운용인력_변경내역),1)=$E15)*1,(OFFSET(핵심운용인력_변경내역,0,1,ROWS(핵심운용인력_변경내역),1)="유출")*1))</f>
        <v>0</v>
      </c>
      <c r="BN15" s="245">
        <v>1</v>
      </c>
      <c r="BO15" s="241" t="s">
        <v>2072</v>
      </c>
      <c r="BP15" s="205">
        <v>3110</v>
      </c>
      <c r="BQ15" s="6"/>
      <c r="BR15" s="155"/>
      <c r="BS15" s="205"/>
      <c r="BT15" s="6"/>
      <c r="BU15" s="155"/>
      <c r="BV15" s="205"/>
      <c r="BW15" s="6"/>
      <c r="BX15" s="156" t="s">
        <v>814</v>
      </c>
      <c r="BY15" s="205">
        <v>14807</v>
      </c>
      <c r="BZ15" s="156" t="s">
        <v>2745</v>
      </c>
      <c r="CA15" s="205">
        <v>7404</v>
      </c>
      <c r="CB15" s="156" t="s">
        <v>2746</v>
      </c>
      <c r="CC15" s="205">
        <v>7404</v>
      </c>
    </row>
    <row r="16" spans="5:81" ht="54">
      <c r="E16" s="260" t="s">
        <v>2017</v>
      </c>
      <c r="F16" s="240" t="s">
        <v>1591</v>
      </c>
      <c r="G16" s="242" t="s">
        <v>2030</v>
      </c>
      <c r="H16" s="240" t="s">
        <v>164</v>
      </c>
      <c r="I16" s="249" t="s">
        <v>180</v>
      </c>
      <c r="J16" s="239" t="s">
        <v>70</v>
      </c>
      <c r="K16" s="239" t="s">
        <v>92</v>
      </c>
      <c r="L16" s="254" t="s">
        <v>71</v>
      </c>
      <c r="M16" s="254" t="s">
        <v>133</v>
      </c>
      <c r="N16" s="246" t="s">
        <v>117</v>
      </c>
      <c r="O16" s="250">
        <v>15500</v>
      </c>
      <c r="P16" s="250">
        <v>15500</v>
      </c>
      <c r="Q16" s="243">
        <v>40100</v>
      </c>
      <c r="R16" s="243">
        <v>41790</v>
      </c>
      <c r="S16" s="243">
        <v>43021</v>
      </c>
      <c r="T16" s="52">
        <f t="shared" ref="T16:T51" si="18">IF(ISBLANK(Q16),"",DATEDIF(Q16,S16,"d")/365)</f>
        <v>8.0027397260273965</v>
      </c>
      <c r="U16" s="244">
        <v>7.0000000000000007E-2</v>
      </c>
      <c r="V16" s="239" t="s">
        <v>73</v>
      </c>
      <c r="W16" s="239" t="s">
        <v>2043</v>
      </c>
      <c r="X16" s="26">
        <f t="shared" ref="X16:X51" ca="1" si="19">IF(ISBLANK($E16), "",    IF(   ISERROR(  XIRR( OFFSET(펀드_거래,MATCH($E16,OFFSET(펀드_거래,0,0,ROWS(펀드_거래),1),0)-1,2,COUNTIF(펀드_거래,$E16),1), OFFSET(펀드_거래,MATCH($E16,OFFSET(펀드_거래,0,0,ROWS(펀드_거래),1),0)-1,3,COUNTIF(펀드_거래,$E16),1) )  ),   "N/A",   XIRR( OFFSET(펀드_거래,MATCH($E16,OFFSET(펀드_거래,0,0,ROWS(펀드_거래),1),0)-1,2,COUNTIF(펀드_거래,$E16),1), OFFSET(펀드_거래,MATCH($E16,OFFSET(펀드_거래,0,0,ROWS(펀드_거래),1),0)-1,3,COUNTIF(펀드_거래,$E16),1), IF(SUM(OFFSET(펀드_거래,MATCH($E16,OFFSET(펀드_거래,0,0,ROWS(펀드_거래),1),0)-1,2,COUNTIF(펀드_거래,$E16),1))&gt;0, 1%, -1%) )   )   )</f>
        <v>1.049170970916748E-2</v>
      </c>
      <c r="Y16" s="33">
        <f ca="1">IF( ISBLANK($E16), "", IF(ISNUMBER(O16), (AD16+AE16+AF16+AJ16-AK16)/O16, "N/A")  )</f>
        <v>1.0539354838709678</v>
      </c>
      <c r="Z16" s="199">
        <f t="shared" ca="1" si="11"/>
        <v>10</v>
      </c>
      <c r="AA16" s="27">
        <f t="shared" ref="AA16:AA51" ca="1" si="20">IF( ISBLANK($E16), "", SUMPRODUCT( (OFFSET(제안사_투자현황,0,1,ROWS(제안사_투자현황),1)=$E16)*1, OFFSET(제안사_투자현황,0,9,ROWS(제안사_투자현황),1)) )</f>
        <v>12847</v>
      </c>
      <c r="AB16" s="27">
        <f t="shared" ca="1" si="12"/>
        <v>13021</v>
      </c>
      <c r="AC16" s="27">
        <f t="shared" ca="1" si="13"/>
        <v>3000</v>
      </c>
      <c r="AD16" s="27">
        <f t="shared" ca="1" si="14"/>
        <v>3000</v>
      </c>
      <c r="AE16" s="27">
        <f t="shared" ca="1" si="15"/>
        <v>13379</v>
      </c>
      <c r="AF16" s="203">
        <f t="shared" ca="1" si="16"/>
        <v>0</v>
      </c>
      <c r="AG16" s="251">
        <v>0</v>
      </c>
      <c r="AH16" s="252">
        <v>2336</v>
      </c>
      <c r="AI16" s="252">
        <v>158</v>
      </c>
      <c r="AJ16" s="251">
        <v>0</v>
      </c>
      <c r="AK16" s="251">
        <v>43</v>
      </c>
      <c r="AL16" s="204">
        <f t="shared" ref="AL16:AL51" ca="1" si="21">IF( ISERROR(AD16+AJ16-AK16), "", AD16+AJ16-AK16 )</f>
        <v>2957</v>
      </c>
      <c r="AM16" s="166">
        <v>0</v>
      </c>
      <c r="AN16" s="255" t="s">
        <v>2058</v>
      </c>
      <c r="AO16" s="253">
        <v>40100</v>
      </c>
      <c r="AP16" s="253">
        <v>42993</v>
      </c>
      <c r="AQ16" s="245" t="s">
        <v>131</v>
      </c>
      <c r="AR16" s="255" t="s">
        <v>2059</v>
      </c>
      <c r="AS16" s="253">
        <v>40100</v>
      </c>
      <c r="AT16" s="253">
        <v>40360</v>
      </c>
      <c r="AU16" s="245" t="s">
        <v>117</v>
      </c>
      <c r="AV16" s="255"/>
      <c r="AW16" s="253"/>
      <c r="AX16" s="253"/>
      <c r="AY16" s="245"/>
      <c r="AZ16" s="247">
        <v>2</v>
      </c>
      <c r="BA16" s="54" t="s">
        <v>2058</v>
      </c>
      <c r="BB16" s="243">
        <v>40100</v>
      </c>
      <c r="BC16" s="243">
        <v>42993</v>
      </c>
      <c r="BD16" s="245" t="s">
        <v>131</v>
      </c>
      <c r="BE16" s="54"/>
      <c r="BF16" s="243"/>
      <c r="BG16" s="243"/>
      <c r="BH16" s="245"/>
      <c r="BI16" s="54"/>
      <c r="BJ16" s="243"/>
      <c r="BK16" s="243"/>
      <c r="BL16" s="245"/>
      <c r="BM16" s="135">
        <f t="shared" ca="1" si="17"/>
        <v>4</v>
      </c>
      <c r="BN16" s="245">
        <v>1</v>
      </c>
      <c r="BO16" s="241" t="s">
        <v>2072</v>
      </c>
      <c r="BP16" s="205">
        <v>5000</v>
      </c>
      <c r="BQ16" s="6">
        <v>0</v>
      </c>
      <c r="BR16" s="155"/>
      <c r="BS16" s="205"/>
      <c r="BT16" s="6"/>
      <c r="BU16" s="155"/>
      <c r="BV16" s="205"/>
      <c r="BW16" s="6"/>
      <c r="BX16" s="156" t="s">
        <v>2074</v>
      </c>
      <c r="BY16" s="205">
        <v>10000</v>
      </c>
      <c r="BZ16" s="156" t="s">
        <v>2075</v>
      </c>
      <c r="CA16" s="205">
        <v>500</v>
      </c>
      <c r="CB16" s="156"/>
      <c r="CC16" s="205"/>
    </row>
    <row r="17" spans="5:81" ht="27">
      <c r="E17" s="271" t="s">
        <v>2747</v>
      </c>
      <c r="F17" s="263" t="s">
        <v>2690</v>
      </c>
      <c r="G17" s="272" t="s">
        <v>2748</v>
      </c>
      <c r="H17" s="263" t="s">
        <v>69</v>
      </c>
      <c r="I17" s="273" t="s">
        <v>181</v>
      </c>
      <c r="J17" s="274" t="s">
        <v>159</v>
      </c>
      <c r="K17" s="274" t="s">
        <v>137</v>
      </c>
      <c r="L17" s="275" t="s">
        <v>71</v>
      </c>
      <c r="M17" s="275" t="s">
        <v>72</v>
      </c>
      <c r="N17" s="276" t="s">
        <v>117</v>
      </c>
      <c r="O17" s="277">
        <v>42000</v>
      </c>
      <c r="P17" s="277">
        <v>42000</v>
      </c>
      <c r="Q17" s="265">
        <v>40150</v>
      </c>
      <c r="R17" s="265">
        <v>40868</v>
      </c>
      <c r="S17" s="265">
        <v>40905</v>
      </c>
      <c r="T17" s="52">
        <f t="shared" si="18"/>
        <v>2.0684931506849313</v>
      </c>
      <c r="U17" s="278">
        <v>7.0000000000000007E-2</v>
      </c>
      <c r="V17" s="274" t="s">
        <v>73</v>
      </c>
      <c r="W17" s="274" t="s">
        <v>2749</v>
      </c>
      <c r="X17" s="26">
        <f t="shared" ca="1" si="19"/>
        <v>0.31326460361480724</v>
      </c>
      <c r="Y17" s="33">
        <f t="shared" ref="Y17:Y49" ca="1" si="22">IF( ISBLANK($E17), "", IF(ISNUMBER(O17), (AD17+AE17+AF17+AJ17-AK17)/O17, "N/A")  )</f>
        <v>1.7030006069999997</v>
      </c>
      <c r="Z17" s="199">
        <f t="shared" ca="1" si="11"/>
        <v>1</v>
      </c>
      <c r="AA17" s="27">
        <f t="shared" ca="1" si="20"/>
        <v>40000</v>
      </c>
      <c r="AB17" s="27">
        <f t="shared" ca="1" si="12"/>
        <v>72125</v>
      </c>
      <c r="AC17" s="27">
        <f t="shared" ca="1" si="13"/>
        <v>0</v>
      </c>
      <c r="AD17" s="27">
        <f t="shared" ca="1" si="14"/>
        <v>0</v>
      </c>
      <c r="AE17" s="27">
        <f t="shared" ca="1" si="15"/>
        <v>66602.93979199999</v>
      </c>
      <c r="AF17" s="203">
        <f t="shared" ca="1" si="16"/>
        <v>4923.0857020000003</v>
      </c>
      <c r="AG17" s="279">
        <v>697</v>
      </c>
      <c r="AH17" s="280">
        <v>1564</v>
      </c>
      <c r="AI17" s="280">
        <v>48</v>
      </c>
      <c r="AJ17" s="279">
        <v>0</v>
      </c>
      <c r="AK17" s="279">
        <v>0</v>
      </c>
      <c r="AL17" s="204">
        <f t="shared" ca="1" si="21"/>
        <v>0</v>
      </c>
      <c r="AM17" s="281">
        <v>0</v>
      </c>
      <c r="AN17" s="282" t="s">
        <v>2060</v>
      </c>
      <c r="AO17" s="283">
        <v>40150</v>
      </c>
      <c r="AP17" s="283">
        <v>40905</v>
      </c>
      <c r="AQ17" s="266" t="s">
        <v>131</v>
      </c>
      <c r="AR17" s="282"/>
      <c r="AS17" s="283"/>
      <c r="AT17" s="283"/>
      <c r="AU17" s="266"/>
      <c r="AV17" s="282"/>
      <c r="AW17" s="283"/>
      <c r="AX17" s="283"/>
      <c r="AY17" s="266"/>
      <c r="AZ17" s="284">
        <v>1</v>
      </c>
      <c r="BA17" s="285" t="s">
        <v>2060</v>
      </c>
      <c r="BB17" s="265">
        <v>40150</v>
      </c>
      <c r="BC17" s="265">
        <v>40905</v>
      </c>
      <c r="BD17" s="266" t="s">
        <v>131</v>
      </c>
      <c r="BE17" s="285"/>
      <c r="BF17" s="265"/>
      <c r="BG17" s="265"/>
      <c r="BH17" s="266"/>
      <c r="BI17" s="285"/>
      <c r="BJ17" s="265"/>
      <c r="BK17" s="265"/>
      <c r="BL17" s="266"/>
      <c r="BM17" s="135">
        <f t="shared" ca="1" si="17"/>
        <v>0</v>
      </c>
      <c r="BN17" s="266">
        <v>2</v>
      </c>
      <c r="BO17" s="286" t="s">
        <v>2072</v>
      </c>
      <c r="BP17" s="287">
        <v>1000</v>
      </c>
      <c r="BQ17" s="288"/>
      <c r="BR17" s="289" t="s">
        <v>2074</v>
      </c>
      <c r="BS17" s="287">
        <v>10000</v>
      </c>
      <c r="BT17" s="288"/>
      <c r="BU17" s="289"/>
      <c r="BV17" s="287"/>
      <c r="BW17" s="288"/>
      <c r="BX17" s="290" t="s">
        <v>2750</v>
      </c>
      <c r="BY17" s="287">
        <v>8500</v>
      </c>
      <c r="BZ17" s="290" t="s">
        <v>2073</v>
      </c>
      <c r="CA17" s="287">
        <v>4000</v>
      </c>
      <c r="CB17" s="290" t="s">
        <v>2081</v>
      </c>
      <c r="CC17" s="287">
        <v>4000</v>
      </c>
    </row>
    <row r="18" spans="5:81" ht="27">
      <c r="E18" s="260" t="s">
        <v>2027</v>
      </c>
      <c r="F18" s="240" t="s">
        <v>1591</v>
      </c>
      <c r="G18" s="242" t="s">
        <v>2031</v>
      </c>
      <c r="H18" s="240" t="s">
        <v>164</v>
      </c>
      <c r="I18" s="249" t="s">
        <v>3</v>
      </c>
      <c r="J18" s="239" t="s">
        <v>159</v>
      </c>
      <c r="K18" s="239" t="s">
        <v>92</v>
      </c>
      <c r="L18" s="254" t="s">
        <v>71</v>
      </c>
      <c r="M18" s="254" t="s">
        <v>179</v>
      </c>
      <c r="N18" s="246" t="s">
        <v>117</v>
      </c>
      <c r="O18" s="250">
        <v>5250</v>
      </c>
      <c r="P18" s="250">
        <v>5250</v>
      </c>
      <c r="Q18" s="243">
        <v>40330</v>
      </c>
      <c r="R18" s="243">
        <v>41790</v>
      </c>
      <c r="S18" s="243">
        <v>43251</v>
      </c>
      <c r="T18" s="52">
        <f t="shared" si="18"/>
        <v>8.0027397260273965</v>
      </c>
      <c r="U18" s="244">
        <v>7.0000000000000007E-2</v>
      </c>
      <c r="V18" s="239" t="s">
        <v>73</v>
      </c>
      <c r="W18" s="239" t="s">
        <v>2044</v>
      </c>
      <c r="X18" s="26">
        <f t="shared" ca="1" si="19"/>
        <v>1.8320136070251472E-2</v>
      </c>
      <c r="Y18" s="33">
        <f t="shared" ca="1" si="22"/>
        <v>1.1394428571428572</v>
      </c>
      <c r="Z18" s="199">
        <f t="shared" ca="1" si="11"/>
        <v>3</v>
      </c>
      <c r="AA18" s="27">
        <f t="shared" ca="1" si="20"/>
        <v>5000</v>
      </c>
      <c r="AB18" s="27">
        <f t="shared" ca="1" si="12"/>
        <v>1154</v>
      </c>
      <c r="AC18" s="27">
        <f t="shared" ca="1" si="13"/>
        <v>5000</v>
      </c>
      <c r="AD18" s="27">
        <f t="shared" ca="1" si="14"/>
        <v>5000</v>
      </c>
      <c r="AE18" s="27">
        <f t="shared" ca="1" si="15"/>
        <v>957.07500000000005</v>
      </c>
      <c r="AF18" s="203">
        <f t="shared" ca="1" si="16"/>
        <v>0</v>
      </c>
      <c r="AG18" s="251">
        <v>0</v>
      </c>
      <c r="AH18" s="252">
        <v>354</v>
      </c>
      <c r="AI18" s="252">
        <v>102</v>
      </c>
      <c r="AJ18" s="251">
        <v>25</v>
      </c>
      <c r="AK18" s="251">
        <v>0</v>
      </c>
      <c r="AL18" s="204">
        <f t="shared" ca="1" si="21"/>
        <v>5025</v>
      </c>
      <c r="AM18" s="166">
        <v>0</v>
      </c>
      <c r="AN18" s="255" t="s">
        <v>2060</v>
      </c>
      <c r="AO18" s="253">
        <v>40330</v>
      </c>
      <c r="AP18" s="253">
        <v>42993</v>
      </c>
      <c r="AQ18" s="245" t="s">
        <v>131</v>
      </c>
      <c r="AR18" s="255" t="s">
        <v>2061</v>
      </c>
      <c r="AS18" s="253">
        <v>40330</v>
      </c>
      <c r="AT18" s="253">
        <v>40663</v>
      </c>
      <c r="AU18" s="245" t="s">
        <v>117</v>
      </c>
      <c r="AV18" s="255"/>
      <c r="AW18" s="253"/>
      <c r="AX18" s="253"/>
      <c r="AY18" s="245"/>
      <c r="AZ18" s="247">
        <v>2</v>
      </c>
      <c r="BA18" s="54" t="s">
        <v>2060</v>
      </c>
      <c r="BB18" s="243">
        <v>40330</v>
      </c>
      <c r="BC18" s="243">
        <v>42993</v>
      </c>
      <c r="BD18" s="245" t="s">
        <v>131</v>
      </c>
      <c r="BE18" s="54"/>
      <c r="BF18" s="243"/>
      <c r="BG18" s="243"/>
      <c r="BH18" s="245"/>
      <c r="BI18" s="54"/>
      <c r="BJ18" s="243"/>
      <c r="BK18" s="243"/>
      <c r="BL18" s="245"/>
      <c r="BM18" s="135">
        <f t="shared" ca="1" si="17"/>
        <v>3</v>
      </c>
      <c r="BN18" s="245">
        <v>1</v>
      </c>
      <c r="BO18" s="241" t="s">
        <v>2072</v>
      </c>
      <c r="BP18" s="205">
        <v>250</v>
      </c>
      <c r="BQ18" s="6">
        <v>0</v>
      </c>
      <c r="BR18" s="155"/>
      <c r="BS18" s="205"/>
      <c r="BT18" s="6"/>
      <c r="BU18" s="155"/>
      <c r="BV18" s="205"/>
      <c r="BW18" s="6"/>
      <c r="BX18" s="156" t="s">
        <v>2076</v>
      </c>
      <c r="BY18" s="205">
        <v>5000</v>
      </c>
      <c r="BZ18" s="156"/>
      <c r="CA18" s="205"/>
      <c r="CB18" s="156"/>
      <c r="CC18" s="205"/>
    </row>
    <row r="19" spans="5:81" ht="40.5">
      <c r="E19" s="260" t="s">
        <v>2028</v>
      </c>
      <c r="F19" s="240" t="s">
        <v>1591</v>
      </c>
      <c r="G19" s="242" t="s">
        <v>2032</v>
      </c>
      <c r="H19" s="240" t="s">
        <v>164</v>
      </c>
      <c r="I19" s="249" t="s">
        <v>3</v>
      </c>
      <c r="J19" s="239" t="s">
        <v>159</v>
      </c>
      <c r="K19" s="239" t="s">
        <v>92</v>
      </c>
      <c r="L19" s="254" t="s">
        <v>71</v>
      </c>
      <c r="M19" s="254" t="s">
        <v>179</v>
      </c>
      <c r="N19" s="246" t="s">
        <v>117</v>
      </c>
      <c r="O19" s="250">
        <v>11000</v>
      </c>
      <c r="P19" s="250">
        <v>11000</v>
      </c>
      <c r="Q19" s="243">
        <v>40330</v>
      </c>
      <c r="R19" s="243">
        <v>42254</v>
      </c>
      <c r="S19" s="243">
        <v>43251</v>
      </c>
      <c r="T19" s="52">
        <f t="shared" si="18"/>
        <v>8.0027397260273965</v>
      </c>
      <c r="U19" s="244">
        <v>7.0000000000000007E-2</v>
      </c>
      <c r="V19" s="239" t="s">
        <v>73</v>
      </c>
      <c r="W19" s="239" t="s">
        <v>2045</v>
      </c>
      <c r="X19" s="26">
        <f t="shared" ca="1" si="19"/>
        <v>-8.9498281162232157E-2</v>
      </c>
      <c r="Y19" s="33">
        <f t="shared" ca="1" si="22"/>
        <v>0.51598281818181813</v>
      </c>
      <c r="Z19" s="199">
        <f t="shared" ca="1" si="11"/>
        <v>3</v>
      </c>
      <c r="AA19" s="27">
        <f t="shared" ca="1" si="20"/>
        <v>10300</v>
      </c>
      <c r="AB19" s="27">
        <f t="shared" ca="1" si="12"/>
        <v>2394</v>
      </c>
      <c r="AC19" s="27">
        <f t="shared" ca="1" si="13"/>
        <v>4289</v>
      </c>
      <c r="AD19" s="27">
        <f t="shared" ca="1" si="14"/>
        <v>4289</v>
      </c>
      <c r="AE19" s="27">
        <f t="shared" ca="1" si="15"/>
        <v>1218.8109999999999</v>
      </c>
      <c r="AF19" s="203">
        <f t="shared" ca="1" si="16"/>
        <v>0</v>
      </c>
      <c r="AG19" s="251">
        <v>0</v>
      </c>
      <c r="AH19" s="252">
        <v>1558</v>
      </c>
      <c r="AI19" s="252">
        <v>200</v>
      </c>
      <c r="AJ19" s="251">
        <v>168</v>
      </c>
      <c r="AK19" s="251">
        <v>0</v>
      </c>
      <c r="AL19" s="204">
        <f t="shared" ca="1" si="21"/>
        <v>4457</v>
      </c>
      <c r="AM19" s="166">
        <v>0</v>
      </c>
      <c r="AN19" s="255" t="s">
        <v>2060</v>
      </c>
      <c r="AO19" s="253">
        <v>40330</v>
      </c>
      <c r="AP19" s="253">
        <v>42993</v>
      </c>
      <c r="AQ19" s="245" t="s">
        <v>131</v>
      </c>
      <c r="AR19" s="255" t="s">
        <v>2061</v>
      </c>
      <c r="AS19" s="253">
        <v>40330</v>
      </c>
      <c r="AT19" s="253">
        <v>40663</v>
      </c>
      <c r="AU19" s="245" t="s">
        <v>117</v>
      </c>
      <c r="AV19" s="255"/>
      <c r="AW19" s="253"/>
      <c r="AX19" s="253"/>
      <c r="AY19" s="245"/>
      <c r="AZ19" s="247">
        <v>2</v>
      </c>
      <c r="BA19" s="54" t="s">
        <v>2060</v>
      </c>
      <c r="BB19" s="243">
        <v>40330</v>
      </c>
      <c r="BC19" s="243">
        <v>42993</v>
      </c>
      <c r="BD19" s="245" t="s">
        <v>131</v>
      </c>
      <c r="BE19" s="54"/>
      <c r="BF19" s="243"/>
      <c r="BG19" s="243"/>
      <c r="BH19" s="245"/>
      <c r="BI19" s="54"/>
      <c r="BJ19" s="243"/>
      <c r="BK19" s="243"/>
      <c r="BL19" s="245"/>
      <c r="BM19" s="135">
        <f t="shared" ca="1" si="17"/>
        <v>3</v>
      </c>
      <c r="BN19" s="245">
        <v>2</v>
      </c>
      <c r="BO19" s="241" t="s">
        <v>2072</v>
      </c>
      <c r="BP19" s="205">
        <v>500</v>
      </c>
      <c r="BQ19" s="6">
        <v>0</v>
      </c>
      <c r="BR19" s="155" t="s">
        <v>2073</v>
      </c>
      <c r="BS19" s="205">
        <v>5000</v>
      </c>
      <c r="BT19" s="6"/>
      <c r="BU19" s="155"/>
      <c r="BV19" s="205"/>
      <c r="BW19" s="6"/>
      <c r="BX19" s="156" t="s">
        <v>2077</v>
      </c>
      <c r="BY19" s="205">
        <v>3000</v>
      </c>
      <c r="BZ19" s="156" t="s">
        <v>2074</v>
      </c>
      <c r="CA19" s="205">
        <v>1000</v>
      </c>
      <c r="CB19" s="156" t="s">
        <v>2078</v>
      </c>
      <c r="CC19" s="205">
        <v>1000</v>
      </c>
    </row>
    <row r="20" spans="5:81" ht="54">
      <c r="E20" s="260" t="s">
        <v>2018</v>
      </c>
      <c r="F20" s="240" t="s">
        <v>1591</v>
      </c>
      <c r="G20" s="242" t="s">
        <v>2033</v>
      </c>
      <c r="H20" s="240" t="s">
        <v>164</v>
      </c>
      <c r="I20" s="249" t="s">
        <v>180</v>
      </c>
      <c r="J20" s="239" t="s">
        <v>70</v>
      </c>
      <c r="K20" s="239" t="s">
        <v>92</v>
      </c>
      <c r="L20" s="254" t="s">
        <v>71</v>
      </c>
      <c r="M20" s="254" t="s">
        <v>133</v>
      </c>
      <c r="N20" s="246" t="s">
        <v>117</v>
      </c>
      <c r="O20" s="250">
        <v>10000</v>
      </c>
      <c r="P20" s="250">
        <v>10000</v>
      </c>
      <c r="Q20" s="243">
        <v>40359</v>
      </c>
      <c r="R20" s="243">
        <v>42797</v>
      </c>
      <c r="S20" s="243">
        <v>43280</v>
      </c>
      <c r="T20" s="52">
        <f t="shared" si="18"/>
        <v>8.0027397260273965</v>
      </c>
      <c r="U20" s="244">
        <v>0.05</v>
      </c>
      <c r="V20" s="239" t="s">
        <v>73</v>
      </c>
      <c r="W20" s="239" t="s">
        <v>2046</v>
      </c>
      <c r="X20" s="26">
        <f t="shared" ca="1" si="19"/>
        <v>3.8480830192565915E-2</v>
      </c>
      <c r="Y20" s="33">
        <f t="shared" ca="1" si="22"/>
        <v>1.1727000000000001</v>
      </c>
      <c r="Z20" s="199">
        <f t="shared" ca="1" si="11"/>
        <v>9</v>
      </c>
      <c r="AA20" s="27">
        <f t="shared" ca="1" si="20"/>
        <v>9208</v>
      </c>
      <c r="AB20" s="27">
        <f t="shared" ca="1" si="12"/>
        <v>10224</v>
      </c>
      <c r="AC20" s="27">
        <f t="shared" ca="1" si="13"/>
        <v>1918</v>
      </c>
      <c r="AD20" s="27">
        <f t="shared" ca="1" si="14"/>
        <v>1918</v>
      </c>
      <c r="AE20" s="27">
        <f t="shared" ca="1" si="15"/>
        <v>9826</v>
      </c>
      <c r="AF20" s="203">
        <f t="shared" ca="1" si="16"/>
        <v>0</v>
      </c>
      <c r="AG20" s="251">
        <v>0</v>
      </c>
      <c r="AH20" s="252">
        <v>1218</v>
      </c>
      <c r="AI20" s="252">
        <v>64</v>
      </c>
      <c r="AJ20" s="251">
        <v>7</v>
      </c>
      <c r="AK20" s="251">
        <v>24</v>
      </c>
      <c r="AL20" s="204">
        <f t="shared" ca="1" si="21"/>
        <v>1901</v>
      </c>
      <c r="AM20" s="166">
        <v>0</v>
      </c>
      <c r="AN20" s="255" t="s">
        <v>2060</v>
      </c>
      <c r="AO20" s="253">
        <v>40359</v>
      </c>
      <c r="AP20" s="253">
        <v>42993</v>
      </c>
      <c r="AQ20" s="245" t="s">
        <v>131</v>
      </c>
      <c r="AR20" s="255" t="s">
        <v>2058</v>
      </c>
      <c r="AS20" s="253">
        <v>40359</v>
      </c>
      <c r="AT20" s="253">
        <v>42993</v>
      </c>
      <c r="AU20" s="245" t="s">
        <v>131</v>
      </c>
      <c r="AV20" s="255"/>
      <c r="AW20" s="253"/>
      <c r="AX20" s="253"/>
      <c r="AY20" s="245"/>
      <c r="AZ20" s="247">
        <v>2</v>
      </c>
      <c r="BA20" s="54" t="s">
        <v>2060</v>
      </c>
      <c r="BB20" s="243">
        <v>40359</v>
      </c>
      <c r="BC20" s="243">
        <v>42993</v>
      </c>
      <c r="BD20" s="245" t="s">
        <v>131</v>
      </c>
      <c r="BE20" s="54" t="s">
        <v>2058</v>
      </c>
      <c r="BF20" s="243">
        <v>40359</v>
      </c>
      <c r="BG20" s="243">
        <v>42993</v>
      </c>
      <c r="BH20" s="245" t="s">
        <v>131</v>
      </c>
      <c r="BI20" s="54"/>
      <c r="BJ20" s="243"/>
      <c r="BK20" s="243"/>
      <c r="BL20" s="245"/>
      <c r="BM20" s="135">
        <f t="shared" ca="1" si="17"/>
        <v>0</v>
      </c>
      <c r="BN20" s="245">
        <v>1</v>
      </c>
      <c r="BO20" s="241" t="s">
        <v>2072</v>
      </c>
      <c r="BP20" s="205">
        <v>2000</v>
      </c>
      <c r="BQ20" s="6">
        <v>0</v>
      </c>
      <c r="BR20" s="155"/>
      <c r="BS20" s="205"/>
      <c r="BT20" s="6"/>
      <c r="BU20" s="155"/>
      <c r="BV20" s="205"/>
      <c r="BW20" s="6"/>
      <c r="BX20" s="156" t="s">
        <v>2075</v>
      </c>
      <c r="BY20" s="205">
        <v>7000</v>
      </c>
      <c r="BZ20" s="156" t="s">
        <v>1165</v>
      </c>
      <c r="CA20" s="205">
        <v>1000</v>
      </c>
      <c r="CB20" s="156"/>
      <c r="CC20" s="205"/>
    </row>
    <row r="21" spans="5:81" ht="54">
      <c r="E21" s="260" t="s">
        <v>2054</v>
      </c>
      <c r="F21" s="240" t="s">
        <v>1591</v>
      </c>
      <c r="G21" s="242" t="s">
        <v>2055</v>
      </c>
      <c r="H21" s="240" t="s">
        <v>69</v>
      </c>
      <c r="I21" s="249" t="s">
        <v>180</v>
      </c>
      <c r="J21" s="239" t="s">
        <v>70</v>
      </c>
      <c r="K21" s="239" t="s">
        <v>2056</v>
      </c>
      <c r="L21" s="254" t="s">
        <v>71</v>
      </c>
      <c r="M21" s="254" t="s">
        <v>72</v>
      </c>
      <c r="N21" s="246" t="s">
        <v>131</v>
      </c>
      <c r="O21" s="250">
        <v>23000</v>
      </c>
      <c r="P21" s="250">
        <v>23000</v>
      </c>
      <c r="Q21" s="243">
        <v>40400</v>
      </c>
      <c r="R21" s="243">
        <v>41560</v>
      </c>
      <c r="S21" s="243">
        <v>42965</v>
      </c>
      <c r="T21" s="52">
        <f t="shared" si="18"/>
        <v>7.0273972602739727</v>
      </c>
      <c r="U21" s="244">
        <v>0.08</v>
      </c>
      <c r="V21" s="239" t="s">
        <v>73</v>
      </c>
      <c r="W21" s="239" t="s">
        <v>2057</v>
      </c>
      <c r="X21" s="26">
        <f t="shared" ca="1" si="19"/>
        <v>0.12895282268524172</v>
      </c>
      <c r="Y21" s="33">
        <f t="shared" ca="1" si="22"/>
        <v>1.377212731</v>
      </c>
      <c r="Z21" s="199">
        <f t="shared" ca="1" si="11"/>
        <v>7</v>
      </c>
      <c r="AA21" s="27">
        <f t="shared" ca="1" si="20"/>
        <v>22399</v>
      </c>
      <c r="AB21" s="27">
        <f t="shared" ca="1" si="12"/>
        <v>32803</v>
      </c>
      <c r="AC21" s="27">
        <f t="shared" ca="1" si="13"/>
        <v>0</v>
      </c>
      <c r="AD21" s="27">
        <f t="shared" ca="1" si="14"/>
        <v>0</v>
      </c>
      <c r="AE21" s="27">
        <f t="shared" ca="1" si="15"/>
        <v>30868.595384</v>
      </c>
      <c r="AF21" s="203">
        <f t="shared" ca="1" si="16"/>
        <v>807.29742899999997</v>
      </c>
      <c r="AG21" s="251">
        <v>407</v>
      </c>
      <c r="AH21" s="252">
        <v>1693</v>
      </c>
      <c r="AI21" s="252">
        <v>349</v>
      </c>
      <c r="AJ21" s="251">
        <v>0</v>
      </c>
      <c r="AK21" s="251">
        <v>0</v>
      </c>
      <c r="AL21" s="204">
        <f t="shared" ca="1" si="21"/>
        <v>0</v>
      </c>
      <c r="AM21" s="166">
        <v>0</v>
      </c>
      <c r="AN21" s="255" t="s">
        <v>2062</v>
      </c>
      <c r="AO21" s="253">
        <v>40400</v>
      </c>
      <c r="AP21" s="253">
        <v>42225</v>
      </c>
      <c r="AQ21" s="245" t="s">
        <v>131</v>
      </c>
      <c r="AR21" s="255" t="s">
        <v>2060</v>
      </c>
      <c r="AS21" s="253">
        <v>40400</v>
      </c>
      <c r="AT21" s="253">
        <v>42225</v>
      </c>
      <c r="AU21" s="245" t="s">
        <v>131</v>
      </c>
      <c r="AV21" s="255" t="s">
        <v>2058</v>
      </c>
      <c r="AW21" s="253">
        <v>40400</v>
      </c>
      <c r="AX21" s="253">
        <v>42225</v>
      </c>
      <c r="AY21" s="245" t="s">
        <v>131</v>
      </c>
      <c r="AZ21" s="247">
        <v>3</v>
      </c>
      <c r="BA21" s="54" t="s">
        <v>2062</v>
      </c>
      <c r="BB21" s="243">
        <v>40400</v>
      </c>
      <c r="BC21" s="243">
        <v>42965</v>
      </c>
      <c r="BD21" s="245" t="s">
        <v>131</v>
      </c>
      <c r="BE21" s="54" t="s">
        <v>2060</v>
      </c>
      <c r="BF21" s="243">
        <v>40400</v>
      </c>
      <c r="BG21" s="243">
        <v>42965</v>
      </c>
      <c r="BH21" s="245" t="s">
        <v>131</v>
      </c>
      <c r="BI21" s="54" t="s">
        <v>2058</v>
      </c>
      <c r="BJ21" s="243">
        <v>40400</v>
      </c>
      <c r="BK21" s="243">
        <v>42965</v>
      </c>
      <c r="BL21" s="245" t="s">
        <v>131</v>
      </c>
      <c r="BM21" s="135">
        <f t="shared" ca="1" si="17"/>
        <v>0</v>
      </c>
      <c r="BN21" s="245">
        <v>1</v>
      </c>
      <c r="BO21" s="241" t="s">
        <v>2072</v>
      </c>
      <c r="BP21" s="205">
        <v>2800</v>
      </c>
      <c r="BQ21" s="6">
        <v>2300</v>
      </c>
      <c r="BR21" s="155"/>
      <c r="BS21" s="205"/>
      <c r="BT21" s="6"/>
      <c r="BU21" s="155"/>
      <c r="BV21" s="205"/>
      <c r="BW21" s="6"/>
      <c r="BX21" s="156" t="s">
        <v>1110</v>
      </c>
      <c r="BY21" s="205">
        <v>14000</v>
      </c>
      <c r="BZ21" s="156" t="s">
        <v>2079</v>
      </c>
      <c r="CA21" s="205">
        <v>3000</v>
      </c>
      <c r="CB21" s="156" t="s">
        <v>2629</v>
      </c>
      <c r="CC21" s="205">
        <v>200</v>
      </c>
    </row>
    <row r="22" spans="5:81" ht="54">
      <c r="E22" s="260" t="s">
        <v>2019</v>
      </c>
      <c r="F22" s="240" t="s">
        <v>1591</v>
      </c>
      <c r="G22" s="242" t="s">
        <v>2034</v>
      </c>
      <c r="H22" s="240" t="s">
        <v>166</v>
      </c>
      <c r="I22" s="249" t="s">
        <v>3</v>
      </c>
      <c r="J22" s="239" t="s">
        <v>70</v>
      </c>
      <c r="K22" s="239" t="s">
        <v>92</v>
      </c>
      <c r="L22" s="254" t="s">
        <v>71</v>
      </c>
      <c r="M22" s="254" t="s">
        <v>133</v>
      </c>
      <c r="N22" s="246" t="s">
        <v>117</v>
      </c>
      <c r="O22" s="250">
        <v>32000</v>
      </c>
      <c r="P22" s="250">
        <v>32000</v>
      </c>
      <c r="Q22" s="243">
        <v>40429</v>
      </c>
      <c r="R22" s="243">
        <v>41819</v>
      </c>
      <c r="S22" s="243">
        <v>42985</v>
      </c>
      <c r="T22" s="52">
        <f t="shared" si="18"/>
        <v>7.0027397260273974</v>
      </c>
      <c r="U22" s="244">
        <v>0.08</v>
      </c>
      <c r="V22" s="239" t="s">
        <v>73</v>
      </c>
      <c r="W22" s="239" t="s">
        <v>2047</v>
      </c>
      <c r="X22" s="26">
        <f t="shared" ca="1" si="19"/>
        <v>0.20760107517242438</v>
      </c>
      <c r="Y22" s="33">
        <f t="shared" ca="1" si="22"/>
        <v>1.6930444349999998</v>
      </c>
      <c r="Z22" s="199">
        <f t="shared" ca="1" si="11"/>
        <v>21</v>
      </c>
      <c r="AA22" s="27">
        <f t="shared" ca="1" si="20"/>
        <v>27737</v>
      </c>
      <c r="AB22" s="27">
        <f t="shared" ca="1" si="12"/>
        <v>49657</v>
      </c>
      <c r="AC22" s="27">
        <f t="shared" ca="1" si="13"/>
        <v>3427</v>
      </c>
      <c r="AD22" s="27">
        <f t="shared" ca="1" si="14"/>
        <v>3427</v>
      </c>
      <c r="AE22" s="27">
        <f t="shared" ca="1" si="15"/>
        <v>48246.523503999997</v>
      </c>
      <c r="AF22" s="203">
        <f t="shared" ca="1" si="16"/>
        <v>2553.898416</v>
      </c>
      <c r="AG22" s="251">
        <v>173</v>
      </c>
      <c r="AH22" s="252">
        <v>3019</v>
      </c>
      <c r="AI22" s="252">
        <v>164</v>
      </c>
      <c r="AJ22" s="251">
        <v>22</v>
      </c>
      <c r="AK22" s="251">
        <v>72</v>
      </c>
      <c r="AL22" s="204">
        <f t="shared" ca="1" si="21"/>
        <v>3377</v>
      </c>
      <c r="AM22" s="166">
        <v>0</v>
      </c>
      <c r="AN22" s="255" t="s">
        <v>2063</v>
      </c>
      <c r="AO22" s="253">
        <v>40429</v>
      </c>
      <c r="AP22" s="253">
        <v>42993</v>
      </c>
      <c r="AQ22" s="245" t="s">
        <v>131</v>
      </c>
      <c r="AR22" s="255" t="s">
        <v>2060</v>
      </c>
      <c r="AS22" s="253">
        <v>40429</v>
      </c>
      <c r="AT22" s="253">
        <v>42993</v>
      </c>
      <c r="AU22" s="245" t="s">
        <v>131</v>
      </c>
      <c r="AV22" s="255" t="s">
        <v>2062</v>
      </c>
      <c r="AW22" s="253">
        <v>40429</v>
      </c>
      <c r="AX22" s="253">
        <v>42993</v>
      </c>
      <c r="AY22" s="245" t="s">
        <v>131</v>
      </c>
      <c r="AZ22" s="247">
        <v>4</v>
      </c>
      <c r="BA22" s="54" t="s">
        <v>2062</v>
      </c>
      <c r="BB22" s="243">
        <v>40429</v>
      </c>
      <c r="BC22" s="243">
        <v>42993</v>
      </c>
      <c r="BD22" s="245" t="s">
        <v>131</v>
      </c>
      <c r="BE22" s="54" t="s">
        <v>2060</v>
      </c>
      <c r="BF22" s="243">
        <v>40429</v>
      </c>
      <c r="BG22" s="243">
        <v>42993</v>
      </c>
      <c r="BH22" s="245" t="s">
        <v>131</v>
      </c>
      <c r="BI22" s="54" t="s">
        <v>2058</v>
      </c>
      <c r="BJ22" s="243">
        <v>40429</v>
      </c>
      <c r="BK22" s="243">
        <v>42993</v>
      </c>
      <c r="BL22" s="245" t="s">
        <v>131</v>
      </c>
      <c r="BM22" s="135">
        <f t="shared" ca="1" si="17"/>
        <v>1</v>
      </c>
      <c r="BN22" s="245">
        <v>2</v>
      </c>
      <c r="BO22" s="241" t="s">
        <v>2072</v>
      </c>
      <c r="BP22" s="205">
        <v>1000</v>
      </c>
      <c r="BQ22" s="6">
        <v>800</v>
      </c>
      <c r="BR22" s="155" t="s">
        <v>2073</v>
      </c>
      <c r="BS22" s="205">
        <v>7000</v>
      </c>
      <c r="BT22" s="6">
        <v>800</v>
      </c>
      <c r="BU22" s="155"/>
      <c r="BV22" s="205"/>
      <c r="BW22" s="6"/>
      <c r="BX22" s="156" t="s">
        <v>2080</v>
      </c>
      <c r="BY22" s="205">
        <v>20000</v>
      </c>
      <c r="BZ22" s="156" t="s">
        <v>2081</v>
      </c>
      <c r="CA22" s="205">
        <v>2000</v>
      </c>
      <c r="CB22" s="156" t="s">
        <v>2074</v>
      </c>
      <c r="CC22" s="205">
        <v>2000</v>
      </c>
    </row>
    <row r="23" spans="5:81" ht="54">
      <c r="E23" s="271" t="s">
        <v>2751</v>
      </c>
      <c r="F23" s="263" t="s">
        <v>2690</v>
      </c>
      <c r="G23" s="272" t="s">
        <v>2752</v>
      </c>
      <c r="H23" s="263" t="s">
        <v>166</v>
      </c>
      <c r="I23" s="273" t="s">
        <v>181</v>
      </c>
      <c r="J23" s="274" t="s">
        <v>70</v>
      </c>
      <c r="K23" s="274" t="s">
        <v>137</v>
      </c>
      <c r="L23" s="275" t="s">
        <v>71</v>
      </c>
      <c r="M23" s="275" t="s">
        <v>72</v>
      </c>
      <c r="N23" s="276" t="s">
        <v>117</v>
      </c>
      <c r="O23" s="277">
        <v>15000</v>
      </c>
      <c r="P23" s="277">
        <v>15000</v>
      </c>
      <c r="Q23" s="265">
        <v>40434</v>
      </c>
      <c r="R23" s="265">
        <v>41345</v>
      </c>
      <c r="S23" s="265">
        <v>42990</v>
      </c>
      <c r="T23" s="52">
        <f t="shared" si="18"/>
        <v>7.0027397260273974</v>
      </c>
      <c r="U23" s="278">
        <v>0.08</v>
      </c>
      <c r="V23" s="274" t="s">
        <v>73</v>
      </c>
      <c r="W23" s="274" t="s">
        <v>2753</v>
      </c>
      <c r="X23" s="26">
        <f t="shared" ca="1" si="19"/>
        <v>8.8518185615539563E-2</v>
      </c>
      <c r="Y23" s="33">
        <f t="shared" ca="1" si="22"/>
        <v>1.3575263463999998</v>
      </c>
      <c r="Z23" s="199">
        <f t="shared" ca="1" si="11"/>
        <v>8</v>
      </c>
      <c r="AA23" s="27">
        <f t="shared" ca="1" si="20"/>
        <v>16300</v>
      </c>
      <c r="AB23" s="27">
        <f t="shared" ca="1" si="12"/>
        <v>19414</v>
      </c>
      <c r="AC23" s="27">
        <f t="shared" ca="1" si="13"/>
        <v>4515</v>
      </c>
      <c r="AD23" s="27">
        <f t="shared" ca="1" si="14"/>
        <v>4515</v>
      </c>
      <c r="AE23" s="27">
        <f t="shared" ca="1" si="15"/>
        <v>15793.895195999999</v>
      </c>
      <c r="AF23" s="203">
        <f t="shared" ca="1" si="16"/>
        <v>0</v>
      </c>
      <c r="AG23" s="279">
        <v>0</v>
      </c>
      <c r="AH23" s="280">
        <v>978</v>
      </c>
      <c r="AI23" s="280">
        <v>709</v>
      </c>
      <c r="AJ23" s="279">
        <v>93</v>
      </c>
      <c r="AK23" s="279">
        <v>39</v>
      </c>
      <c r="AL23" s="204">
        <f t="shared" ca="1" si="21"/>
        <v>4569</v>
      </c>
      <c r="AM23" s="281">
        <v>0</v>
      </c>
      <c r="AN23" s="282" t="s">
        <v>2754</v>
      </c>
      <c r="AO23" s="283">
        <v>40434</v>
      </c>
      <c r="AP23" s="283">
        <v>40694</v>
      </c>
      <c r="AQ23" s="266" t="s">
        <v>117</v>
      </c>
      <c r="AR23" s="282"/>
      <c r="AS23" s="283"/>
      <c r="AT23" s="283"/>
      <c r="AU23" s="266"/>
      <c r="AV23" s="282"/>
      <c r="AW23" s="283"/>
      <c r="AX23" s="283"/>
      <c r="AY23" s="266"/>
      <c r="AZ23" s="284">
        <v>1</v>
      </c>
      <c r="BA23" s="285" t="s">
        <v>2062</v>
      </c>
      <c r="BB23" s="265">
        <v>40695</v>
      </c>
      <c r="BC23" s="265">
        <v>42993</v>
      </c>
      <c r="BD23" s="266" t="s">
        <v>131</v>
      </c>
      <c r="BE23" s="285"/>
      <c r="BF23" s="265"/>
      <c r="BG23" s="265"/>
      <c r="BH23" s="266"/>
      <c r="BI23" s="285"/>
      <c r="BJ23" s="265"/>
      <c r="BK23" s="265"/>
      <c r="BL23" s="266"/>
      <c r="BM23" s="135">
        <f t="shared" ca="1" si="17"/>
        <v>1</v>
      </c>
      <c r="BN23" s="266">
        <v>1</v>
      </c>
      <c r="BO23" s="286" t="s">
        <v>2072</v>
      </c>
      <c r="BP23" s="287">
        <v>1500</v>
      </c>
      <c r="BQ23" s="288">
        <v>1500</v>
      </c>
      <c r="BR23" s="289"/>
      <c r="BS23" s="287"/>
      <c r="BT23" s="288"/>
      <c r="BU23" s="289"/>
      <c r="BV23" s="287"/>
      <c r="BW23" s="288"/>
      <c r="BX23" s="290" t="s">
        <v>2755</v>
      </c>
      <c r="BY23" s="287">
        <v>2500</v>
      </c>
      <c r="BZ23" s="290" t="s">
        <v>2756</v>
      </c>
      <c r="CA23" s="287">
        <v>2500</v>
      </c>
      <c r="CB23" s="290" t="s">
        <v>2757</v>
      </c>
      <c r="CC23" s="287">
        <v>2500</v>
      </c>
    </row>
    <row r="24" spans="5:81" ht="27">
      <c r="E24" s="271" t="s">
        <v>2758</v>
      </c>
      <c r="F24" s="263" t="s">
        <v>2690</v>
      </c>
      <c r="G24" s="272" t="s">
        <v>2759</v>
      </c>
      <c r="H24" s="263" t="s">
        <v>166</v>
      </c>
      <c r="I24" s="273" t="s">
        <v>181</v>
      </c>
      <c r="J24" s="274" t="s">
        <v>159</v>
      </c>
      <c r="K24" s="274" t="s">
        <v>137</v>
      </c>
      <c r="L24" s="275" t="s">
        <v>71</v>
      </c>
      <c r="M24" s="275" t="s">
        <v>116</v>
      </c>
      <c r="N24" s="276" t="s">
        <v>117</v>
      </c>
      <c r="O24" s="277">
        <v>43500</v>
      </c>
      <c r="P24" s="277">
        <v>43500</v>
      </c>
      <c r="Q24" s="265">
        <v>40521</v>
      </c>
      <c r="R24" s="265">
        <v>41946</v>
      </c>
      <c r="S24" s="265">
        <v>41946</v>
      </c>
      <c r="T24" s="52">
        <f t="shared" si="18"/>
        <v>3.904109589041096</v>
      </c>
      <c r="U24" s="278">
        <v>7.0000000000000007E-2</v>
      </c>
      <c r="V24" s="274" t="s">
        <v>73</v>
      </c>
      <c r="W24" s="274" t="s">
        <v>2744</v>
      </c>
      <c r="X24" s="26">
        <f t="shared" ca="1" si="19"/>
        <v>0.31608139514923106</v>
      </c>
      <c r="Y24" s="33">
        <f t="shared" ca="1" si="22"/>
        <v>2.2794208850574713</v>
      </c>
      <c r="Z24" s="199">
        <f t="shared" ca="1" si="11"/>
        <v>5</v>
      </c>
      <c r="AA24" s="27">
        <f t="shared" ca="1" si="20"/>
        <v>47765</v>
      </c>
      <c r="AB24" s="27">
        <f t="shared" ca="1" si="12"/>
        <v>89519</v>
      </c>
      <c r="AC24" s="27">
        <f t="shared" ca="1" si="13"/>
        <v>5501</v>
      </c>
      <c r="AD24" s="27">
        <f t="shared" ca="1" si="14"/>
        <v>17059</v>
      </c>
      <c r="AE24" s="27">
        <f t="shared" ca="1" si="15"/>
        <v>75542.079947000006</v>
      </c>
      <c r="AF24" s="203">
        <f t="shared" ca="1" si="16"/>
        <v>6550.7285529999999</v>
      </c>
      <c r="AG24" s="279">
        <v>3128</v>
      </c>
      <c r="AH24" s="280">
        <v>1378</v>
      </c>
      <c r="AI24" s="280">
        <v>394</v>
      </c>
      <c r="AJ24" s="279">
        <v>5</v>
      </c>
      <c r="AK24" s="279">
        <v>2</v>
      </c>
      <c r="AL24" s="204">
        <f t="shared" ca="1" si="21"/>
        <v>17062</v>
      </c>
      <c r="AM24" s="281">
        <v>0</v>
      </c>
      <c r="AN24" s="282" t="s">
        <v>2061</v>
      </c>
      <c r="AO24" s="283">
        <v>40521</v>
      </c>
      <c r="AP24" s="283">
        <v>40663</v>
      </c>
      <c r="AQ24" s="266" t="s">
        <v>117</v>
      </c>
      <c r="AR24" s="282"/>
      <c r="AS24" s="283"/>
      <c r="AT24" s="283"/>
      <c r="AU24" s="266"/>
      <c r="AV24" s="282"/>
      <c r="AW24" s="283"/>
      <c r="AX24" s="283"/>
      <c r="AY24" s="266"/>
      <c r="AZ24" s="284">
        <v>1</v>
      </c>
      <c r="BA24" s="285" t="s">
        <v>2292</v>
      </c>
      <c r="BB24" s="265">
        <v>42244</v>
      </c>
      <c r="BC24" s="265">
        <v>42993</v>
      </c>
      <c r="BD24" s="266" t="s">
        <v>131</v>
      </c>
      <c r="BE24" s="285"/>
      <c r="BF24" s="265"/>
      <c r="BG24" s="265"/>
      <c r="BH24" s="266"/>
      <c r="BI24" s="285"/>
      <c r="BJ24" s="265"/>
      <c r="BK24" s="265"/>
      <c r="BL24" s="266"/>
      <c r="BM24" s="135">
        <f t="shared" ca="1" si="17"/>
        <v>2</v>
      </c>
      <c r="BN24" s="266">
        <v>1</v>
      </c>
      <c r="BO24" s="286" t="s">
        <v>2072</v>
      </c>
      <c r="BP24" s="287">
        <v>500</v>
      </c>
      <c r="BQ24" s="288"/>
      <c r="BR24" s="289"/>
      <c r="BS24" s="287"/>
      <c r="BT24" s="288"/>
      <c r="BU24" s="289"/>
      <c r="BV24" s="287"/>
      <c r="BW24" s="288"/>
      <c r="BX24" s="290" t="s">
        <v>814</v>
      </c>
      <c r="BY24" s="287">
        <v>28000</v>
      </c>
      <c r="BZ24" s="290" t="s">
        <v>2760</v>
      </c>
      <c r="CA24" s="287">
        <v>5000</v>
      </c>
      <c r="CB24" s="290" t="s">
        <v>2073</v>
      </c>
      <c r="CC24" s="287">
        <v>5000</v>
      </c>
    </row>
    <row r="25" spans="5:81" ht="54">
      <c r="E25" s="260" t="s">
        <v>2020</v>
      </c>
      <c r="F25" s="240" t="s">
        <v>1591</v>
      </c>
      <c r="G25" s="242" t="s">
        <v>2035</v>
      </c>
      <c r="H25" s="240" t="s">
        <v>166</v>
      </c>
      <c r="I25" s="249" t="s">
        <v>180</v>
      </c>
      <c r="J25" s="239" t="s">
        <v>70</v>
      </c>
      <c r="K25" s="239" t="s">
        <v>92</v>
      </c>
      <c r="L25" s="254" t="s">
        <v>71</v>
      </c>
      <c r="M25" s="254" t="s">
        <v>133</v>
      </c>
      <c r="N25" s="246" t="s">
        <v>131</v>
      </c>
      <c r="O25" s="250">
        <v>50000</v>
      </c>
      <c r="P25" s="250">
        <v>50000</v>
      </c>
      <c r="Q25" s="243">
        <v>40872</v>
      </c>
      <c r="R25" s="243">
        <v>41314</v>
      </c>
      <c r="S25" s="243">
        <v>42698</v>
      </c>
      <c r="T25" s="52">
        <f t="shared" si="18"/>
        <v>5.0027397260273974</v>
      </c>
      <c r="U25" s="244">
        <v>0.08</v>
      </c>
      <c r="V25" s="239" t="s">
        <v>73</v>
      </c>
      <c r="W25" s="239" t="s">
        <v>2048</v>
      </c>
      <c r="X25" s="26">
        <f t="shared" ca="1" si="19"/>
        <v>6.7446703910827632E-2</v>
      </c>
      <c r="Y25" s="33">
        <f t="shared" ca="1" si="22"/>
        <v>1.1964867269999999</v>
      </c>
      <c r="Z25" s="199">
        <f t="shared" ca="1" si="11"/>
        <v>20</v>
      </c>
      <c r="AA25" s="27">
        <f t="shared" ca="1" si="20"/>
        <v>47069</v>
      </c>
      <c r="AB25" s="27">
        <f t="shared" ca="1" si="12"/>
        <v>57748</v>
      </c>
      <c r="AC25" s="27">
        <f t="shared" ca="1" si="13"/>
        <v>2747</v>
      </c>
      <c r="AD25" s="27">
        <f t="shared" ca="1" si="14"/>
        <v>2747</v>
      </c>
      <c r="AE25" s="27">
        <f t="shared" ca="1" si="15"/>
        <v>57074.336349999998</v>
      </c>
      <c r="AF25" s="203">
        <f t="shared" ca="1" si="16"/>
        <v>0</v>
      </c>
      <c r="AG25" s="251">
        <v>0</v>
      </c>
      <c r="AH25" s="252">
        <v>3545</v>
      </c>
      <c r="AI25" s="252">
        <v>171</v>
      </c>
      <c r="AJ25" s="251">
        <v>3</v>
      </c>
      <c r="AK25" s="251">
        <v>0</v>
      </c>
      <c r="AL25" s="204">
        <f t="shared" ca="1" si="21"/>
        <v>2750</v>
      </c>
      <c r="AM25" s="166">
        <v>0</v>
      </c>
      <c r="AN25" s="255" t="s">
        <v>2062</v>
      </c>
      <c r="AO25" s="253">
        <v>40872</v>
      </c>
      <c r="AP25" s="253">
        <v>42698</v>
      </c>
      <c r="AQ25" s="245" t="s">
        <v>131</v>
      </c>
      <c r="AR25" s="255" t="s">
        <v>2060</v>
      </c>
      <c r="AS25" s="253">
        <v>40872</v>
      </c>
      <c r="AT25" s="253">
        <v>42698</v>
      </c>
      <c r="AU25" s="245" t="s">
        <v>131</v>
      </c>
      <c r="AV25" s="255" t="s">
        <v>2058</v>
      </c>
      <c r="AW25" s="253">
        <v>40872</v>
      </c>
      <c r="AX25" s="253">
        <v>42698</v>
      </c>
      <c r="AY25" s="245" t="s">
        <v>131</v>
      </c>
      <c r="AZ25" s="247">
        <v>3</v>
      </c>
      <c r="BA25" s="54" t="s">
        <v>2062</v>
      </c>
      <c r="BB25" s="243">
        <v>40872</v>
      </c>
      <c r="BC25" s="243">
        <v>42993</v>
      </c>
      <c r="BD25" s="245" t="s">
        <v>131</v>
      </c>
      <c r="BE25" s="54" t="s">
        <v>2060</v>
      </c>
      <c r="BF25" s="243">
        <v>40872</v>
      </c>
      <c r="BG25" s="243">
        <v>42993</v>
      </c>
      <c r="BH25" s="245" t="s">
        <v>131</v>
      </c>
      <c r="BI25" s="54" t="s">
        <v>2058</v>
      </c>
      <c r="BJ25" s="243">
        <v>40872</v>
      </c>
      <c r="BK25" s="243">
        <v>42993</v>
      </c>
      <c r="BL25" s="245" t="s">
        <v>131</v>
      </c>
      <c r="BM25" s="135">
        <f t="shared" ca="1" si="17"/>
        <v>0</v>
      </c>
      <c r="BN25" s="245">
        <v>1</v>
      </c>
      <c r="BO25" s="241" t="s">
        <v>2072</v>
      </c>
      <c r="BP25" s="205">
        <v>5500</v>
      </c>
      <c r="BQ25" s="6">
        <v>2500</v>
      </c>
      <c r="BR25" s="155"/>
      <c r="BS25" s="205"/>
      <c r="BT25" s="6"/>
      <c r="BU25" s="155"/>
      <c r="BV25" s="205"/>
      <c r="BW25" s="6"/>
      <c r="BX25" s="156" t="s">
        <v>1110</v>
      </c>
      <c r="BY25" s="205">
        <v>30000</v>
      </c>
      <c r="BZ25" s="156" t="s">
        <v>2082</v>
      </c>
      <c r="CA25" s="205">
        <v>3800</v>
      </c>
      <c r="CB25" s="156" t="s">
        <v>2075</v>
      </c>
      <c r="CC25" s="205">
        <v>3000</v>
      </c>
    </row>
    <row r="26" spans="5:81" ht="27">
      <c r="E26" s="271" t="s">
        <v>2761</v>
      </c>
      <c r="F26" s="263" t="s">
        <v>2690</v>
      </c>
      <c r="G26" s="272" t="s">
        <v>2762</v>
      </c>
      <c r="H26" s="263" t="s">
        <v>164</v>
      </c>
      <c r="I26" s="273" t="s">
        <v>181</v>
      </c>
      <c r="J26" s="274" t="s">
        <v>159</v>
      </c>
      <c r="K26" s="274" t="s">
        <v>137</v>
      </c>
      <c r="L26" s="275" t="s">
        <v>71</v>
      </c>
      <c r="M26" s="275" t="s">
        <v>72</v>
      </c>
      <c r="N26" s="276" t="s">
        <v>117</v>
      </c>
      <c r="O26" s="277">
        <v>45000</v>
      </c>
      <c r="P26" s="277">
        <v>45000</v>
      </c>
      <c r="Q26" s="265">
        <v>40875</v>
      </c>
      <c r="R26" s="265">
        <v>43066</v>
      </c>
      <c r="S26" s="265">
        <v>43066</v>
      </c>
      <c r="T26" s="52">
        <f t="shared" si="18"/>
        <v>6.0027397260273974</v>
      </c>
      <c r="U26" s="278">
        <v>0.08</v>
      </c>
      <c r="V26" s="274" t="s">
        <v>73</v>
      </c>
      <c r="W26" s="274" t="s">
        <v>2763</v>
      </c>
      <c r="X26" s="26">
        <f t="shared" ca="1" si="19"/>
        <v>0.10957694530487058</v>
      </c>
      <c r="Y26" s="33">
        <f t="shared" ca="1" si="22"/>
        <v>1.713706310511111</v>
      </c>
      <c r="Z26" s="199">
        <f t="shared" ca="1" si="11"/>
        <v>1</v>
      </c>
      <c r="AA26" s="27">
        <f t="shared" ca="1" si="20"/>
        <v>43875</v>
      </c>
      <c r="AB26" s="27">
        <f t="shared" ca="1" si="12"/>
        <v>61070</v>
      </c>
      <c r="AC26" s="27">
        <f t="shared" ca="1" si="13"/>
        <v>16302</v>
      </c>
      <c r="AD26" s="27">
        <f t="shared" ca="1" si="14"/>
        <v>16302</v>
      </c>
      <c r="AE26" s="27">
        <f t="shared" ca="1" si="15"/>
        <v>58240.783972999998</v>
      </c>
      <c r="AF26" s="203">
        <f t="shared" ca="1" si="16"/>
        <v>0</v>
      </c>
      <c r="AG26" s="279">
        <v>0</v>
      </c>
      <c r="AH26" s="280">
        <v>3713</v>
      </c>
      <c r="AI26" s="280">
        <v>99</v>
      </c>
      <c r="AJ26" s="279">
        <v>2579</v>
      </c>
      <c r="AK26" s="279">
        <v>5</v>
      </c>
      <c r="AL26" s="204">
        <f t="shared" ca="1" si="21"/>
        <v>18876</v>
      </c>
      <c r="AM26" s="281">
        <v>0</v>
      </c>
      <c r="AN26" s="282" t="s">
        <v>2058</v>
      </c>
      <c r="AO26" s="283">
        <v>40875</v>
      </c>
      <c r="AP26" s="283">
        <v>42993</v>
      </c>
      <c r="AQ26" s="266" t="s">
        <v>131</v>
      </c>
      <c r="AR26" s="282"/>
      <c r="AS26" s="283"/>
      <c r="AT26" s="283"/>
      <c r="AU26" s="266"/>
      <c r="AV26" s="282"/>
      <c r="AW26" s="283"/>
      <c r="AX26" s="283"/>
      <c r="AY26" s="266"/>
      <c r="AZ26" s="284">
        <v>1</v>
      </c>
      <c r="BA26" s="285" t="s">
        <v>2058</v>
      </c>
      <c r="BB26" s="265">
        <v>40875</v>
      </c>
      <c r="BC26" s="265">
        <v>42993</v>
      </c>
      <c r="BD26" s="266" t="s">
        <v>131</v>
      </c>
      <c r="BE26" s="285"/>
      <c r="BF26" s="265"/>
      <c r="BG26" s="265"/>
      <c r="BH26" s="266"/>
      <c r="BI26" s="285"/>
      <c r="BJ26" s="265"/>
      <c r="BK26" s="265"/>
      <c r="BL26" s="266"/>
      <c r="BM26" s="135">
        <f t="shared" ca="1" si="17"/>
        <v>0</v>
      </c>
      <c r="BN26" s="266">
        <v>1</v>
      </c>
      <c r="BO26" s="286" t="s">
        <v>2072</v>
      </c>
      <c r="BP26" s="287">
        <v>1000</v>
      </c>
      <c r="BQ26" s="288"/>
      <c r="BR26" s="289"/>
      <c r="BS26" s="287"/>
      <c r="BT26" s="288"/>
      <c r="BU26" s="289"/>
      <c r="BV26" s="287"/>
      <c r="BW26" s="288"/>
      <c r="BX26" s="290" t="s">
        <v>2703</v>
      </c>
      <c r="BY26" s="287">
        <v>11969</v>
      </c>
      <c r="BZ26" s="290" t="s">
        <v>2764</v>
      </c>
      <c r="CA26" s="287">
        <v>10000</v>
      </c>
      <c r="CB26" s="290" t="s">
        <v>2760</v>
      </c>
      <c r="CC26" s="287">
        <v>5000</v>
      </c>
    </row>
    <row r="27" spans="5:81" ht="81">
      <c r="E27" s="271" t="s">
        <v>2765</v>
      </c>
      <c r="F27" s="263" t="s">
        <v>2690</v>
      </c>
      <c r="G27" s="272" t="s">
        <v>2766</v>
      </c>
      <c r="H27" s="263" t="s">
        <v>164</v>
      </c>
      <c r="I27" s="273" t="s">
        <v>181</v>
      </c>
      <c r="J27" s="274" t="s">
        <v>70</v>
      </c>
      <c r="K27" s="274" t="s">
        <v>137</v>
      </c>
      <c r="L27" s="275" t="s">
        <v>135</v>
      </c>
      <c r="M27" s="275" t="s">
        <v>72</v>
      </c>
      <c r="N27" s="276" t="s">
        <v>117</v>
      </c>
      <c r="O27" s="277">
        <v>73000</v>
      </c>
      <c r="P27" s="277">
        <v>71800</v>
      </c>
      <c r="Q27" s="265">
        <v>41025</v>
      </c>
      <c r="R27" s="265">
        <v>42384</v>
      </c>
      <c r="S27" s="265">
        <v>44676</v>
      </c>
      <c r="T27" s="52">
        <f t="shared" si="18"/>
        <v>10.002739726027396</v>
      </c>
      <c r="U27" s="278">
        <v>0.08</v>
      </c>
      <c r="V27" s="274" t="s">
        <v>2767</v>
      </c>
      <c r="W27" s="274" t="s">
        <v>2768</v>
      </c>
      <c r="X27" s="26">
        <f t="shared" ca="1" si="19"/>
        <v>-8.7007975578308108E-3</v>
      </c>
      <c r="Y27" s="33">
        <f t="shared" ca="1" si="22"/>
        <v>0.93939028882191777</v>
      </c>
      <c r="Z27" s="199">
        <f t="shared" ca="1" si="11"/>
        <v>1</v>
      </c>
      <c r="AA27" s="27">
        <f t="shared" ca="1" si="20"/>
        <v>70300</v>
      </c>
      <c r="AB27" s="27">
        <f t="shared" ca="1" si="12"/>
        <v>1859</v>
      </c>
      <c r="AC27" s="27">
        <f t="shared" ca="1" si="13"/>
        <v>68491</v>
      </c>
      <c r="AD27" s="27">
        <f t="shared" ca="1" si="14"/>
        <v>68491</v>
      </c>
      <c r="AE27" s="27">
        <f t="shared" ca="1" si="15"/>
        <v>11.491084000000001</v>
      </c>
      <c r="AF27" s="203">
        <f t="shared" ca="1" si="16"/>
        <v>0</v>
      </c>
      <c r="AG27" s="279">
        <v>0</v>
      </c>
      <c r="AH27" s="280">
        <v>5166</v>
      </c>
      <c r="AI27" s="280">
        <v>115</v>
      </c>
      <c r="AJ27" s="279">
        <v>73</v>
      </c>
      <c r="AK27" s="279">
        <v>0</v>
      </c>
      <c r="AL27" s="204">
        <f t="shared" ca="1" si="21"/>
        <v>68564</v>
      </c>
      <c r="AM27" s="281">
        <v>0</v>
      </c>
      <c r="AN27" s="282" t="s">
        <v>2058</v>
      </c>
      <c r="AO27" s="283">
        <v>41025</v>
      </c>
      <c r="AP27" s="283">
        <v>42993</v>
      </c>
      <c r="AQ27" s="266" t="s">
        <v>131</v>
      </c>
      <c r="AR27" s="282" t="s">
        <v>2966</v>
      </c>
      <c r="AS27" s="283">
        <v>41025</v>
      </c>
      <c r="AT27" s="283">
        <v>42993</v>
      </c>
      <c r="AU27" s="266" t="s">
        <v>131</v>
      </c>
      <c r="AV27" s="282"/>
      <c r="AW27" s="283"/>
      <c r="AX27" s="283"/>
      <c r="AY27" s="266"/>
      <c r="AZ27" s="284">
        <v>2</v>
      </c>
      <c r="BA27" s="285" t="s">
        <v>2058</v>
      </c>
      <c r="BB27" s="265">
        <v>41025</v>
      </c>
      <c r="BC27" s="265">
        <v>42993</v>
      </c>
      <c r="BD27" s="266" t="s">
        <v>131</v>
      </c>
      <c r="BE27" s="285" t="s">
        <v>2062</v>
      </c>
      <c r="BF27" s="265">
        <v>41025</v>
      </c>
      <c r="BG27" s="265">
        <v>42993</v>
      </c>
      <c r="BH27" s="266" t="s">
        <v>131</v>
      </c>
      <c r="BI27" s="285"/>
      <c r="BJ27" s="265"/>
      <c r="BK27" s="265"/>
      <c r="BL27" s="266"/>
      <c r="BM27" s="135">
        <f t="shared" ca="1" si="17"/>
        <v>0</v>
      </c>
      <c r="BN27" s="266">
        <v>2</v>
      </c>
      <c r="BO27" s="286" t="s">
        <v>2072</v>
      </c>
      <c r="BP27" s="287">
        <v>730</v>
      </c>
      <c r="BQ27" s="288"/>
      <c r="BR27" s="289" t="s">
        <v>2769</v>
      </c>
      <c r="BS27" s="287">
        <v>730</v>
      </c>
      <c r="BT27" s="288"/>
      <c r="BU27" s="289"/>
      <c r="BV27" s="287"/>
      <c r="BW27" s="288"/>
      <c r="BX27" s="290" t="s">
        <v>807</v>
      </c>
      <c r="BY27" s="287">
        <v>71540</v>
      </c>
      <c r="BZ27" s="290"/>
      <c r="CA27" s="287"/>
      <c r="CB27" s="290"/>
      <c r="CC27" s="287"/>
    </row>
    <row r="28" spans="5:81" ht="54">
      <c r="E28" s="260" t="s">
        <v>2689</v>
      </c>
      <c r="F28" s="240" t="s">
        <v>2690</v>
      </c>
      <c r="G28" s="242" t="s">
        <v>2691</v>
      </c>
      <c r="H28" s="240" t="s">
        <v>166</v>
      </c>
      <c r="I28" s="249" t="s">
        <v>181</v>
      </c>
      <c r="J28" s="239" t="s">
        <v>159</v>
      </c>
      <c r="K28" s="239" t="s">
        <v>137</v>
      </c>
      <c r="L28" s="254" t="s">
        <v>71</v>
      </c>
      <c r="M28" s="254" t="s">
        <v>72</v>
      </c>
      <c r="N28" s="246" t="s">
        <v>117</v>
      </c>
      <c r="O28" s="250">
        <v>154500</v>
      </c>
      <c r="P28" s="250">
        <v>154500</v>
      </c>
      <c r="Q28" s="243">
        <v>41439</v>
      </c>
      <c r="R28" s="243">
        <v>41803</v>
      </c>
      <c r="S28" s="243">
        <v>42916</v>
      </c>
      <c r="T28" s="52">
        <f t="shared" si="18"/>
        <v>4.0465753424657533</v>
      </c>
      <c r="U28" s="244">
        <v>0.08</v>
      </c>
      <c r="V28" s="239" t="s">
        <v>73</v>
      </c>
      <c r="W28" s="239" t="s">
        <v>2692</v>
      </c>
      <c r="X28" s="26">
        <f t="shared" ca="1" si="19"/>
        <v>0.15835878849029544</v>
      </c>
      <c r="Y28" s="33">
        <f t="shared" ca="1" si="22"/>
        <v>1.7010395347766991</v>
      </c>
      <c r="Z28" s="199">
        <f t="shared" ca="1" si="11"/>
        <v>1</v>
      </c>
      <c r="AA28" s="27">
        <f t="shared" ca="1" si="20"/>
        <v>152200</v>
      </c>
      <c r="AB28" s="27">
        <f t="shared" ca="1" si="12"/>
        <v>264202</v>
      </c>
      <c r="AC28" s="27">
        <f t="shared" ca="1" si="13"/>
        <v>0</v>
      </c>
      <c r="AD28" s="27">
        <f t="shared" ca="1" si="14"/>
        <v>0</v>
      </c>
      <c r="AE28" s="27">
        <f t="shared" ca="1" si="15"/>
        <v>250297.96831500001</v>
      </c>
      <c r="AF28" s="203">
        <f t="shared" ca="1" si="16"/>
        <v>11826.639808</v>
      </c>
      <c r="AG28" s="251">
        <v>0</v>
      </c>
      <c r="AH28" s="252">
        <v>3642</v>
      </c>
      <c r="AI28" s="252">
        <v>138</v>
      </c>
      <c r="AJ28" s="251">
        <v>686</v>
      </c>
      <c r="AK28" s="251">
        <v>0</v>
      </c>
      <c r="AL28" s="204">
        <f t="shared" ca="1" si="21"/>
        <v>686</v>
      </c>
      <c r="AM28" s="166">
        <v>0</v>
      </c>
      <c r="AN28" s="255" t="s">
        <v>2065</v>
      </c>
      <c r="AO28" s="253">
        <v>41439</v>
      </c>
      <c r="AP28" s="253">
        <v>42551</v>
      </c>
      <c r="AQ28" s="245" t="s">
        <v>117</v>
      </c>
      <c r="AR28" s="255"/>
      <c r="AS28" s="253"/>
      <c r="AT28" s="253"/>
      <c r="AU28" s="245"/>
      <c r="AV28" s="255"/>
      <c r="AW28" s="253"/>
      <c r="AX28" s="253"/>
      <c r="AY28" s="245"/>
      <c r="AZ28" s="247">
        <v>1</v>
      </c>
      <c r="BA28" s="54" t="s">
        <v>2701</v>
      </c>
      <c r="BB28" s="243">
        <v>42551</v>
      </c>
      <c r="BC28" s="243">
        <v>42993</v>
      </c>
      <c r="BD28" s="245" t="s">
        <v>131</v>
      </c>
      <c r="BE28" s="54"/>
      <c r="BF28" s="243"/>
      <c r="BG28" s="243"/>
      <c r="BH28" s="245"/>
      <c r="BI28" s="54"/>
      <c r="BJ28" s="243"/>
      <c r="BK28" s="243"/>
      <c r="BL28" s="245"/>
      <c r="BM28" s="135">
        <f t="shared" ca="1" si="17"/>
        <v>1</v>
      </c>
      <c r="BN28" s="245">
        <v>1</v>
      </c>
      <c r="BO28" s="241" t="s">
        <v>2072</v>
      </c>
      <c r="BP28" s="205">
        <v>2000</v>
      </c>
      <c r="BQ28" s="6"/>
      <c r="BR28" s="155"/>
      <c r="BS28" s="205"/>
      <c r="BT28" s="6"/>
      <c r="BU28" s="155"/>
      <c r="BV28" s="205"/>
      <c r="BW28" s="6"/>
      <c r="BX28" s="156" t="s">
        <v>2702</v>
      </c>
      <c r="BY28" s="205">
        <v>72500</v>
      </c>
      <c r="BZ28" s="156" t="s">
        <v>1081</v>
      </c>
      <c r="CA28" s="205">
        <v>50000</v>
      </c>
      <c r="CB28" s="156" t="s">
        <v>2703</v>
      </c>
      <c r="CC28" s="205">
        <v>30000</v>
      </c>
    </row>
    <row r="29" spans="5:81" ht="40.5">
      <c r="E29" s="260" t="s">
        <v>2021</v>
      </c>
      <c r="F29" s="240" t="s">
        <v>1591</v>
      </c>
      <c r="G29" s="242" t="s">
        <v>2036</v>
      </c>
      <c r="H29" s="240" t="s">
        <v>164</v>
      </c>
      <c r="I29" s="249" t="s">
        <v>180</v>
      </c>
      <c r="J29" s="239" t="s">
        <v>70</v>
      </c>
      <c r="K29" s="239" t="s">
        <v>92</v>
      </c>
      <c r="L29" s="254" t="s">
        <v>71</v>
      </c>
      <c r="M29" s="254" t="s">
        <v>116</v>
      </c>
      <c r="N29" s="246" t="s">
        <v>131</v>
      </c>
      <c r="O29" s="250">
        <v>53000</v>
      </c>
      <c r="P29" s="250">
        <v>53000</v>
      </c>
      <c r="Q29" s="243">
        <v>41528</v>
      </c>
      <c r="R29" s="243">
        <v>41783</v>
      </c>
      <c r="S29" s="243">
        <v>44449</v>
      </c>
      <c r="T29" s="52">
        <f t="shared" si="18"/>
        <v>8.0027397260273965</v>
      </c>
      <c r="U29" s="244">
        <v>0.08</v>
      </c>
      <c r="V29" s="239" t="s">
        <v>73</v>
      </c>
      <c r="W29" s="239" t="s">
        <v>2049</v>
      </c>
      <c r="X29" s="26">
        <f t="shared" ca="1" si="19"/>
        <v>0.38138256549835203</v>
      </c>
      <c r="Y29" s="33">
        <f t="shared" ca="1" si="22"/>
        <v>1.6979575207547168</v>
      </c>
      <c r="Z29" s="199">
        <f t="shared" ca="1" si="11"/>
        <v>31</v>
      </c>
      <c r="AA29" s="27">
        <f t="shared" ca="1" si="20"/>
        <v>49494</v>
      </c>
      <c r="AB29" s="27">
        <f t="shared" ca="1" si="12"/>
        <v>56169</v>
      </c>
      <c r="AC29" s="27">
        <f t="shared" ca="1" si="13"/>
        <v>34173</v>
      </c>
      <c r="AD29" s="27">
        <f t="shared" ca="1" si="14"/>
        <v>34109</v>
      </c>
      <c r="AE29" s="27">
        <f t="shared" ca="1" si="15"/>
        <v>56185.748599999999</v>
      </c>
      <c r="AF29" s="203">
        <f t="shared" ca="1" si="16"/>
        <v>0</v>
      </c>
      <c r="AG29" s="251">
        <v>0</v>
      </c>
      <c r="AH29" s="252">
        <v>3780</v>
      </c>
      <c r="AI29" s="252">
        <v>95</v>
      </c>
      <c r="AJ29" s="251">
        <v>174</v>
      </c>
      <c r="AK29" s="251">
        <v>477</v>
      </c>
      <c r="AL29" s="204">
        <f t="shared" ca="1" si="21"/>
        <v>33806</v>
      </c>
      <c r="AM29" s="166">
        <v>0</v>
      </c>
      <c r="AN29" s="255" t="s">
        <v>2064</v>
      </c>
      <c r="AO29" s="253">
        <v>41528</v>
      </c>
      <c r="AP29" s="253">
        <v>42202</v>
      </c>
      <c r="AQ29" s="245" t="s">
        <v>117</v>
      </c>
      <c r="AR29" s="255" t="s">
        <v>2062</v>
      </c>
      <c r="AS29" s="253">
        <v>41528</v>
      </c>
      <c r="AT29" s="253">
        <v>42993</v>
      </c>
      <c r="AU29" s="245" t="s">
        <v>131</v>
      </c>
      <c r="AV29" s="255" t="s">
        <v>2058</v>
      </c>
      <c r="AW29" s="253">
        <v>41528</v>
      </c>
      <c r="AX29" s="253">
        <v>42993</v>
      </c>
      <c r="AY29" s="245" t="s">
        <v>131</v>
      </c>
      <c r="AZ29" s="247">
        <v>7</v>
      </c>
      <c r="BA29" s="54" t="s">
        <v>2060</v>
      </c>
      <c r="BB29" s="243">
        <v>42202</v>
      </c>
      <c r="BC29" s="243">
        <v>42993</v>
      </c>
      <c r="BD29" s="245" t="s">
        <v>131</v>
      </c>
      <c r="BE29" s="54" t="s">
        <v>2062</v>
      </c>
      <c r="BF29" s="243">
        <v>41528</v>
      </c>
      <c r="BG29" s="243">
        <v>42993</v>
      </c>
      <c r="BH29" s="245" t="s">
        <v>131</v>
      </c>
      <c r="BI29" s="54" t="s">
        <v>2058</v>
      </c>
      <c r="BJ29" s="243">
        <v>41528</v>
      </c>
      <c r="BK29" s="243">
        <v>42993</v>
      </c>
      <c r="BL29" s="245" t="s">
        <v>131</v>
      </c>
      <c r="BM29" s="135">
        <f t="shared" ca="1" si="17"/>
        <v>4</v>
      </c>
      <c r="BN29" s="245">
        <v>1</v>
      </c>
      <c r="BO29" s="241" t="s">
        <v>2072</v>
      </c>
      <c r="BP29" s="205">
        <v>5000</v>
      </c>
      <c r="BQ29" s="6">
        <v>5000</v>
      </c>
      <c r="BR29" s="155"/>
      <c r="BS29" s="205"/>
      <c r="BT29" s="6"/>
      <c r="BU29" s="155"/>
      <c r="BV29" s="205"/>
      <c r="BW29" s="6"/>
      <c r="BX29" s="156" t="s">
        <v>1110</v>
      </c>
      <c r="BY29" s="205">
        <v>27000</v>
      </c>
      <c r="BZ29" s="156" t="s">
        <v>2075</v>
      </c>
      <c r="CA29" s="205">
        <v>10000</v>
      </c>
      <c r="CB29" s="156" t="s">
        <v>2628</v>
      </c>
      <c r="CC29" s="205">
        <v>6000</v>
      </c>
    </row>
    <row r="30" spans="5:81" ht="27">
      <c r="E30" s="260" t="s">
        <v>2694</v>
      </c>
      <c r="F30" s="240" t="s">
        <v>2690</v>
      </c>
      <c r="G30" s="242" t="s">
        <v>2695</v>
      </c>
      <c r="H30" s="240" t="s">
        <v>69</v>
      </c>
      <c r="I30" s="249" t="s">
        <v>181</v>
      </c>
      <c r="J30" s="239" t="s">
        <v>159</v>
      </c>
      <c r="K30" s="239" t="s">
        <v>137</v>
      </c>
      <c r="L30" s="254" t="s">
        <v>71</v>
      </c>
      <c r="M30" s="254" t="s">
        <v>72</v>
      </c>
      <c r="N30" s="246" t="s">
        <v>117</v>
      </c>
      <c r="O30" s="250">
        <v>40000</v>
      </c>
      <c r="P30" s="250">
        <v>40000</v>
      </c>
      <c r="Q30" s="243">
        <v>41599</v>
      </c>
      <c r="R30" s="243">
        <v>41779</v>
      </c>
      <c r="S30" s="243">
        <v>42538</v>
      </c>
      <c r="T30" s="52">
        <f t="shared" si="18"/>
        <v>2.5726027397260274</v>
      </c>
      <c r="U30" s="244">
        <v>0.08</v>
      </c>
      <c r="V30" s="239" t="s">
        <v>2696</v>
      </c>
      <c r="W30" s="239" t="s">
        <v>2697</v>
      </c>
      <c r="X30" s="26">
        <f t="shared" ca="1" si="19"/>
        <v>0.31205540180206304</v>
      </c>
      <c r="Y30" s="33">
        <f t="shared" ca="1" si="22"/>
        <v>1.7614021352000004</v>
      </c>
      <c r="Z30" s="199">
        <f t="shared" ca="1" si="11"/>
        <v>1</v>
      </c>
      <c r="AA30" s="27">
        <f t="shared" ca="1" si="20"/>
        <v>40000</v>
      </c>
      <c r="AB30" s="27">
        <f t="shared" ca="1" si="12"/>
        <v>71321</v>
      </c>
      <c r="AC30" s="27">
        <f t="shared" ca="1" si="13"/>
        <v>0</v>
      </c>
      <c r="AD30" s="27">
        <f t="shared" ca="1" si="14"/>
        <v>0</v>
      </c>
      <c r="AE30" s="27">
        <f t="shared" ca="1" si="15"/>
        <v>66145.624088000011</v>
      </c>
      <c r="AF30" s="203">
        <f t="shared" ca="1" si="16"/>
        <v>4310.4613199999994</v>
      </c>
      <c r="AG30" s="251">
        <v>2122</v>
      </c>
      <c r="AH30" s="252">
        <v>782</v>
      </c>
      <c r="AI30" s="252">
        <v>94</v>
      </c>
      <c r="AJ30" s="251">
        <v>0</v>
      </c>
      <c r="AK30" s="251">
        <v>0</v>
      </c>
      <c r="AL30" s="204">
        <f t="shared" ca="1" si="21"/>
        <v>0</v>
      </c>
      <c r="AM30" s="166">
        <v>0</v>
      </c>
      <c r="AN30" s="255" t="s">
        <v>2065</v>
      </c>
      <c r="AO30" s="253">
        <v>41599</v>
      </c>
      <c r="AP30" s="253">
        <v>42538</v>
      </c>
      <c r="AQ30" s="245" t="s">
        <v>117</v>
      </c>
      <c r="AR30" s="255"/>
      <c r="AS30" s="253"/>
      <c r="AT30" s="253"/>
      <c r="AU30" s="245"/>
      <c r="AV30" s="255"/>
      <c r="AW30" s="253"/>
      <c r="AX30" s="253"/>
      <c r="AY30" s="245"/>
      <c r="AZ30" s="247">
        <v>1</v>
      </c>
      <c r="BA30" s="54" t="s">
        <v>2065</v>
      </c>
      <c r="BB30" s="243">
        <v>41599</v>
      </c>
      <c r="BC30" s="243">
        <v>42538</v>
      </c>
      <c r="BD30" s="245" t="s">
        <v>117</v>
      </c>
      <c r="BE30" s="54"/>
      <c r="BF30" s="243"/>
      <c r="BG30" s="243"/>
      <c r="BH30" s="245"/>
      <c r="BI30" s="54"/>
      <c r="BJ30" s="243"/>
      <c r="BK30" s="243"/>
      <c r="BL30" s="245"/>
      <c r="BM30" s="135">
        <f t="shared" ca="1" si="17"/>
        <v>0</v>
      </c>
      <c r="BN30" s="245">
        <v>1</v>
      </c>
      <c r="BO30" s="241" t="s">
        <v>2072</v>
      </c>
      <c r="BP30" s="205">
        <v>4000</v>
      </c>
      <c r="BQ30" s="6"/>
      <c r="BR30" s="155"/>
      <c r="BS30" s="205"/>
      <c r="BT30" s="6"/>
      <c r="BU30" s="155"/>
      <c r="BV30" s="205"/>
      <c r="BW30" s="6"/>
      <c r="BX30" s="156" t="s">
        <v>791</v>
      </c>
      <c r="BY30" s="205">
        <v>18000</v>
      </c>
      <c r="BZ30" s="156" t="s">
        <v>807</v>
      </c>
      <c r="CA30" s="205">
        <v>16000</v>
      </c>
      <c r="CB30" s="156" t="s">
        <v>2073</v>
      </c>
      <c r="CC30" s="205">
        <v>2000</v>
      </c>
    </row>
    <row r="31" spans="5:81" ht="27">
      <c r="E31" s="260" t="s">
        <v>2698</v>
      </c>
      <c r="F31" s="240" t="s">
        <v>2690</v>
      </c>
      <c r="G31" s="242" t="s">
        <v>2699</v>
      </c>
      <c r="H31" s="240" t="s">
        <v>69</v>
      </c>
      <c r="I31" s="249" t="s">
        <v>181</v>
      </c>
      <c r="J31" s="239" t="s">
        <v>159</v>
      </c>
      <c r="K31" s="239" t="s">
        <v>137</v>
      </c>
      <c r="L31" s="254" t="s">
        <v>71</v>
      </c>
      <c r="M31" s="254" t="s">
        <v>72</v>
      </c>
      <c r="N31" s="246" t="s">
        <v>117</v>
      </c>
      <c r="O31" s="250">
        <v>40010</v>
      </c>
      <c r="P31" s="250">
        <v>40010</v>
      </c>
      <c r="Q31" s="243">
        <v>41603</v>
      </c>
      <c r="R31" s="243">
        <v>41967</v>
      </c>
      <c r="S31" s="243">
        <v>42545</v>
      </c>
      <c r="T31" s="52">
        <f t="shared" si="18"/>
        <v>2.580821917808219</v>
      </c>
      <c r="U31" s="244">
        <v>0.1</v>
      </c>
      <c r="V31" s="239" t="s">
        <v>73</v>
      </c>
      <c r="W31" s="239" t="s">
        <v>2700</v>
      </c>
      <c r="X31" s="26">
        <f t="shared" ca="1" si="19"/>
        <v>0.28113954067230229</v>
      </c>
      <c r="Y31" s="33">
        <f t="shared" ca="1" si="22"/>
        <v>1.6790906211197199</v>
      </c>
      <c r="Z31" s="199">
        <f t="shared" ca="1" si="11"/>
        <v>1</v>
      </c>
      <c r="AA31" s="27">
        <f t="shared" ca="1" si="20"/>
        <v>40000</v>
      </c>
      <c r="AB31" s="27">
        <f t="shared" ca="1" si="12"/>
        <v>71321</v>
      </c>
      <c r="AC31" s="27">
        <f t="shared" ca="1" si="13"/>
        <v>0</v>
      </c>
      <c r="AD31" s="27">
        <f t="shared" ca="1" si="14"/>
        <v>0</v>
      </c>
      <c r="AE31" s="27">
        <f t="shared" ca="1" si="15"/>
        <v>62898.931358999995</v>
      </c>
      <c r="AF31" s="203">
        <f t="shared" ca="1" si="16"/>
        <v>4281.4843920000003</v>
      </c>
      <c r="AG31" s="251">
        <v>2122</v>
      </c>
      <c r="AH31" s="252">
        <v>783</v>
      </c>
      <c r="AI31" s="252">
        <v>477</v>
      </c>
      <c r="AJ31" s="251">
        <v>0</v>
      </c>
      <c r="AK31" s="251">
        <v>0</v>
      </c>
      <c r="AL31" s="204">
        <f t="shared" ca="1" si="21"/>
        <v>0</v>
      </c>
      <c r="AM31" s="166">
        <v>0</v>
      </c>
      <c r="AN31" s="255" t="s">
        <v>2065</v>
      </c>
      <c r="AO31" s="253">
        <v>41603</v>
      </c>
      <c r="AP31" s="253">
        <v>42545</v>
      </c>
      <c r="AQ31" s="245" t="s">
        <v>117</v>
      </c>
      <c r="AR31" s="255"/>
      <c r="AS31" s="253"/>
      <c r="AT31" s="253"/>
      <c r="AU31" s="245"/>
      <c r="AV31" s="255"/>
      <c r="AW31" s="253"/>
      <c r="AX31" s="253"/>
      <c r="AY31" s="245"/>
      <c r="AZ31" s="247">
        <v>1</v>
      </c>
      <c r="BA31" s="54" t="s">
        <v>2065</v>
      </c>
      <c r="BB31" s="243">
        <v>41603</v>
      </c>
      <c r="BC31" s="243">
        <v>42545</v>
      </c>
      <c r="BD31" s="245" t="s">
        <v>117</v>
      </c>
      <c r="BE31" s="54"/>
      <c r="BF31" s="243"/>
      <c r="BG31" s="243"/>
      <c r="BH31" s="245"/>
      <c r="BI31" s="54"/>
      <c r="BJ31" s="243"/>
      <c r="BK31" s="243"/>
      <c r="BL31" s="245"/>
      <c r="BM31" s="135">
        <f t="shared" ca="1" si="17"/>
        <v>0</v>
      </c>
      <c r="BN31" s="245">
        <v>1</v>
      </c>
      <c r="BO31" s="241" t="s">
        <v>2072</v>
      </c>
      <c r="BP31" s="205">
        <v>10</v>
      </c>
      <c r="BQ31" s="6"/>
      <c r="BR31" s="155"/>
      <c r="BS31" s="205"/>
      <c r="BT31" s="6"/>
      <c r="BU31" s="155"/>
      <c r="BV31" s="205"/>
      <c r="BW31" s="6"/>
      <c r="BX31" s="156" t="s">
        <v>2704</v>
      </c>
      <c r="BY31" s="205">
        <v>40000</v>
      </c>
      <c r="BZ31" s="156"/>
      <c r="CA31" s="205"/>
      <c r="CB31" s="156"/>
      <c r="CC31" s="205"/>
    </row>
    <row r="32" spans="5:81" ht="40.5">
      <c r="E32" s="260" t="s">
        <v>2022</v>
      </c>
      <c r="F32" s="240" t="s">
        <v>1591</v>
      </c>
      <c r="G32" s="242" t="s">
        <v>2037</v>
      </c>
      <c r="H32" s="240" t="s">
        <v>164</v>
      </c>
      <c r="I32" s="249" t="s">
        <v>180</v>
      </c>
      <c r="J32" s="239" t="s">
        <v>70</v>
      </c>
      <c r="K32" s="239" t="s">
        <v>92</v>
      </c>
      <c r="L32" s="254" t="s">
        <v>71</v>
      </c>
      <c r="M32" s="254" t="s">
        <v>116</v>
      </c>
      <c r="N32" s="246" t="s">
        <v>117</v>
      </c>
      <c r="O32" s="250">
        <v>33500</v>
      </c>
      <c r="P32" s="250">
        <v>33500</v>
      </c>
      <c r="Q32" s="243">
        <v>41696</v>
      </c>
      <c r="R32" s="243">
        <v>43353</v>
      </c>
      <c r="S32" s="243">
        <v>44617</v>
      </c>
      <c r="T32" s="52">
        <f t="shared" si="18"/>
        <v>8.0027397260273965</v>
      </c>
      <c r="U32" s="244">
        <v>0.08</v>
      </c>
      <c r="V32" s="239" t="s">
        <v>73</v>
      </c>
      <c r="W32" s="239" t="s">
        <v>2050</v>
      </c>
      <c r="X32" s="26">
        <f t="shared" ca="1" si="19"/>
        <v>-4.1214239262044434E-2</v>
      </c>
      <c r="Y32" s="33">
        <f t="shared" ca="1" si="22"/>
        <v>0.92201791044776116</v>
      </c>
      <c r="Z32" s="199">
        <f t="shared" ca="1" si="11"/>
        <v>28</v>
      </c>
      <c r="AA32" s="27">
        <f t="shared" ca="1" si="20"/>
        <v>31786</v>
      </c>
      <c r="AB32" s="27">
        <f t="shared" ca="1" si="12"/>
        <v>10846</v>
      </c>
      <c r="AC32" s="27">
        <f t="shared" ca="1" si="13"/>
        <v>20559</v>
      </c>
      <c r="AD32" s="27">
        <f t="shared" ca="1" si="14"/>
        <v>20538</v>
      </c>
      <c r="AE32" s="27">
        <f t="shared" ca="1" si="15"/>
        <v>10103.6</v>
      </c>
      <c r="AF32" s="203">
        <f t="shared" ca="1" si="16"/>
        <v>0</v>
      </c>
      <c r="AG32" s="251">
        <v>0</v>
      </c>
      <c r="AH32" s="252">
        <v>2209</v>
      </c>
      <c r="AI32" s="252">
        <v>91</v>
      </c>
      <c r="AJ32" s="251">
        <v>353</v>
      </c>
      <c r="AK32" s="251">
        <v>107</v>
      </c>
      <c r="AL32" s="204">
        <f t="shared" ca="1" si="21"/>
        <v>20784</v>
      </c>
      <c r="AM32" s="166">
        <v>0</v>
      </c>
      <c r="AN32" s="255" t="s">
        <v>2058</v>
      </c>
      <c r="AO32" s="253">
        <v>41696</v>
      </c>
      <c r="AP32" s="253">
        <v>42993</v>
      </c>
      <c r="AQ32" s="245" t="s">
        <v>131</v>
      </c>
      <c r="AR32" s="255" t="s">
        <v>2065</v>
      </c>
      <c r="AS32" s="253">
        <v>41696</v>
      </c>
      <c r="AT32" s="253">
        <v>42993</v>
      </c>
      <c r="AU32" s="245" t="s">
        <v>117</v>
      </c>
      <c r="AV32" s="255" t="s">
        <v>2066</v>
      </c>
      <c r="AW32" s="253">
        <v>41696</v>
      </c>
      <c r="AX32" s="253">
        <v>42993</v>
      </c>
      <c r="AY32" s="245" t="s">
        <v>131</v>
      </c>
      <c r="AZ32" s="247">
        <v>4</v>
      </c>
      <c r="BA32" s="54" t="s">
        <v>2058</v>
      </c>
      <c r="BB32" s="243">
        <v>41696</v>
      </c>
      <c r="BC32" s="243">
        <v>42993</v>
      </c>
      <c r="BD32" s="245" t="s">
        <v>131</v>
      </c>
      <c r="BE32" s="54" t="s">
        <v>2066</v>
      </c>
      <c r="BF32" s="243">
        <v>41696</v>
      </c>
      <c r="BG32" s="243">
        <v>42993</v>
      </c>
      <c r="BH32" s="245" t="s">
        <v>131</v>
      </c>
      <c r="BI32" s="54" t="s">
        <v>2067</v>
      </c>
      <c r="BJ32" s="243">
        <v>42723</v>
      </c>
      <c r="BK32" s="243">
        <v>42993</v>
      </c>
      <c r="BL32" s="245" t="s">
        <v>131</v>
      </c>
      <c r="BM32" s="135">
        <f t="shared" ca="1" si="17"/>
        <v>2</v>
      </c>
      <c r="BN32" s="245">
        <v>1</v>
      </c>
      <c r="BO32" s="241" t="s">
        <v>2072</v>
      </c>
      <c r="BP32" s="205">
        <v>2500</v>
      </c>
      <c r="BQ32" s="6">
        <v>2500</v>
      </c>
      <c r="BR32" s="155"/>
      <c r="BS32" s="205"/>
      <c r="BT32" s="6"/>
      <c r="BU32" s="155"/>
      <c r="BV32" s="205"/>
      <c r="BW32" s="6"/>
      <c r="BX32" s="156" t="s">
        <v>17</v>
      </c>
      <c r="BY32" s="205">
        <v>12500</v>
      </c>
      <c r="BZ32" s="156" t="s">
        <v>814</v>
      </c>
      <c r="CA32" s="205">
        <v>10000</v>
      </c>
      <c r="CB32" s="156" t="s">
        <v>2083</v>
      </c>
      <c r="CC32" s="205">
        <v>6000</v>
      </c>
    </row>
    <row r="33" spans="5:81" ht="40.5">
      <c r="E33" s="260" t="s">
        <v>2023</v>
      </c>
      <c r="F33" s="240" t="s">
        <v>1591</v>
      </c>
      <c r="G33" s="242" t="s">
        <v>2038</v>
      </c>
      <c r="H33" s="240" t="s">
        <v>164</v>
      </c>
      <c r="I33" s="249" t="s">
        <v>3</v>
      </c>
      <c r="J33" s="239" t="s">
        <v>159</v>
      </c>
      <c r="K33" s="239" t="s">
        <v>92</v>
      </c>
      <c r="L33" s="254" t="s">
        <v>71</v>
      </c>
      <c r="M33" s="254" t="s">
        <v>72</v>
      </c>
      <c r="N33" s="246" t="s">
        <v>117</v>
      </c>
      <c r="O33" s="250">
        <v>16000</v>
      </c>
      <c r="P33" s="250">
        <v>16000</v>
      </c>
      <c r="Q33" s="243">
        <v>41702</v>
      </c>
      <c r="R33" s="243">
        <v>43156</v>
      </c>
      <c r="S33" s="243">
        <v>43527</v>
      </c>
      <c r="T33" s="52">
        <f t="shared" si="18"/>
        <v>5</v>
      </c>
      <c r="U33" s="244">
        <v>0.08</v>
      </c>
      <c r="V33" s="239" t="s">
        <v>73</v>
      </c>
      <c r="W33" s="239" t="s">
        <v>2051</v>
      </c>
      <c r="X33" s="26">
        <f t="shared" ca="1" si="19"/>
        <v>2.7514071464538572E-2</v>
      </c>
      <c r="Y33" s="33">
        <f t="shared" ca="1" si="22"/>
        <v>1.052125</v>
      </c>
      <c r="Z33" s="199">
        <f t="shared" ca="1" si="11"/>
        <v>4</v>
      </c>
      <c r="AA33" s="27">
        <f t="shared" ca="1" si="20"/>
        <v>15861</v>
      </c>
      <c r="AB33" s="27">
        <f t="shared" ca="1" si="12"/>
        <v>492</v>
      </c>
      <c r="AC33" s="27">
        <f t="shared" ca="1" si="13"/>
        <v>15861</v>
      </c>
      <c r="AD33" s="27">
        <f t="shared" ca="1" si="14"/>
        <v>16679</v>
      </c>
      <c r="AE33" s="27">
        <f t="shared" ca="1" si="15"/>
        <v>0</v>
      </c>
      <c r="AF33" s="203">
        <f t="shared" ca="1" si="16"/>
        <v>0</v>
      </c>
      <c r="AG33" s="251">
        <v>0</v>
      </c>
      <c r="AH33" s="252">
        <v>465</v>
      </c>
      <c r="AI33" s="252">
        <v>13</v>
      </c>
      <c r="AJ33" s="251">
        <v>155</v>
      </c>
      <c r="AK33" s="251">
        <v>0</v>
      </c>
      <c r="AL33" s="204">
        <f t="shared" ca="1" si="21"/>
        <v>16834</v>
      </c>
      <c r="AM33" s="166">
        <v>0</v>
      </c>
      <c r="AN33" s="255" t="s">
        <v>2068</v>
      </c>
      <c r="AO33" s="253">
        <v>41702</v>
      </c>
      <c r="AP33" s="253">
        <v>42993</v>
      </c>
      <c r="AQ33" s="245" t="s">
        <v>131</v>
      </c>
      <c r="AR33" s="255"/>
      <c r="AS33" s="253"/>
      <c r="AT33" s="253"/>
      <c r="AU33" s="245"/>
      <c r="AV33" s="255"/>
      <c r="AW33" s="253"/>
      <c r="AX33" s="253"/>
      <c r="AY33" s="245"/>
      <c r="AZ33" s="247">
        <v>1</v>
      </c>
      <c r="BA33" s="54" t="s">
        <v>2068</v>
      </c>
      <c r="BB33" s="243">
        <v>41702</v>
      </c>
      <c r="BC33" s="243">
        <v>42993</v>
      </c>
      <c r="BD33" s="245" t="s">
        <v>131</v>
      </c>
      <c r="BE33" s="54"/>
      <c r="BF33" s="243"/>
      <c r="BG33" s="243"/>
      <c r="BH33" s="245"/>
      <c r="BI33" s="54"/>
      <c r="BJ33" s="243"/>
      <c r="BK33" s="243"/>
      <c r="BL33" s="245"/>
      <c r="BM33" s="135">
        <f t="shared" ca="1" si="17"/>
        <v>0</v>
      </c>
      <c r="BN33" s="245">
        <v>1</v>
      </c>
      <c r="BO33" s="241" t="s">
        <v>2072</v>
      </c>
      <c r="BP33" s="205">
        <v>500</v>
      </c>
      <c r="BQ33" s="6">
        <v>0</v>
      </c>
      <c r="BR33" s="155"/>
      <c r="BS33" s="205"/>
      <c r="BT33" s="6"/>
      <c r="BU33" s="155"/>
      <c r="BV33" s="205"/>
      <c r="BW33" s="6"/>
      <c r="BX33" s="156" t="s">
        <v>2084</v>
      </c>
      <c r="BY33" s="205">
        <v>9100</v>
      </c>
      <c r="BZ33" s="156" t="s">
        <v>2079</v>
      </c>
      <c r="CA33" s="205">
        <v>2800</v>
      </c>
      <c r="CB33" s="156" t="s">
        <v>2085</v>
      </c>
      <c r="CC33" s="205">
        <v>1200</v>
      </c>
    </row>
    <row r="34" spans="5:81" ht="27">
      <c r="E34" s="271" t="s">
        <v>2705</v>
      </c>
      <c r="F34" s="263" t="s">
        <v>2690</v>
      </c>
      <c r="G34" s="272" t="s">
        <v>2706</v>
      </c>
      <c r="H34" s="263" t="s">
        <v>164</v>
      </c>
      <c r="I34" s="273" t="s">
        <v>181</v>
      </c>
      <c r="J34" s="274" t="s">
        <v>159</v>
      </c>
      <c r="K34" s="274" t="s">
        <v>137</v>
      </c>
      <c r="L34" s="275" t="s">
        <v>71</v>
      </c>
      <c r="M34" s="275" t="s">
        <v>133</v>
      </c>
      <c r="N34" s="276" t="s">
        <v>117</v>
      </c>
      <c r="O34" s="277">
        <v>125100</v>
      </c>
      <c r="P34" s="277">
        <v>125100</v>
      </c>
      <c r="Q34" s="265">
        <v>41793</v>
      </c>
      <c r="R34" s="265">
        <v>42157</v>
      </c>
      <c r="S34" s="265">
        <v>47271</v>
      </c>
      <c r="T34" s="52">
        <f t="shared" si="18"/>
        <v>15.008219178082191</v>
      </c>
      <c r="U34" s="278">
        <v>7.0000000000000007E-2</v>
      </c>
      <c r="V34" s="274" t="s">
        <v>73</v>
      </c>
      <c r="W34" s="274" t="s">
        <v>2707</v>
      </c>
      <c r="X34" s="26">
        <f t="shared" ca="1" si="19"/>
        <v>1.4116625785827633E-2</v>
      </c>
      <c r="Y34" s="33">
        <f t="shared" ca="1" si="22"/>
        <v>1.0448744558752998</v>
      </c>
      <c r="Z34" s="199">
        <f t="shared" ca="1" si="11"/>
        <v>1</v>
      </c>
      <c r="AA34" s="27">
        <f t="shared" ca="1" si="20"/>
        <v>125000</v>
      </c>
      <c r="AB34" s="27">
        <f t="shared" ca="1" si="12"/>
        <v>8202</v>
      </c>
      <c r="AC34" s="27">
        <f t="shared" ca="1" si="13"/>
        <v>125000</v>
      </c>
      <c r="AD34" s="27">
        <f t="shared" ca="1" si="14"/>
        <v>125000</v>
      </c>
      <c r="AE34" s="27">
        <f t="shared" ca="1" si="15"/>
        <v>7453.7944299999999</v>
      </c>
      <c r="AF34" s="203">
        <f t="shared" ca="1" si="16"/>
        <v>0</v>
      </c>
      <c r="AG34" s="279">
        <v>0</v>
      </c>
      <c r="AH34" s="280">
        <v>3770</v>
      </c>
      <c r="AI34" s="280">
        <v>76</v>
      </c>
      <c r="AJ34" s="279">
        <v>1481</v>
      </c>
      <c r="AK34" s="279">
        <v>3221</v>
      </c>
      <c r="AL34" s="204">
        <f t="shared" ca="1" si="21"/>
        <v>123260</v>
      </c>
      <c r="AM34" s="281">
        <v>0</v>
      </c>
      <c r="AN34" s="282" t="s">
        <v>2068</v>
      </c>
      <c r="AO34" s="283">
        <v>41793</v>
      </c>
      <c r="AP34" s="283">
        <v>42993</v>
      </c>
      <c r="AQ34" s="266" t="s">
        <v>131</v>
      </c>
      <c r="AR34" s="282"/>
      <c r="AS34" s="283"/>
      <c r="AT34" s="283"/>
      <c r="AU34" s="266"/>
      <c r="AV34" s="282"/>
      <c r="AW34" s="283"/>
      <c r="AX34" s="283"/>
      <c r="AY34" s="266"/>
      <c r="AZ34" s="284">
        <v>1</v>
      </c>
      <c r="BA34" s="285" t="s">
        <v>2068</v>
      </c>
      <c r="BB34" s="265">
        <v>41793</v>
      </c>
      <c r="BC34" s="265">
        <v>42993</v>
      </c>
      <c r="BD34" s="266" t="s">
        <v>131</v>
      </c>
      <c r="BE34" s="285"/>
      <c r="BF34" s="265"/>
      <c r="BG34" s="265"/>
      <c r="BH34" s="266"/>
      <c r="BI34" s="285"/>
      <c r="BJ34" s="265"/>
      <c r="BK34" s="265"/>
      <c r="BL34" s="266"/>
      <c r="BM34" s="135">
        <f t="shared" ca="1" si="17"/>
        <v>0</v>
      </c>
      <c r="BN34" s="266">
        <v>1</v>
      </c>
      <c r="BO34" s="286" t="s">
        <v>2072</v>
      </c>
      <c r="BP34" s="287">
        <v>1100</v>
      </c>
      <c r="BQ34" s="288"/>
      <c r="BR34" s="289"/>
      <c r="BS34" s="287"/>
      <c r="BT34" s="288"/>
      <c r="BU34" s="289"/>
      <c r="BV34" s="287"/>
      <c r="BW34" s="288"/>
      <c r="BX34" s="290" t="s">
        <v>2702</v>
      </c>
      <c r="BY34" s="287">
        <v>85000</v>
      </c>
      <c r="BZ34" s="290" t="s">
        <v>2708</v>
      </c>
      <c r="CA34" s="287">
        <v>19000</v>
      </c>
      <c r="CB34" s="290" t="s">
        <v>791</v>
      </c>
      <c r="CC34" s="287">
        <v>10000</v>
      </c>
    </row>
    <row r="35" spans="5:81" ht="40.5">
      <c r="E35" s="260" t="s">
        <v>2024</v>
      </c>
      <c r="F35" s="240" t="s">
        <v>1591</v>
      </c>
      <c r="G35" s="242" t="s">
        <v>2039</v>
      </c>
      <c r="H35" s="240" t="s">
        <v>164</v>
      </c>
      <c r="I35" s="249" t="s">
        <v>180</v>
      </c>
      <c r="J35" s="239" t="s">
        <v>70</v>
      </c>
      <c r="K35" s="239" t="s">
        <v>92</v>
      </c>
      <c r="L35" s="254" t="s">
        <v>71</v>
      </c>
      <c r="M35" s="254" t="s">
        <v>72</v>
      </c>
      <c r="N35" s="246" t="s">
        <v>117</v>
      </c>
      <c r="O35" s="250">
        <v>50000</v>
      </c>
      <c r="P35" s="250">
        <v>50000</v>
      </c>
      <c r="Q35" s="243">
        <v>41862</v>
      </c>
      <c r="R35" s="243">
        <v>42957</v>
      </c>
      <c r="S35" s="243">
        <v>44053</v>
      </c>
      <c r="T35" s="52">
        <f t="shared" si="18"/>
        <v>6.0027397260273974</v>
      </c>
      <c r="U35" s="244">
        <v>0.08</v>
      </c>
      <c r="V35" s="239" t="s">
        <v>73</v>
      </c>
      <c r="W35" s="239" t="s">
        <v>2049</v>
      </c>
      <c r="X35" s="26">
        <f t="shared" ca="1" si="19"/>
        <v>0.1961913824081421</v>
      </c>
      <c r="Y35" s="33">
        <f t="shared" ca="1" si="22"/>
        <v>1.3430678110000003</v>
      </c>
      <c r="Z35" s="199">
        <f t="shared" ca="1" si="11"/>
        <v>25</v>
      </c>
      <c r="AA35" s="27">
        <f t="shared" ca="1" si="20"/>
        <v>48038</v>
      </c>
      <c r="AB35" s="27">
        <f t="shared" ca="1" si="12"/>
        <v>28720</v>
      </c>
      <c r="AC35" s="27">
        <f t="shared" ca="1" si="13"/>
        <v>28963</v>
      </c>
      <c r="AD35" s="27">
        <f t="shared" ca="1" si="14"/>
        <v>39451</v>
      </c>
      <c r="AE35" s="27">
        <f t="shared" ca="1" si="15"/>
        <v>27303.390550000004</v>
      </c>
      <c r="AF35" s="203">
        <f t="shared" ca="1" si="16"/>
        <v>0</v>
      </c>
      <c r="AG35" s="251">
        <v>0</v>
      </c>
      <c r="AH35" s="252">
        <v>2890</v>
      </c>
      <c r="AI35" s="252">
        <v>146</v>
      </c>
      <c r="AJ35" s="251">
        <v>399</v>
      </c>
      <c r="AK35" s="251">
        <v>0</v>
      </c>
      <c r="AL35" s="204">
        <f t="shared" ca="1" si="21"/>
        <v>39850</v>
      </c>
      <c r="AM35" s="166">
        <v>0</v>
      </c>
      <c r="AN35" s="255" t="s">
        <v>2062</v>
      </c>
      <c r="AO35" s="253">
        <v>41862</v>
      </c>
      <c r="AP35" s="253">
        <v>42993</v>
      </c>
      <c r="AQ35" s="245" t="s">
        <v>131</v>
      </c>
      <c r="AR35" s="255" t="s">
        <v>2069</v>
      </c>
      <c r="AS35" s="253">
        <v>41862</v>
      </c>
      <c r="AT35" s="253">
        <v>42993</v>
      </c>
      <c r="AU35" s="245" t="s">
        <v>131</v>
      </c>
      <c r="AV35" s="255" t="s">
        <v>2068</v>
      </c>
      <c r="AW35" s="253">
        <v>41862</v>
      </c>
      <c r="AX35" s="253">
        <v>42993</v>
      </c>
      <c r="AY35" s="245" t="s">
        <v>131</v>
      </c>
      <c r="AZ35" s="247">
        <v>4</v>
      </c>
      <c r="BA35" s="54" t="s">
        <v>2062</v>
      </c>
      <c r="BB35" s="243">
        <v>41862</v>
      </c>
      <c r="BC35" s="243">
        <v>42993</v>
      </c>
      <c r="BD35" s="245" t="s">
        <v>131</v>
      </c>
      <c r="BE35" s="54" t="s">
        <v>2069</v>
      </c>
      <c r="BF35" s="243">
        <v>41862</v>
      </c>
      <c r="BG35" s="243">
        <v>42993</v>
      </c>
      <c r="BH35" s="245" t="s">
        <v>131</v>
      </c>
      <c r="BI35" s="54" t="s">
        <v>2068</v>
      </c>
      <c r="BJ35" s="243">
        <v>41862</v>
      </c>
      <c r="BK35" s="243">
        <v>42993</v>
      </c>
      <c r="BL35" s="245" t="s">
        <v>131</v>
      </c>
      <c r="BM35" s="135">
        <f t="shared" ca="1" si="17"/>
        <v>1</v>
      </c>
      <c r="BN35" s="245">
        <v>1</v>
      </c>
      <c r="BO35" s="241" t="s">
        <v>2072</v>
      </c>
      <c r="BP35" s="205">
        <v>11000</v>
      </c>
      <c r="BQ35" s="6">
        <v>0</v>
      </c>
      <c r="BR35" s="155"/>
      <c r="BS35" s="205"/>
      <c r="BT35" s="6"/>
      <c r="BU35" s="155"/>
      <c r="BV35" s="205"/>
      <c r="BW35" s="6"/>
      <c r="BX35" s="156" t="s">
        <v>2086</v>
      </c>
      <c r="BY35" s="205">
        <v>25000</v>
      </c>
      <c r="BZ35" s="156" t="s">
        <v>2087</v>
      </c>
      <c r="CA35" s="205">
        <v>10000</v>
      </c>
      <c r="CB35" s="156" t="s">
        <v>2088</v>
      </c>
      <c r="CC35" s="205">
        <v>2000</v>
      </c>
    </row>
    <row r="36" spans="5:81" ht="27">
      <c r="E36" s="271" t="s">
        <v>2709</v>
      </c>
      <c r="F36" s="263" t="s">
        <v>2690</v>
      </c>
      <c r="G36" s="272" t="s">
        <v>2710</v>
      </c>
      <c r="H36" s="263" t="s">
        <v>164</v>
      </c>
      <c r="I36" s="273" t="s">
        <v>181</v>
      </c>
      <c r="J36" s="274" t="s">
        <v>70</v>
      </c>
      <c r="K36" s="274" t="s">
        <v>137</v>
      </c>
      <c r="L36" s="275" t="s">
        <v>71</v>
      </c>
      <c r="M36" s="275" t="s">
        <v>72</v>
      </c>
      <c r="N36" s="276" t="s">
        <v>117</v>
      </c>
      <c r="O36" s="277">
        <v>216500</v>
      </c>
      <c r="P36" s="277">
        <v>192358</v>
      </c>
      <c r="Q36" s="265">
        <v>41946</v>
      </c>
      <c r="R36" s="265">
        <v>43041</v>
      </c>
      <c r="S36" s="265">
        <v>44503</v>
      </c>
      <c r="T36" s="52">
        <f t="shared" si="18"/>
        <v>7.0054794520547947</v>
      </c>
      <c r="U36" s="278">
        <v>0.08</v>
      </c>
      <c r="V36" s="274" t="s">
        <v>2711</v>
      </c>
      <c r="W36" s="274" t="s">
        <v>2712</v>
      </c>
      <c r="X36" s="26">
        <f t="shared" ca="1" si="19"/>
        <v>-5.5954217910766614E-3</v>
      </c>
      <c r="Y36" s="33">
        <f t="shared" ca="1" si="22"/>
        <v>0.88512065290069286</v>
      </c>
      <c r="Z36" s="199">
        <f t="shared" ca="1" si="11"/>
        <v>4</v>
      </c>
      <c r="AA36" s="27">
        <f t="shared" ca="1" si="20"/>
        <v>191594</v>
      </c>
      <c r="AB36" s="27">
        <f t="shared" ca="1" si="12"/>
        <v>0</v>
      </c>
      <c r="AC36" s="27">
        <f t="shared" ca="1" si="13"/>
        <v>191594</v>
      </c>
      <c r="AD36" s="27">
        <f t="shared" ca="1" si="14"/>
        <v>191594</v>
      </c>
      <c r="AE36" s="27">
        <f t="shared" ca="1" si="15"/>
        <v>0.62135300000000004</v>
      </c>
      <c r="AF36" s="203">
        <f t="shared" ca="1" si="16"/>
        <v>0</v>
      </c>
      <c r="AG36" s="279">
        <v>0</v>
      </c>
      <c r="AH36" s="280">
        <v>696</v>
      </c>
      <c r="AI36" s="280">
        <v>65</v>
      </c>
      <c r="AJ36" s="279">
        <v>34</v>
      </c>
      <c r="AK36" s="279">
        <v>0</v>
      </c>
      <c r="AL36" s="204">
        <f t="shared" ca="1" si="21"/>
        <v>191628</v>
      </c>
      <c r="AM36" s="281">
        <v>23756</v>
      </c>
      <c r="AN36" s="282" t="s">
        <v>2713</v>
      </c>
      <c r="AO36" s="283">
        <v>41946</v>
      </c>
      <c r="AP36" s="283">
        <v>42993</v>
      </c>
      <c r="AQ36" s="266" t="s">
        <v>131</v>
      </c>
      <c r="AR36" s="282"/>
      <c r="AS36" s="283"/>
      <c r="AT36" s="283"/>
      <c r="AU36" s="266"/>
      <c r="AV36" s="282"/>
      <c r="AW36" s="283"/>
      <c r="AX36" s="283"/>
      <c r="AY36" s="266"/>
      <c r="AZ36" s="284">
        <v>3</v>
      </c>
      <c r="BA36" s="285" t="s">
        <v>2713</v>
      </c>
      <c r="BB36" s="265">
        <v>41946</v>
      </c>
      <c r="BC36" s="265">
        <v>42993</v>
      </c>
      <c r="BD36" s="266" t="s">
        <v>131</v>
      </c>
      <c r="BE36" s="285" t="s">
        <v>2256</v>
      </c>
      <c r="BF36" s="265">
        <v>41946</v>
      </c>
      <c r="BG36" s="265">
        <v>42993</v>
      </c>
      <c r="BH36" s="266" t="s">
        <v>131</v>
      </c>
      <c r="BI36" s="285" t="s">
        <v>2068</v>
      </c>
      <c r="BJ36" s="265">
        <v>41946</v>
      </c>
      <c r="BK36" s="265">
        <v>42993</v>
      </c>
      <c r="BL36" s="266" t="s">
        <v>131</v>
      </c>
      <c r="BM36" s="135">
        <f t="shared" ca="1" si="17"/>
        <v>0</v>
      </c>
      <c r="BN36" s="266">
        <v>1</v>
      </c>
      <c r="BO36" s="286" t="s">
        <v>2072</v>
      </c>
      <c r="BP36" s="287">
        <v>6500</v>
      </c>
      <c r="BQ36" s="288"/>
      <c r="BR36" s="289"/>
      <c r="BS36" s="287"/>
      <c r="BT36" s="288"/>
      <c r="BU36" s="289"/>
      <c r="BV36" s="287"/>
      <c r="BW36" s="288"/>
      <c r="BX36" s="290" t="s">
        <v>1081</v>
      </c>
      <c r="BY36" s="287">
        <v>100000</v>
      </c>
      <c r="BZ36" s="290" t="s">
        <v>807</v>
      </c>
      <c r="CA36" s="287">
        <v>100000</v>
      </c>
      <c r="CB36" s="290" t="s">
        <v>2714</v>
      </c>
      <c r="CC36" s="287">
        <v>10000</v>
      </c>
    </row>
    <row r="37" spans="5:81" ht="27">
      <c r="E37" s="271" t="s">
        <v>2770</v>
      </c>
      <c r="F37" s="263" t="s">
        <v>2690</v>
      </c>
      <c r="G37" s="272" t="s">
        <v>2771</v>
      </c>
      <c r="H37" s="263" t="s">
        <v>69</v>
      </c>
      <c r="I37" s="273" t="s">
        <v>181</v>
      </c>
      <c r="J37" s="274" t="s">
        <v>159</v>
      </c>
      <c r="K37" s="274" t="s">
        <v>137</v>
      </c>
      <c r="L37" s="275" t="s">
        <v>71</v>
      </c>
      <c r="M37" s="275" t="s">
        <v>116</v>
      </c>
      <c r="N37" s="276" t="s">
        <v>117</v>
      </c>
      <c r="O37" s="277">
        <v>27200</v>
      </c>
      <c r="P37" s="277">
        <v>27200</v>
      </c>
      <c r="Q37" s="265">
        <v>42034</v>
      </c>
      <c r="R37" s="265">
        <v>42398</v>
      </c>
      <c r="S37" s="243">
        <v>42538</v>
      </c>
      <c r="T37" s="52">
        <f t="shared" si="18"/>
        <v>1.3808219178082193</v>
      </c>
      <c r="U37" s="278">
        <v>7.0000000000000007E-2</v>
      </c>
      <c r="V37" s="274" t="s">
        <v>73</v>
      </c>
      <c r="W37" s="274" t="s">
        <v>2707</v>
      </c>
      <c r="X37" s="26">
        <f t="shared" ca="1" si="19"/>
        <v>0.56380158424377447</v>
      </c>
      <c r="Y37" s="33">
        <f t="shared" ca="1" si="22"/>
        <v>1.6789911576470591</v>
      </c>
      <c r="Z37" s="199">
        <f t="shared" ca="1" si="11"/>
        <v>1</v>
      </c>
      <c r="AA37" s="27">
        <f t="shared" ca="1" si="20"/>
        <v>27000</v>
      </c>
      <c r="AB37" s="27">
        <f t="shared" ca="1" si="12"/>
        <v>46013</v>
      </c>
      <c r="AC37" s="27">
        <f t="shared" ca="1" si="13"/>
        <v>0</v>
      </c>
      <c r="AD37" s="27">
        <f t="shared" ca="1" si="14"/>
        <v>0</v>
      </c>
      <c r="AE37" s="27">
        <f t="shared" ca="1" si="15"/>
        <v>42385.294577000008</v>
      </c>
      <c r="AF37" s="203">
        <f t="shared" ca="1" si="16"/>
        <v>3283.2649110000002</v>
      </c>
      <c r="AG37" s="279">
        <v>1346</v>
      </c>
      <c r="AH37" s="280">
        <v>315</v>
      </c>
      <c r="AI37" s="280">
        <v>95</v>
      </c>
      <c r="AJ37" s="279">
        <v>0</v>
      </c>
      <c r="AK37" s="279">
        <v>0</v>
      </c>
      <c r="AL37" s="204">
        <f t="shared" ca="1" si="21"/>
        <v>0</v>
      </c>
      <c r="AM37" s="281">
        <v>0</v>
      </c>
      <c r="AN37" s="282" t="s">
        <v>2292</v>
      </c>
      <c r="AO37" s="283">
        <v>42034</v>
      </c>
      <c r="AP37" s="283">
        <v>42538</v>
      </c>
      <c r="AQ37" s="266" t="s">
        <v>131</v>
      </c>
      <c r="AR37" s="282"/>
      <c r="AS37" s="283"/>
      <c r="AT37" s="283"/>
      <c r="AU37" s="266"/>
      <c r="AV37" s="282"/>
      <c r="AW37" s="283"/>
      <c r="AX37" s="283"/>
      <c r="AY37" s="266"/>
      <c r="AZ37" s="284">
        <v>1</v>
      </c>
      <c r="BA37" s="285" t="s">
        <v>2292</v>
      </c>
      <c r="BB37" s="265">
        <v>42034</v>
      </c>
      <c r="BC37" s="265">
        <v>42538</v>
      </c>
      <c r="BD37" s="266" t="s">
        <v>131</v>
      </c>
      <c r="BE37" s="285"/>
      <c r="BF37" s="265"/>
      <c r="BG37" s="265"/>
      <c r="BH37" s="266"/>
      <c r="BI37" s="285"/>
      <c r="BJ37" s="265"/>
      <c r="BK37" s="265"/>
      <c r="BL37" s="266"/>
      <c r="BM37" s="135">
        <f t="shared" ca="1" si="17"/>
        <v>0</v>
      </c>
      <c r="BN37" s="266">
        <v>2</v>
      </c>
      <c r="BO37" s="286" t="s">
        <v>2072</v>
      </c>
      <c r="BP37" s="287">
        <v>100</v>
      </c>
      <c r="BQ37" s="288"/>
      <c r="BR37" s="289" t="s">
        <v>2772</v>
      </c>
      <c r="BS37" s="287">
        <v>50</v>
      </c>
      <c r="BT37" s="288"/>
      <c r="BU37" s="289"/>
      <c r="BV37" s="287"/>
      <c r="BW37" s="288"/>
      <c r="BX37" s="290" t="s">
        <v>2773</v>
      </c>
      <c r="BY37" s="287">
        <v>10000</v>
      </c>
      <c r="BZ37" s="290" t="s">
        <v>791</v>
      </c>
      <c r="CA37" s="287">
        <v>10000</v>
      </c>
      <c r="CB37" s="290" t="s">
        <v>2760</v>
      </c>
      <c r="CC37" s="287">
        <v>4050</v>
      </c>
    </row>
    <row r="38" spans="5:81" ht="27">
      <c r="E38" s="271" t="s">
        <v>2774</v>
      </c>
      <c r="F38" s="263" t="s">
        <v>2690</v>
      </c>
      <c r="G38" s="272" t="s">
        <v>2775</v>
      </c>
      <c r="H38" s="263" t="s">
        <v>164</v>
      </c>
      <c r="I38" s="273" t="s">
        <v>181</v>
      </c>
      <c r="J38" s="274" t="s">
        <v>159</v>
      </c>
      <c r="K38" s="274" t="s">
        <v>137</v>
      </c>
      <c r="L38" s="275" t="s">
        <v>71</v>
      </c>
      <c r="M38" s="275" t="s">
        <v>179</v>
      </c>
      <c r="N38" s="276" t="s">
        <v>117</v>
      </c>
      <c r="O38" s="277">
        <v>56000</v>
      </c>
      <c r="P38" s="277">
        <v>56000</v>
      </c>
      <c r="Q38" s="265">
        <v>42072</v>
      </c>
      <c r="R38" s="265">
        <v>42255</v>
      </c>
      <c r="S38" s="265">
        <v>43167</v>
      </c>
      <c r="T38" s="52">
        <f t="shared" si="18"/>
        <v>3</v>
      </c>
      <c r="U38" s="278">
        <v>7.0000000000000007E-2</v>
      </c>
      <c r="V38" s="274" t="s">
        <v>73</v>
      </c>
      <c r="W38" s="274" t="s">
        <v>2707</v>
      </c>
      <c r="X38" s="26">
        <f t="shared" ca="1" si="19"/>
        <v>0.89390305519103985</v>
      </c>
      <c r="Y38" s="33">
        <f t="shared" ca="1" si="22"/>
        <v>4.1403121382678574</v>
      </c>
      <c r="Z38" s="199">
        <f t="shared" ca="1" si="11"/>
        <v>1</v>
      </c>
      <c r="AA38" s="27">
        <f t="shared" ca="1" si="20"/>
        <v>55649</v>
      </c>
      <c r="AB38" s="27">
        <f t="shared" ca="1" si="12"/>
        <v>63126</v>
      </c>
      <c r="AC38" s="27">
        <f t="shared" ca="1" si="13"/>
        <v>55647</v>
      </c>
      <c r="AD38" s="27">
        <f t="shared" ca="1" si="14"/>
        <v>169390</v>
      </c>
      <c r="AE38" s="27">
        <f t="shared" ca="1" si="15"/>
        <v>62085.583793999998</v>
      </c>
      <c r="AF38" s="203">
        <f t="shared" ca="1" si="16"/>
        <v>333.89594899999997</v>
      </c>
      <c r="AG38" s="279">
        <v>141</v>
      </c>
      <c r="AH38" s="280">
        <v>1038</v>
      </c>
      <c r="AI38" s="280">
        <v>205</v>
      </c>
      <c r="AJ38" s="279">
        <v>48</v>
      </c>
      <c r="AK38" s="279">
        <v>0</v>
      </c>
      <c r="AL38" s="204">
        <f t="shared" ca="1" si="21"/>
        <v>169438</v>
      </c>
      <c r="AM38" s="281">
        <v>0</v>
      </c>
      <c r="AN38" s="282" t="s">
        <v>2292</v>
      </c>
      <c r="AO38" s="283">
        <v>42072</v>
      </c>
      <c r="AP38" s="283">
        <v>42993</v>
      </c>
      <c r="AQ38" s="266" t="s">
        <v>131</v>
      </c>
      <c r="AR38" s="282"/>
      <c r="AS38" s="283"/>
      <c r="AT38" s="283"/>
      <c r="AU38" s="266"/>
      <c r="AV38" s="282"/>
      <c r="AW38" s="283"/>
      <c r="AX38" s="283"/>
      <c r="AY38" s="266"/>
      <c r="AZ38" s="284">
        <v>1</v>
      </c>
      <c r="BA38" s="285" t="s">
        <v>2292</v>
      </c>
      <c r="BB38" s="265">
        <v>42072</v>
      </c>
      <c r="BC38" s="265">
        <v>42993</v>
      </c>
      <c r="BD38" s="266" t="s">
        <v>131</v>
      </c>
      <c r="BE38" s="285"/>
      <c r="BF38" s="265"/>
      <c r="BG38" s="265"/>
      <c r="BH38" s="266"/>
      <c r="BI38" s="285"/>
      <c r="BJ38" s="265"/>
      <c r="BK38" s="265"/>
      <c r="BL38" s="266"/>
      <c r="BM38" s="135">
        <f t="shared" ca="1" si="17"/>
        <v>0</v>
      </c>
      <c r="BN38" s="266">
        <v>1</v>
      </c>
      <c r="BO38" s="286" t="s">
        <v>2072</v>
      </c>
      <c r="BP38" s="287">
        <v>300</v>
      </c>
      <c r="BQ38" s="288"/>
      <c r="BR38" s="289"/>
      <c r="BS38" s="287"/>
      <c r="BT38" s="288"/>
      <c r="BU38" s="289"/>
      <c r="BV38" s="287"/>
      <c r="BW38" s="288"/>
      <c r="BX38" s="290" t="s">
        <v>1081</v>
      </c>
      <c r="BY38" s="287">
        <v>30000</v>
      </c>
      <c r="BZ38" s="290" t="s">
        <v>2702</v>
      </c>
      <c r="CA38" s="287">
        <v>20000</v>
      </c>
      <c r="CB38" s="290" t="s">
        <v>2776</v>
      </c>
      <c r="CC38" s="287">
        <v>5700</v>
      </c>
    </row>
    <row r="39" spans="5:81" ht="27">
      <c r="E39" s="271" t="s">
        <v>2777</v>
      </c>
      <c r="F39" s="263" t="s">
        <v>2690</v>
      </c>
      <c r="G39" s="272" t="s">
        <v>2778</v>
      </c>
      <c r="H39" s="263" t="s">
        <v>166</v>
      </c>
      <c r="I39" s="273" t="s">
        <v>181</v>
      </c>
      <c r="J39" s="274" t="s">
        <v>159</v>
      </c>
      <c r="K39" s="274" t="s">
        <v>137</v>
      </c>
      <c r="L39" s="275" t="s">
        <v>71</v>
      </c>
      <c r="M39" s="275" t="s">
        <v>72</v>
      </c>
      <c r="N39" s="276" t="s">
        <v>117</v>
      </c>
      <c r="O39" s="277">
        <v>72300</v>
      </c>
      <c r="P39" s="277">
        <v>72300</v>
      </c>
      <c r="Q39" s="265">
        <v>42136</v>
      </c>
      <c r="R39" s="265">
        <v>42501</v>
      </c>
      <c r="S39" s="265">
        <v>42922</v>
      </c>
      <c r="T39" s="52">
        <f t="shared" si="18"/>
        <v>2.1534246575342464</v>
      </c>
      <c r="U39" s="278">
        <v>7.0000000000000007E-2</v>
      </c>
      <c r="V39" s="274" t="s">
        <v>73</v>
      </c>
      <c r="W39" s="274" t="s">
        <v>2707</v>
      </c>
      <c r="X39" s="26">
        <f t="shared" ca="1" si="19"/>
        <v>0.58526734352111842</v>
      </c>
      <c r="Y39" s="33">
        <f t="shared" ca="1" si="22"/>
        <v>1.7597466876210235</v>
      </c>
      <c r="Z39" s="199">
        <f t="shared" ca="1" si="11"/>
        <v>1</v>
      </c>
      <c r="AA39" s="27">
        <f t="shared" ca="1" si="20"/>
        <v>72277</v>
      </c>
      <c r="AB39" s="27">
        <f t="shared" ca="1" si="12"/>
        <v>129241</v>
      </c>
      <c r="AC39" s="27">
        <f t="shared" ca="1" si="13"/>
        <v>0</v>
      </c>
      <c r="AD39" s="27">
        <f t="shared" ca="1" si="14"/>
        <v>0</v>
      </c>
      <c r="AE39" s="27">
        <f t="shared" ca="1" si="15"/>
        <v>116612.46036299999</v>
      </c>
      <c r="AF39" s="203">
        <f t="shared" ca="1" si="16"/>
        <v>10265.225152000001</v>
      </c>
      <c r="AG39" s="279">
        <v>383</v>
      </c>
      <c r="AH39" s="280">
        <v>983</v>
      </c>
      <c r="AI39" s="280">
        <v>40</v>
      </c>
      <c r="AJ39" s="279">
        <v>428</v>
      </c>
      <c r="AK39" s="279">
        <v>76</v>
      </c>
      <c r="AL39" s="204">
        <f t="shared" ca="1" si="21"/>
        <v>352</v>
      </c>
      <c r="AM39" s="281">
        <v>0</v>
      </c>
      <c r="AN39" s="282" t="s">
        <v>2292</v>
      </c>
      <c r="AO39" s="283">
        <v>42136</v>
      </c>
      <c r="AP39" s="283">
        <v>42993</v>
      </c>
      <c r="AQ39" s="266" t="s">
        <v>131</v>
      </c>
      <c r="AR39" s="282"/>
      <c r="AS39" s="283"/>
      <c r="AT39" s="283"/>
      <c r="AU39" s="266"/>
      <c r="AV39" s="282"/>
      <c r="AW39" s="283"/>
      <c r="AX39" s="283"/>
      <c r="AY39" s="266"/>
      <c r="AZ39" s="284">
        <v>1</v>
      </c>
      <c r="BA39" s="285" t="s">
        <v>2292</v>
      </c>
      <c r="BB39" s="265">
        <v>42136</v>
      </c>
      <c r="BC39" s="265">
        <v>42993</v>
      </c>
      <c r="BD39" s="266" t="s">
        <v>131</v>
      </c>
      <c r="BE39" s="285"/>
      <c r="BF39" s="265"/>
      <c r="BG39" s="265"/>
      <c r="BH39" s="266"/>
      <c r="BI39" s="285"/>
      <c r="BJ39" s="265"/>
      <c r="BK39" s="265"/>
      <c r="BL39" s="266"/>
      <c r="BM39" s="135">
        <f t="shared" ca="1" si="17"/>
        <v>0</v>
      </c>
      <c r="BN39" s="266">
        <v>1</v>
      </c>
      <c r="BO39" s="286" t="s">
        <v>2072</v>
      </c>
      <c r="BP39" s="287">
        <v>300</v>
      </c>
      <c r="BQ39" s="288"/>
      <c r="BR39" s="289"/>
      <c r="BS39" s="287"/>
      <c r="BT39" s="288"/>
      <c r="BU39" s="289"/>
      <c r="BV39" s="287"/>
      <c r="BW39" s="288"/>
      <c r="BX39" s="290" t="s">
        <v>2702</v>
      </c>
      <c r="BY39" s="287">
        <v>30000</v>
      </c>
      <c r="BZ39" s="290" t="s">
        <v>2760</v>
      </c>
      <c r="CA39" s="287">
        <v>10000</v>
      </c>
      <c r="CB39" s="290" t="s">
        <v>2722</v>
      </c>
      <c r="CC39" s="287">
        <v>10000</v>
      </c>
    </row>
    <row r="40" spans="5:81" ht="27">
      <c r="E40" s="260" t="s">
        <v>2025</v>
      </c>
      <c r="F40" s="240" t="s">
        <v>1591</v>
      </c>
      <c r="G40" s="242" t="s">
        <v>2040</v>
      </c>
      <c r="H40" s="240" t="s">
        <v>164</v>
      </c>
      <c r="I40" s="249" t="s">
        <v>3</v>
      </c>
      <c r="J40" s="239" t="s">
        <v>159</v>
      </c>
      <c r="K40" s="239" t="s">
        <v>92</v>
      </c>
      <c r="L40" s="254" t="s">
        <v>71</v>
      </c>
      <c r="M40" s="254" t="s">
        <v>133</v>
      </c>
      <c r="N40" s="246" t="s">
        <v>117</v>
      </c>
      <c r="O40" s="250">
        <v>26850</v>
      </c>
      <c r="P40" s="250">
        <v>26850</v>
      </c>
      <c r="Q40" s="243">
        <v>42360</v>
      </c>
      <c r="R40" s="243">
        <v>44186</v>
      </c>
      <c r="S40" s="243">
        <v>44186</v>
      </c>
      <c r="T40" s="52">
        <f t="shared" si="18"/>
        <v>5.0027397260273974</v>
      </c>
      <c r="U40" s="244">
        <v>0.08</v>
      </c>
      <c r="V40" s="239" t="s">
        <v>73</v>
      </c>
      <c r="W40" s="239" t="s">
        <v>2052</v>
      </c>
      <c r="X40" s="26">
        <f t="shared" ca="1" si="19"/>
        <v>-5.0332004465162748E-2</v>
      </c>
      <c r="Y40" s="33">
        <f t="shared" ca="1" si="22"/>
        <v>0.91613563798882691</v>
      </c>
      <c r="Z40" s="199">
        <f t="shared" ca="1" si="11"/>
        <v>3</v>
      </c>
      <c r="AA40" s="27">
        <f t="shared" ca="1" si="20"/>
        <v>26402</v>
      </c>
      <c r="AB40" s="27">
        <f t="shared" ca="1" si="12"/>
        <v>1320</v>
      </c>
      <c r="AC40" s="27">
        <f t="shared" ca="1" si="13"/>
        <v>26402</v>
      </c>
      <c r="AD40" s="27">
        <f t="shared" ca="1" si="14"/>
        <v>23349</v>
      </c>
      <c r="AE40" s="27">
        <f t="shared" ca="1" si="15"/>
        <v>1110.24188</v>
      </c>
      <c r="AF40" s="203">
        <f t="shared" ca="1" si="16"/>
        <v>0</v>
      </c>
      <c r="AG40" s="251">
        <v>0</v>
      </c>
      <c r="AH40" s="252">
        <v>404</v>
      </c>
      <c r="AI40" s="252">
        <v>58</v>
      </c>
      <c r="AJ40" s="251">
        <v>139</v>
      </c>
      <c r="AK40" s="251">
        <v>0</v>
      </c>
      <c r="AL40" s="204">
        <f t="shared" ca="1" si="21"/>
        <v>23488</v>
      </c>
      <c r="AM40" s="166">
        <v>0</v>
      </c>
      <c r="AN40" s="255" t="s">
        <v>2070</v>
      </c>
      <c r="AO40" s="253">
        <v>42360</v>
      </c>
      <c r="AP40" s="253">
        <v>42993</v>
      </c>
      <c r="AQ40" s="245" t="s">
        <v>131</v>
      </c>
      <c r="AR40" s="255"/>
      <c r="AS40" s="253"/>
      <c r="AT40" s="253"/>
      <c r="AU40" s="245"/>
      <c r="AV40" s="255"/>
      <c r="AW40" s="253"/>
      <c r="AX40" s="253"/>
      <c r="AY40" s="245"/>
      <c r="AZ40" s="247">
        <v>1</v>
      </c>
      <c r="BA40" s="54" t="s">
        <v>2070</v>
      </c>
      <c r="BB40" s="243">
        <v>42360</v>
      </c>
      <c r="BC40" s="243">
        <v>42993</v>
      </c>
      <c r="BD40" s="245" t="s">
        <v>131</v>
      </c>
      <c r="BE40" s="54"/>
      <c r="BF40" s="243"/>
      <c r="BG40" s="243"/>
      <c r="BH40" s="245"/>
      <c r="BI40" s="54"/>
      <c r="BJ40" s="243"/>
      <c r="BK40" s="243"/>
      <c r="BL40" s="245"/>
      <c r="BM40" s="135">
        <f t="shared" ca="1" si="17"/>
        <v>0</v>
      </c>
      <c r="BN40" s="245">
        <v>1</v>
      </c>
      <c r="BO40" s="241" t="s">
        <v>2072</v>
      </c>
      <c r="BP40" s="205">
        <v>500</v>
      </c>
      <c r="BQ40" s="6">
        <v>500</v>
      </c>
      <c r="BR40" s="155"/>
      <c r="BS40" s="205"/>
      <c r="BT40" s="6"/>
      <c r="BU40" s="155"/>
      <c r="BV40" s="205"/>
      <c r="BW40" s="6"/>
      <c r="BX40" s="156" t="s">
        <v>791</v>
      </c>
      <c r="BY40" s="205">
        <v>10000</v>
      </c>
      <c r="BZ40" s="156" t="s">
        <v>2079</v>
      </c>
      <c r="CA40" s="205">
        <v>2000</v>
      </c>
      <c r="CB40" s="156" t="s">
        <v>2089</v>
      </c>
      <c r="CC40" s="205">
        <v>1250</v>
      </c>
    </row>
    <row r="41" spans="5:81" ht="27">
      <c r="E41" s="271" t="s">
        <v>2779</v>
      </c>
      <c r="F41" s="263" t="s">
        <v>2690</v>
      </c>
      <c r="G41" s="272" t="s">
        <v>2780</v>
      </c>
      <c r="H41" s="263" t="s">
        <v>164</v>
      </c>
      <c r="I41" s="273" t="s">
        <v>1249</v>
      </c>
      <c r="J41" s="274" t="s">
        <v>70</v>
      </c>
      <c r="K41" s="274" t="s">
        <v>2781</v>
      </c>
      <c r="L41" s="275" t="s">
        <v>71</v>
      </c>
      <c r="M41" s="275" t="s">
        <v>72</v>
      </c>
      <c r="N41" s="276" t="s">
        <v>117</v>
      </c>
      <c r="O41" s="277">
        <v>413500</v>
      </c>
      <c r="P41" s="277">
        <v>281207</v>
      </c>
      <c r="Q41" s="265">
        <v>42401</v>
      </c>
      <c r="R41" s="265">
        <v>43411</v>
      </c>
      <c r="S41" s="265">
        <v>44228</v>
      </c>
      <c r="T41" s="52">
        <f t="shared" si="18"/>
        <v>5.0054794520547947</v>
      </c>
      <c r="U41" s="278">
        <v>0.08</v>
      </c>
      <c r="V41" s="274" t="s">
        <v>73</v>
      </c>
      <c r="W41" s="274" t="s">
        <v>2782</v>
      </c>
      <c r="X41" s="26">
        <f t="shared" ca="1" si="19"/>
        <v>1.197342872619629E-3</v>
      </c>
      <c r="Y41" s="33">
        <f t="shared" ca="1" si="22"/>
        <v>0.68064941354292618</v>
      </c>
      <c r="Z41" s="199">
        <f t="shared" ca="1" si="11"/>
        <v>5</v>
      </c>
      <c r="AA41" s="27">
        <f t="shared" ca="1" si="20"/>
        <v>280942</v>
      </c>
      <c r="AB41" s="27">
        <f t="shared" ca="1" si="12"/>
        <v>1898</v>
      </c>
      <c r="AC41" s="27">
        <f t="shared" ca="1" si="13"/>
        <v>280942</v>
      </c>
      <c r="AD41" s="27">
        <f t="shared" ca="1" si="14"/>
        <v>280942</v>
      </c>
      <c r="AE41" s="27">
        <f t="shared" ca="1" si="15"/>
        <v>659.53250000000003</v>
      </c>
      <c r="AF41" s="203">
        <f t="shared" ca="1" si="16"/>
        <v>0</v>
      </c>
      <c r="AG41" s="279">
        <v>0</v>
      </c>
      <c r="AH41" s="280">
        <v>777</v>
      </c>
      <c r="AI41" s="280">
        <v>261</v>
      </c>
      <c r="AJ41" s="279">
        <v>2</v>
      </c>
      <c r="AK41" s="279">
        <v>155</v>
      </c>
      <c r="AL41" s="204">
        <f t="shared" ca="1" si="21"/>
        <v>280789</v>
      </c>
      <c r="AM41" s="281">
        <v>132557</v>
      </c>
      <c r="AN41" s="282" t="s">
        <v>2060</v>
      </c>
      <c r="AO41" s="283">
        <v>42401</v>
      </c>
      <c r="AP41" s="283">
        <v>42993</v>
      </c>
      <c r="AQ41" s="266" t="s">
        <v>131</v>
      </c>
      <c r="AR41" s="282" t="s">
        <v>2963</v>
      </c>
      <c r="AS41" s="283">
        <v>42401</v>
      </c>
      <c r="AT41" s="283">
        <v>42993</v>
      </c>
      <c r="AU41" s="266" t="s">
        <v>131</v>
      </c>
      <c r="AV41" s="282" t="s">
        <v>2964</v>
      </c>
      <c r="AW41" s="283">
        <v>42401</v>
      </c>
      <c r="AX41" s="283">
        <v>42993</v>
      </c>
      <c r="AY41" s="266" t="s">
        <v>131</v>
      </c>
      <c r="AZ41" s="284">
        <v>4</v>
      </c>
      <c r="BA41" s="285" t="s">
        <v>2060</v>
      </c>
      <c r="BB41" s="265">
        <v>42401</v>
      </c>
      <c r="BC41" s="265">
        <v>42993</v>
      </c>
      <c r="BD41" s="266" t="s">
        <v>131</v>
      </c>
      <c r="BE41" s="285" t="s">
        <v>2070</v>
      </c>
      <c r="BF41" s="265">
        <v>42401</v>
      </c>
      <c r="BG41" s="265">
        <v>42993</v>
      </c>
      <c r="BH41" s="266" t="s">
        <v>131</v>
      </c>
      <c r="BI41" s="285" t="s">
        <v>2292</v>
      </c>
      <c r="BJ41" s="265">
        <v>42401</v>
      </c>
      <c r="BK41" s="265">
        <v>42993</v>
      </c>
      <c r="BL41" s="266" t="s">
        <v>131</v>
      </c>
      <c r="BM41" s="135">
        <f t="shared" ca="1" si="17"/>
        <v>0</v>
      </c>
      <c r="BN41" s="266">
        <v>1</v>
      </c>
      <c r="BO41" s="286" t="s">
        <v>2072</v>
      </c>
      <c r="BP41" s="287">
        <v>8500</v>
      </c>
      <c r="BQ41" s="288"/>
      <c r="BR41" s="289"/>
      <c r="BS41" s="287"/>
      <c r="BT41" s="288"/>
      <c r="BU41" s="289"/>
      <c r="BV41" s="287"/>
      <c r="BW41" s="288"/>
      <c r="BX41" s="290" t="s">
        <v>2722</v>
      </c>
      <c r="BY41" s="287">
        <v>60000</v>
      </c>
      <c r="BZ41" s="290" t="s">
        <v>732</v>
      </c>
      <c r="CA41" s="287">
        <v>50000</v>
      </c>
      <c r="CB41" s="290" t="s">
        <v>791</v>
      </c>
      <c r="CC41" s="287">
        <v>30000</v>
      </c>
    </row>
    <row r="42" spans="5:81" ht="108">
      <c r="E42" s="271" t="s">
        <v>2715</v>
      </c>
      <c r="F42" s="263" t="s">
        <v>2690</v>
      </c>
      <c r="G42" s="272" t="s">
        <v>2716</v>
      </c>
      <c r="H42" s="263" t="s">
        <v>164</v>
      </c>
      <c r="I42" s="273" t="s">
        <v>1249</v>
      </c>
      <c r="J42" s="274" t="s">
        <v>159</v>
      </c>
      <c r="K42" s="274" t="s">
        <v>137</v>
      </c>
      <c r="L42" s="275" t="s">
        <v>115</v>
      </c>
      <c r="M42" s="275" t="s">
        <v>72</v>
      </c>
      <c r="N42" s="276" t="s">
        <v>117</v>
      </c>
      <c r="O42" s="277">
        <v>62677</v>
      </c>
      <c r="P42" s="277">
        <v>62677</v>
      </c>
      <c r="Q42" s="265">
        <v>42450</v>
      </c>
      <c r="R42" s="265">
        <v>42633</v>
      </c>
      <c r="S42" s="265">
        <v>46102</v>
      </c>
      <c r="T42" s="52">
        <f t="shared" si="18"/>
        <v>10.005479452054795</v>
      </c>
      <c r="U42" s="278">
        <v>0.08</v>
      </c>
      <c r="V42" s="274" t="s">
        <v>73</v>
      </c>
      <c r="W42" s="274" t="s">
        <v>2717</v>
      </c>
      <c r="X42" s="26">
        <f t="shared" ca="1" si="19"/>
        <v>7.5684161186218263E-2</v>
      </c>
      <c r="Y42" s="33">
        <f t="shared" ca="1" si="22"/>
        <v>1.1051267529396749</v>
      </c>
      <c r="Z42" s="199">
        <f t="shared" ca="1" si="11"/>
        <v>1</v>
      </c>
      <c r="AA42" s="27">
        <f t="shared" ca="1" si="20"/>
        <v>62831</v>
      </c>
      <c r="AB42" s="27">
        <f t="shared" ca="1" si="12"/>
        <v>6682</v>
      </c>
      <c r="AC42" s="27">
        <f t="shared" ca="1" si="13"/>
        <v>61555</v>
      </c>
      <c r="AD42" s="27">
        <f t="shared" ca="1" si="14"/>
        <v>61555</v>
      </c>
      <c r="AE42" s="27">
        <f t="shared" ca="1" si="15"/>
        <v>7713.0294940000003</v>
      </c>
      <c r="AF42" s="203">
        <f t="shared" ca="1" si="16"/>
        <v>0</v>
      </c>
      <c r="AG42" s="279">
        <v>0</v>
      </c>
      <c r="AH42" s="280">
        <v>182</v>
      </c>
      <c r="AI42" s="280">
        <v>32</v>
      </c>
      <c r="AJ42" s="279"/>
      <c r="AK42" s="279">
        <v>2</v>
      </c>
      <c r="AL42" s="204">
        <f t="shared" ca="1" si="21"/>
        <v>61553</v>
      </c>
      <c r="AM42" s="281">
        <v>0</v>
      </c>
      <c r="AN42" s="282" t="s">
        <v>2062</v>
      </c>
      <c r="AO42" s="283">
        <v>42450</v>
      </c>
      <c r="AP42" s="283">
        <v>42993</v>
      </c>
      <c r="AQ42" s="266" t="s">
        <v>131</v>
      </c>
      <c r="AR42" s="282"/>
      <c r="AS42" s="283"/>
      <c r="AT42" s="283"/>
      <c r="AU42" s="266"/>
      <c r="AV42" s="282"/>
      <c r="AW42" s="283"/>
      <c r="AX42" s="283"/>
      <c r="AY42" s="266"/>
      <c r="AZ42" s="284">
        <v>1</v>
      </c>
      <c r="BA42" s="285" t="s">
        <v>2062</v>
      </c>
      <c r="BB42" s="265">
        <v>42450</v>
      </c>
      <c r="BC42" s="265">
        <v>42993</v>
      </c>
      <c r="BD42" s="266" t="s">
        <v>131</v>
      </c>
      <c r="BE42" s="285"/>
      <c r="BF42" s="265"/>
      <c r="BG42" s="265"/>
      <c r="BH42" s="266"/>
      <c r="BI42" s="285"/>
      <c r="BJ42" s="265"/>
      <c r="BK42" s="265"/>
      <c r="BL42" s="266"/>
      <c r="BM42" s="135">
        <f t="shared" ca="1" si="17"/>
        <v>0</v>
      </c>
      <c r="BN42" s="266">
        <v>1</v>
      </c>
      <c r="BO42" s="286" t="s">
        <v>2072</v>
      </c>
      <c r="BP42" s="287">
        <v>286</v>
      </c>
      <c r="BQ42" s="288"/>
      <c r="BR42" s="289"/>
      <c r="BS42" s="287"/>
      <c r="BT42" s="288"/>
      <c r="BU42" s="289"/>
      <c r="BV42" s="287"/>
      <c r="BW42" s="288"/>
      <c r="BX42" s="290" t="s">
        <v>791</v>
      </c>
      <c r="BY42" s="287">
        <v>40075</v>
      </c>
      <c r="BZ42" s="290" t="s">
        <v>814</v>
      </c>
      <c r="CA42" s="287">
        <v>21412</v>
      </c>
      <c r="CB42" s="290" t="s">
        <v>2718</v>
      </c>
      <c r="CC42" s="287">
        <v>904</v>
      </c>
    </row>
    <row r="43" spans="5:81" ht="27">
      <c r="E43" s="271" t="s">
        <v>2719</v>
      </c>
      <c r="F43" s="263" t="s">
        <v>2690</v>
      </c>
      <c r="G43" s="272" t="s">
        <v>2720</v>
      </c>
      <c r="H43" s="263" t="s">
        <v>164</v>
      </c>
      <c r="I43" s="273" t="s">
        <v>1249</v>
      </c>
      <c r="J43" s="274" t="s">
        <v>159</v>
      </c>
      <c r="K43" s="274" t="s">
        <v>137</v>
      </c>
      <c r="L43" s="275" t="s">
        <v>71</v>
      </c>
      <c r="M43" s="275" t="s">
        <v>72</v>
      </c>
      <c r="N43" s="276" t="s">
        <v>117</v>
      </c>
      <c r="O43" s="277">
        <v>140200</v>
      </c>
      <c r="P43" s="277">
        <v>140200</v>
      </c>
      <c r="Q43" s="265">
        <v>42489</v>
      </c>
      <c r="R43" s="265">
        <v>42853</v>
      </c>
      <c r="S43" s="265">
        <v>46141</v>
      </c>
      <c r="T43" s="52">
        <f t="shared" si="18"/>
        <v>10.005479452054795</v>
      </c>
      <c r="U43" s="278">
        <v>0.08</v>
      </c>
      <c r="V43" s="274" t="s">
        <v>73</v>
      </c>
      <c r="W43" s="274" t="s">
        <v>2697</v>
      </c>
      <c r="X43" s="26">
        <f t="shared" ca="1" si="19"/>
        <v>8.3001818656921356E-2</v>
      </c>
      <c r="Y43" s="33">
        <f t="shared" ca="1" si="22"/>
        <v>1.109926533523538</v>
      </c>
      <c r="Z43" s="199">
        <f t="shared" ca="1" si="11"/>
        <v>1</v>
      </c>
      <c r="AA43" s="27">
        <f t="shared" ca="1" si="20"/>
        <v>140150</v>
      </c>
      <c r="AB43" s="27">
        <f t="shared" ca="1" si="12"/>
        <v>17789</v>
      </c>
      <c r="AC43" s="27">
        <f t="shared" ca="1" si="13"/>
        <v>140150</v>
      </c>
      <c r="AD43" s="27">
        <f t="shared" ca="1" si="14"/>
        <v>140150</v>
      </c>
      <c r="AE43" s="27">
        <f t="shared" ca="1" si="15"/>
        <v>15231.7</v>
      </c>
      <c r="AF43" s="203">
        <f t="shared" ca="1" si="16"/>
        <v>0</v>
      </c>
      <c r="AG43" s="279">
        <v>0</v>
      </c>
      <c r="AH43" s="280">
        <v>1428</v>
      </c>
      <c r="AI43" s="280">
        <v>55</v>
      </c>
      <c r="AJ43" s="279">
        <v>761</v>
      </c>
      <c r="AK43" s="279">
        <v>531</v>
      </c>
      <c r="AL43" s="204">
        <f t="shared" ca="1" si="21"/>
        <v>140380</v>
      </c>
      <c r="AM43" s="281">
        <v>0</v>
      </c>
      <c r="AN43" s="282" t="s">
        <v>2701</v>
      </c>
      <c r="AO43" s="283">
        <v>42489</v>
      </c>
      <c r="AP43" s="283">
        <v>42993</v>
      </c>
      <c r="AQ43" s="266" t="s">
        <v>131</v>
      </c>
      <c r="AR43" s="282"/>
      <c r="AS43" s="283"/>
      <c r="AT43" s="283"/>
      <c r="AU43" s="266"/>
      <c r="AV43" s="282"/>
      <c r="AW43" s="283"/>
      <c r="AX43" s="283"/>
      <c r="AY43" s="266"/>
      <c r="AZ43" s="284">
        <v>1</v>
      </c>
      <c r="BA43" s="285" t="s">
        <v>2701</v>
      </c>
      <c r="BB43" s="265">
        <v>42489</v>
      </c>
      <c r="BC43" s="265">
        <v>42993</v>
      </c>
      <c r="BD43" s="266" t="s">
        <v>131</v>
      </c>
      <c r="BE43" s="285"/>
      <c r="BF43" s="265"/>
      <c r="BG43" s="265"/>
      <c r="BH43" s="266"/>
      <c r="BI43" s="285"/>
      <c r="BJ43" s="265"/>
      <c r="BK43" s="265"/>
      <c r="BL43" s="266"/>
      <c r="BM43" s="135">
        <f t="shared" ca="1" si="17"/>
        <v>0</v>
      </c>
      <c r="BN43" s="266">
        <v>1</v>
      </c>
      <c r="BO43" s="286" t="s">
        <v>2072</v>
      </c>
      <c r="BP43" s="287">
        <v>200</v>
      </c>
      <c r="BQ43" s="288">
        <v>200</v>
      </c>
      <c r="BR43" s="289"/>
      <c r="BS43" s="287"/>
      <c r="BT43" s="288"/>
      <c r="BU43" s="289"/>
      <c r="BV43" s="287"/>
      <c r="BW43" s="288"/>
      <c r="BX43" s="290" t="s">
        <v>791</v>
      </c>
      <c r="BY43" s="287">
        <v>40000</v>
      </c>
      <c r="BZ43" s="290" t="s">
        <v>2721</v>
      </c>
      <c r="CA43" s="287">
        <v>20000</v>
      </c>
      <c r="CB43" s="290" t="s">
        <v>2722</v>
      </c>
      <c r="CC43" s="287">
        <v>10000</v>
      </c>
    </row>
    <row r="44" spans="5:81" ht="54">
      <c r="E44" s="260" t="s">
        <v>2960</v>
      </c>
      <c r="F44" s="240" t="s">
        <v>1591</v>
      </c>
      <c r="G44" s="242" t="s">
        <v>2041</v>
      </c>
      <c r="H44" s="240" t="s">
        <v>164</v>
      </c>
      <c r="I44" s="249" t="s">
        <v>180</v>
      </c>
      <c r="J44" s="239" t="s">
        <v>70</v>
      </c>
      <c r="K44" s="239" t="s">
        <v>92</v>
      </c>
      <c r="L44" s="254" t="s">
        <v>71</v>
      </c>
      <c r="M44" s="254" t="s">
        <v>72</v>
      </c>
      <c r="N44" s="246" t="s">
        <v>117</v>
      </c>
      <c r="O44" s="250">
        <v>25300</v>
      </c>
      <c r="P44" s="250">
        <v>25047</v>
      </c>
      <c r="Q44" s="243">
        <v>42521</v>
      </c>
      <c r="R44" s="243">
        <v>43615</v>
      </c>
      <c r="S44" s="243">
        <v>44346</v>
      </c>
      <c r="T44" s="52">
        <f t="shared" si="18"/>
        <v>5</v>
      </c>
      <c r="U44" s="244">
        <v>0.03</v>
      </c>
      <c r="V44" s="239" t="s">
        <v>73</v>
      </c>
      <c r="W44" s="239" t="s">
        <v>2093</v>
      </c>
      <c r="X44" s="26">
        <f t="shared" ca="1" si="19"/>
        <v>0.11052645206451417</v>
      </c>
      <c r="Y44" s="33">
        <f t="shared" ca="1" si="22"/>
        <v>1.0884189723320159</v>
      </c>
      <c r="Z44" s="199">
        <f t="shared" ca="1" si="11"/>
        <v>13</v>
      </c>
      <c r="AA44" s="27">
        <f t="shared" ca="1" si="20"/>
        <v>21891</v>
      </c>
      <c r="AB44" s="27">
        <f t="shared" ca="1" si="12"/>
        <v>565</v>
      </c>
      <c r="AC44" s="27">
        <f t="shared" ca="1" si="13"/>
        <v>21821</v>
      </c>
      <c r="AD44" s="27">
        <f t="shared" ca="1" si="14"/>
        <v>24174</v>
      </c>
      <c r="AE44" s="27">
        <f t="shared" ca="1" si="15"/>
        <v>0</v>
      </c>
      <c r="AF44" s="203">
        <f t="shared" ca="1" si="16"/>
        <v>0</v>
      </c>
      <c r="AG44" s="251">
        <v>0</v>
      </c>
      <c r="AH44" s="252">
        <v>357</v>
      </c>
      <c r="AI44" s="252">
        <v>12</v>
      </c>
      <c r="AJ44" s="251">
        <v>3363</v>
      </c>
      <c r="AK44" s="251">
        <v>0</v>
      </c>
      <c r="AL44" s="204">
        <f t="shared" ca="1" si="21"/>
        <v>27537</v>
      </c>
      <c r="AM44" s="166">
        <v>0</v>
      </c>
      <c r="AN44" s="255" t="s">
        <v>2066</v>
      </c>
      <c r="AO44" s="253">
        <v>42521</v>
      </c>
      <c r="AP44" s="253">
        <v>42993</v>
      </c>
      <c r="AQ44" s="245" t="s">
        <v>131</v>
      </c>
      <c r="AR44" s="255" t="s">
        <v>2062</v>
      </c>
      <c r="AS44" s="253">
        <v>42521</v>
      </c>
      <c r="AT44" s="253">
        <v>42993</v>
      </c>
      <c r="AU44" s="245" t="s">
        <v>131</v>
      </c>
      <c r="AV44" s="255" t="s">
        <v>2071</v>
      </c>
      <c r="AW44" s="253">
        <v>42521</v>
      </c>
      <c r="AX44" s="253">
        <v>42993</v>
      </c>
      <c r="AY44" s="245" t="s">
        <v>131</v>
      </c>
      <c r="AZ44" s="247">
        <v>3</v>
      </c>
      <c r="BA44" s="54" t="s">
        <v>2066</v>
      </c>
      <c r="BB44" s="243">
        <v>42521</v>
      </c>
      <c r="BC44" s="243">
        <v>42993</v>
      </c>
      <c r="BD44" s="245" t="s">
        <v>131</v>
      </c>
      <c r="BE44" s="54" t="s">
        <v>2062</v>
      </c>
      <c r="BF44" s="243">
        <v>42521</v>
      </c>
      <c r="BG44" s="243">
        <v>42993</v>
      </c>
      <c r="BH44" s="245" t="s">
        <v>131</v>
      </c>
      <c r="BI44" s="54" t="s">
        <v>2071</v>
      </c>
      <c r="BJ44" s="243">
        <v>42521</v>
      </c>
      <c r="BK44" s="243">
        <v>42993</v>
      </c>
      <c r="BL44" s="245" t="s">
        <v>131</v>
      </c>
      <c r="BM44" s="135">
        <f t="shared" ca="1" si="17"/>
        <v>0</v>
      </c>
      <c r="BN44" s="245">
        <v>1</v>
      </c>
      <c r="BO44" s="241" t="s">
        <v>2072</v>
      </c>
      <c r="BP44" s="205">
        <v>2600</v>
      </c>
      <c r="BQ44" s="6">
        <v>2600</v>
      </c>
      <c r="BR44" s="155"/>
      <c r="BS44" s="205"/>
      <c r="BT44" s="6"/>
      <c r="BU44" s="155"/>
      <c r="BV44" s="205"/>
      <c r="BW44" s="6"/>
      <c r="BX44" s="156" t="s">
        <v>2084</v>
      </c>
      <c r="BY44" s="205">
        <v>10400</v>
      </c>
      <c r="BZ44" s="156" t="s">
        <v>2626</v>
      </c>
      <c r="CA44" s="205">
        <v>5100</v>
      </c>
      <c r="CB44" s="156" t="s">
        <v>2090</v>
      </c>
      <c r="CC44" s="205">
        <v>4600</v>
      </c>
    </row>
    <row r="45" spans="5:81" ht="54">
      <c r="E45" s="260" t="s">
        <v>2029</v>
      </c>
      <c r="F45" s="240" t="s">
        <v>1591</v>
      </c>
      <c r="G45" s="242" t="s">
        <v>2042</v>
      </c>
      <c r="H45" s="240" t="s">
        <v>164</v>
      </c>
      <c r="I45" s="249" t="s">
        <v>3</v>
      </c>
      <c r="J45" s="239" t="s">
        <v>70</v>
      </c>
      <c r="K45" s="239" t="s">
        <v>92</v>
      </c>
      <c r="L45" s="254" t="s">
        <v>71</v>
      </c>
      <c r="M45" s="254" t="s">
        <v>133</v>
      </c>
      <c r="N45" s="246" t="s">
        <v>117</v>
      </c>
      <c r="O45" s="250">
        <v>75000</v>
      </c>
      <c r="P45" s="250">
        <v>26700</v>
      </c>
      <c r="Q45" s="243">
        <v>42674</v>
      </c>
      <c r="R45" s="243">
        <v>44134</v>
      </c>
      <c r="S45" s="243">
        <v>45229</v>
      </c>
      <c r="T45" s="52">
        <f t="shared" si="18"/>
        <v>7</v>
      </c>
      <c r="U45" s="244">
        <v>7.0000000000000007E-2</v>
      </c>
      <c r="V45" s="239" t="s">
        <v>73</v>
      </c>
      <c r="W45" s="239" t="s">
        <v>2053</v>
      </c>
      <c r="X45" s="26">
        <f t="shared" ca="1" si="19"/>
        <v>-1.9190187193453313E-2</v>
      </c>
      <c r="Y45" s="33">
        <f ca="1">IF( ISBLANK($E45), "", IF(ISNUMBER(O45), (AD45+AE45+AF45+AJ45-AK45)/O45, "N/A")  )</f>
        <v>0.35201333333333334</v>
      </c>
      <c r="Z45" s="199">
        <f t="shared" ca="1" si="11"/>
        <v>13</v>
      </c>
      <c r="AA45" s="27">
        <f t="shared" ca="1" si="20"/>
        <v>25258</v>
      </c>
      <c r="AB45" s="27">
        <f t="shared" ca="1" si="12"/>
        <v>0</v>
      </c>
      <c r="AC45" s="27">
        <f t="shared" ca="1" si="13"/>
        <v>25258</v>
      </c>
      <c r="AD45" s="27">
        <f t="shared" ca="1" si="14"/>
        <v>25968</v>
      </c>
      <c r="AE45" s="27">
        <f t="shared" ca="1" si="15"/>
        <v>0</v>
      </c>
      <c r="AF45" s="203">
        <f t="shared" ca="1" si="16"/>
        <v>0</v>
      </c>
      <c r="AG45" s="251">
        <v>0</v>
      </c>
      <c r="AH45" s="252">
        <v>1004</v>
      </c>
      <c r="AI45" s="252">
        <v>14</v>
      </c>
      <c r="AJ45" s="251">
        <v>434</v>
      </c>
      <c r="AK45" s="251">
        <v>1</v>
      </c>
      <c r="AL45" s="204">
        <f t="shared" ca="1" si="21"/>
        <v>26401</v>
      </c>
      <c r="AM45" s="379">
        <v>34742</v>
      </c>
      <c r="AN45" s="255" t="s">
        <v>2058</v>
      </c>
      <c r="AO45" s="253">
        <v>42674</v>
      </c>
      <c r="AP45" s="253">
        <v>42993</v>
      </c>
      <c r="AQ45" s="245" t="s">
        <v>131</v>
      </c>
      <c r="AR45" s="255" t="s">
        <v>2067</v>
      </c>
      <c r="AS45" s="253">
        <v>42674</v>
      </c>
      <c r="AT45" s="253">
        <v>42993</v>
      </c>
      <c r="AU45" s="245" t="s">
        <v>131</v>
      </c>
      <c r="AV45" s="255" t="s">
        <v>2071</v>
      </c>
      <c r="AW45" s="253">
        <v>42674</v>
      </c>
      <c r="AX45" s="253">
        <v>42993</v>
      </c>
      <c r="AY45" s="245" t="s">
        <v>131</v>
      </c>
      <c r="AZ45" s="247">
        <v>4</v>
      </c>
      <c r="BA45" s="54" t="s">
        <v>2058</v>
      </c>
      <c r="BB45" s="243">
        <v>42674</v>
      </c>
      <c r="BC45" s="243">
        <v>42993</v>
      </c>
      <c r="BD45" s="245" t="s">
        <v>131</v>
      </c>
      <c r="BE45" s="54" t="s">
        <v>2062</v>
      </c>
      <c r="BF45" s="243">
        <v>42674</v>
      </c>
      <c r="BG45" s="243">
        <v>42993</v>
      </c>
      <c r="BH45" s="245" t="s">
        <v>131</v>
      </c>
      <c r="BI45" s="54" t="s">
        <v>2067</v>
      </c>
      <c r="BJ45" s="243">
        <v>42674</v>
      </c>
      <c r="BK45" s="243">
        <v>42993</v>
      </c>
      <c r="BL45" s="245" t="s">
        <v>131</v>
      </c>
      <c r="BM45" s="135">
        <f t="shared" ca="1" si="17"/>
        <v>0</v>
      </c>
      <c r="BN45" s="245">
        <v>1</v>
      </c>
      <c r="BO45" s="241" t="s">
        <v>2072</v>
      </c>
      <c r="BP45" s="205">
        <v>10000</v>
      </c>
      <c r="BQ45" s="6">
        <v>8000</v>
      </c>
      <c r="BR45" s="155"/>
      <c r="BS45" s="205"/>
      <c r="BT45" s="6"/>
      <c r="BU45" s="155"/>
      <c r="BV45" s="205"/>
      <c r="BW45" s="6"/>
      <c r="BX45" s="156" t="s">
        <v>2080</v>
      </c>
      <c r="BY45" s="205">
        <v>18000</v>
      </c>
      <c r="BZ45" s="156" t="s">
        <v>2083</v>
      </c>
      <c r="CA45" s="205">
        <v>15000</v>
      </c>
      <c r="CB45" s="156" t="s">
        <v>2091</v>
      </c>
      <c r="CC45" s="205">
        <v>15000</v>
      </c>
    </row>
    <row r="46" spans="5:81" ht="27">
      <c r="E46" s="271" t="s">
        <v>2783</v>
      </c>
      <c r="F46" s="263" t="s">
        <v>2690</v>
      </c>
      <c r="G46" s="272" t="s">
        <v>2784</v>
      </c>
      <c r="H46" s="263" t="s">
        <v>164</v>
      </c>
      <c r="I46" s="273" t="s">
        <v>1249</v>
      </c>
      <c r="J46" s="274" t="s">
        <v>70</v>
      </c>
      <c r="K46" s="274" t="s">
        <v>2785</v>
      </c>
      <c r="L46" s="275" t="s">
        <v>71</v>
      </c>
      <c r="M46" s="275" t="s">
        <v>72</v>
      </c>
      <c r="N46" s="276" t="s">
        <v>131</v>
      </c>
      <c r="O46" s="277">
        <v>153500</v>
      </c>
      <c r="P46" s="277">
        <v>95993</v>
      </c>
      <c r="Q46" s="265">
        <v>42677</v>
      </c>
      <c r="R46" s="265">
        <v>43407</v>
      </c>
      <c r="S46" s="265">
        <v>44592</v>
      </c>
      <c r="T46" s="52">
        <f t="shared" si="18"/>
        <v>5.2465753424657535</v>
      </c>
      <c r="U46" s="278">
        <v>0.08</v>
      </c>
      <c r="V46" s="274" t="s">
        <v>73</v>
      </c>
      <c r="W46" s="274" t="s">
        <v>2782</v>
      </c>
      <c r="X46" s="26">
        <f t="shared" ca="1" si="19"/>
        <v>-4.3457460403442394E-3</v>
      </c>
      <c r="Y46" s="33">
        <f t="shared" ca="1" si="22"/>
        <v>0.62360260586319216</v>
      </c>
      <c r="Z46" s="199">
        <f t="shared" ca="1" si="11"/>
        <v>4</v>
      </c>
      <c r="AA46" s="27">
        <f t="shared" ca="1" si="20"/>
        <v>95930</v>
      </c>
      <c r="AB46" s="27">
        <f t="shared" ca="1" si="12"/>
        <v>267</v>
      </c>
      <c r="AC46" s="27">
        <f t="shared" ca="1" si="13"/>
        <v>95930</v>
      </c>
      <c r="AD46" s="27">
        <f t="shared" ca="1" si="14"/>
        <v>95930</v>
      </c>
      <c r="AE46" s="27">
        <f t="shared" ca="1" si="15"/>
        <v>0</v>
      </c>
      <c r="AF46" s="203">
        <f t="shared" ca="1" si="16"/>
        <v>0</v>
      </c>
      <c r="AG46" s="279">
        <v>0</v>
      </c>
      <c r="AH46" s="280">
        <v>207</v>
      </c>
      <c r="AI46" s="280">
        <v>128</v>
      </c>
      <c r="AJ46" s="279">
        <v>4</v>
      </c>
      <c r="AK46" s="279">
        <v>211</v>
      </c>
      <c r="AL46" s="204">
        <f t="shared" ca="1" si="21"/>
        <v>95723</v>
      </c>
      <c r="AM46" s="281">
        <v>57571</v>
      </c>
      <c r="AN46" s="282" t="s">
        <v>2060</v>
      </c>
      <c r="AO46" s="283">
        <v>42677</v>
      </c>
      <c r="AP46" s="283">
        <v>42993</v>
      </c>
      <c r="AQ46" s="266" t="s">
        <v>131</v>
      </c>
      <c r="AR46" s="282" t="s">
        <v>2965</v>
      </c>
      <c r="AS46" s="283">
        <v>42677</v>
      </c>
      <c r="AT46" s="283">
        <v>42993</v>
      </c>
      <c r="AU46" s="266" t="s">
        <v>131</v>
      </c>
      <c r="AV46" s="282" t="s">
        <v>2963</v>
      </c>
      <c r="AW46" s="283">
        <v>42677</v>
      </c>
      <c r="AX46" s="283">
        <v>42993</v>
      </c>
      <c r="AY46" s="266" t="s">
        <v>131</v>
      </c>
      <c r="AZ46" s="284">
        <v>3</v>
      </c>
      <c r="BA46" s="291" t="s">
        <v>2060</v>
      </c>
      <c r="BB46" s="292">
        <v>42677</v>
      </c>
      <c r="BC46" s="292">
        <v>42993</v>
      </c>
      <c r="BD46" s="266" t="s">
        <v>131</v>
      </c>
      <c r="BE46" s="291" t="s">
        <v>2062</v>
      </c>
      <c r="BF46" s="292">
        <v>42677</v>
      </c>
      <c r="BG46" s="292">
        <v>42993</v>
      </c>
      <c r="BH46" s="266" t="s">
        <v>131</v>
      </c>
      <c r="BI46" s="291" t="s">
        <v>2070</v>
      </c>
      <c r="BJ46" s="292">
        <v>42677</v>
      </c>
      <c r="BK46" s="292">
        <v>42993</v>
      </c>
      <c r="BL46" s="266" t="s">
        <v>131</v>
      </c>
      <c r="BM46" s="135">
        <f t="shared" ca="1" si="17"/>
        <v>0</v>
      </c>
      <c r="BN46" s="266">
        <v>1</v>
      </c>
      <c r="BO46" s="286" t="s">
        <v>2072</v>
      </c>
      <c r="BP46" s="287">
        <v>3100</v>
      </c>
      <c r="BQ46" s="288"/>
      <c r="BR46" s="289"/>
      <c r="BS46" s="287"/>
      <c r="BT46" s="288"/>
      <c r="BU46" s="289"/>
      <c r="BV46" s="287"/>
      <c r="BW46" s="288"/>
      <c r="BX46" s="290" t="s">
        <v>1110</v>
      </c>
      <c r="BY46" s="287">
        <v>150000</v>
      </c>
      <c r="BZ46" s="290" t="s">
        <v>2786</v>
      </c>
      <c r="CA46" s="287">
        <v>400</v>
      </c>
      <c r="CB46" s="290"/>
      <c r="CC46" s="287"/>
    </row>
    <row r="47" spans="5:81" ht="54">
      <c r="E47" s="271" t="s">
        <v>2723</v>
      </c>
      <c r="F47" s="263" t="s">
        <v>2690</v>
      </c>
      <c r="G47" s="272" t="s">
        <v>2724</v>
      </c>
      <c r="H47" s="263" t="s">
        <v>164</v>
      </c>
      <c r="I47" s="273" t="s">
        <v>1249</v>
      </c>
      <c r="J47" s="274" t="s">
        <v>159</v>
      </c>
      <c r="K47" s="274" t="s">
        <v>137</v>
      </c>
      <c r="L47" s="275" t="s">
        <v>115</v>
      </c>
      <c r="M47" s="275" t="s">
        <v>133</v>
      </c>
      <c r="N47" s="276" t="s">
        <v>117</v>
      </c>
      <c r="O47" s="277">
        <v>11358</v>
      </c>
      <c r="P47" s="277">
        <v>11358</v>
      </c>
      <c r="Q47" s="265">
        <v>42703</v>
      </c>
      <c r="R47" s="265">
        <v>42883</v>
      </c>
      <c r="S47" s="265">
        <v>47086</v>
      </c>
      <c r="T47" s="52">
        <f t="shared" si="18"/>
        <v>12.008219178082191</v>
      </c>
      <c r="U47" s="278">
        <v>7.0000000000000007E-2</v>
      </c>
      <c r="V47" s="274" t="s">
        <v>2725</v>
      </c>
      <c r="W47" s="274" t="s">
        <v>2726</v>
      </c>
      <c r="X47" s="26">
        <f t="shared" ca="1" si="19"/>
        <v>6.7906193733215325E-2</v>
      </c>
      <c r="Y47" s="33">
        <f t="shared" ca="1" si="22"/>
        <v>1.0503189064095793</v>
      </c>
      <c r="Z47" s="199">
        <f t="shared" ca="1" si="11"/>
        <v>1</v>
      </c>
      <c r="AA47" s="27">
        <f t="shared" ca="1" si="20"/>
        <v>11502</v>
      </c>
      <c r="AB47" s="27">
        <f t="shared" ca="1" si="12"/>
        <v>128</v>
      </c>
      <c r="AC47" s="27">
        <f t="shared" ca="1" si="13"/>
        <v>11502</v>
      </c>
      <c r="AD47" s="27">
        <f t="shared" ca="1" si="14"/>
        <v>11502</v>
      </c>
      <c r="AE47" s="27">
        <f t="shared" ca="1" si="15"/>
        <v>94.522138999999996</v>
      </c>
      <c r="AF47" s="203">
        <f t="shared" ca="1" si="16"/>
        <v>0</v>
      </c>
      <c r="AG47" s="279">
        <v>0</v>
      </c>
      <c r="AH47" s="280">
        <v>24</v>
      </c>
      <c r="AI47" s="280">
        <v>10</v>
      </c>
      <c r="AJ47" s="279">
        <v>333</v>
      </c>
      <c r="AK47" s="279"/>
      <c r="AL47" s="204">
        <f t="shared" ca="1" si="21"/>
        <v>11835</v>
      </c>
      <c r="AM47" s="281">
        <v>0</v>
      </c>
      <c r="AN47" s="282" t="s">
        <v>2727</v>
      </c>
      <c r="AO47" s="283">
        <v>42703</v>
      </c>
      <c r="AP47" s="283">
        <v>42993</v>
      </c>
      <c r="AQ47" s="266" t="s">
        <v>131</v>
      </c>
      <c r="AR47" s="282"/>
      <c r="AS47" s="283"/>
      <c r="AT47" s="283"/>
      <c r="AU47" s="266"/>
      <c r="AV47" s="282"/>
      <c r="AW47" s="283"/>
      <c r="AX47" s="283"/>
      <c r="AY47" s="266"/>
      <c r="AZ47" s="284">
        <v>1</v>
      </c>
      <c r="BA47" s="291" t="s">
        <v>2727</v>
      </c>
      <c r="BB47" s="292">
        <v>42703</v>
      </c>
      <c r="BC47" s="292">
        <v>42993</v>
      </c>
      <c r="BD47" s="266" t="s">
        <v>131</v>
      </c>
      <c r="BE47" s="291"/>
      <c r="BF47" s="292"/>
      <c r="BG47" s="292"/>
      <c r="BH47" s="266"/>
      <c r="BI47" s="291"/>
      <c r="BJ47" s="292"/>
      <c r="BK47" s="292"/>
      <c r="BL47" s="266"/>
      <c r="BM47" s="135">
        <f t="shared" ca="1" si="17"/>
        <v>0</v>
      </c>
      <c r="BN47" s="266">
        <v>1</v>
      </c>
      <c r="BO47" s="286" t="s">
        <v>2072</v>
      </c>
      <c r="BP47" s="287">
        <v>2337</v>
      </c>
      <c r="BQ47" s="288"/>
      <c r="BR47" s="289"/>
      <c r="BS47" s="287"/>
      <c r="BT47" s="288"/>
      <c r="BU47" s="289"/>
      <c r="BV47" s="287"/>
      <c r="BW47" s="288"/>
      <c r="BX47" s="290" t="s">
        <v>2084</v>
      </c>
      <c r="BY47" s="287">
        <v>6685</v>
      </c>
      <c r="BZ47" s="290" t="s">
        <v>2728</v>
      </c>
      <c r="CA47" s="287">
        <v>1168</v>
      </c>
      <c r="CB47" s="290" t="s">
        <v>2729</v>
      </c>
      <c r="CC47" s="287">
        <v>1168</v>
      </c>
    </row>
    <row r="48" spans="5:81" ht="27">
      <c r="E48" s="271" t="s">
        <v>2730</v>
      </c>
      <c r="F48" s="263" t="s">
        <v>2690</v>
      </c>
      <c r="G48" s="272" t="s">
        <v>2731</v>
      </c>
      <c r="H48" s="263" t="s">
        <v>164</v>
      </c>
      <c r="I48" s="273" t="s">
        <v>1249</v>
      </c>
      <c r="J48" s="274" t="s">
        <v>159</v>
      </c>
      <c r="K48" s="274" t="s">
        <v>137</v>
      </c>
      <c r="L48" s="275" t="s">
        <v>115</v>
      </c>
      <c r="M48" s="275" t="s">
        <v>72</v>
      </c>
      <c r="N48" s="276" t="s">
        <v>117</v>
      </c>
      <c r="O48" s="277">
        <v>112205</v>
      </c>
      <c r="P48" s="277">
        <v>112205</v>
      </c>
      <c r="Q48" s="265">
        <v>42705</v>
      </c>
      <c r="R48" s="265">
        <v>42886</v>
      </c>
      <c r="S48" s="265">
        <v>47088</v>
      </c>
      <c r="T48" s="52">
        <f t="shared" si="18"/>
        <v>12.008219178082191</v>
      </c>
      <c r="U48" s="278">
        <v>0.15</v>
      </c>
      <c r="V48" s="274" t="s">
        <v>2732</v>
      </c>
      <c r="W48" s="274" t="s">
        <v>2733</v>
      </c>
      <c r="X48" s="26">
        <f t="shared" ca="1" si="19"/>
        <v>0.160966362953186</v>
      </c>
      <c r="Y48" s="33">
        <f t="shared" ca="1" si="22"/>
        <v>1.1113280474399536</v>
      </c>
      <c r="Z48" s="199">
        <f t="shared" ca="1" si="11"/>
        <v>1</v>
      </c>
      <c r="AA48" s="27">
        <f t="shared" ca="1" si="20"/>
        <v>112205</v>
      </c>
      <c r="AB48" s="27">
        <f t="shared" ca="1" si="12"/>
        <v>6260</v>
      </c>
      <c r="AC48" s="27">
        <f t="shared" ca="1" si="13"/>
        <v>112205</v>
      </c>
      <c r="AD48" s="27">
        <f t="shared" ca="1" si="14"/>
        <v>112205</v>
      </c>
      <c r="AE48" s="27">
        <f t="shared" ca="1" si="15"/>
        <v>12491.563563</v>
      </c>
      <c r="AF48" s="203">
        <f t="shared" ca="1" si="16"/>
        <v>0</v>
      </c>
      <c r="AG48" s="279">
        <v>0</v>
      </c>
      <c r="AH48" s="280">
        <v>230</v>
      </c>
      <c r="AI48" s="280">
        <v>130</v>
      </c>
      <c r="AJ48" s="279"/>
      <c r="AK48" s="279"/>
      <c r="AL48" s="204">
        <f t="shared" ca="1" si="21"/>
        <v>112205</v>
      </c>
      <c r="AM48" s="281">
        <v>0</v>
      </c>
      <c r="AN48" s="282" t="s">
        <v>2727</v>
      </c>
      <c r="AO48" s="283">
        <v>42705</v>
      </c>
      <c r="AP48" s="283">
        <v>42993</v>
      </c>
      <c r="AQ48" s="266" t="s">
        <v>131</v>
      </c>
      <c r="AR48" s="282"/>
      <c r="AS48" s="283"/>
      <c r="AT48" s="283"/>
      <c r="AU48" s="266"/>
      <c r="AV48" s="282"/>
      <c r="AW48" s="283"/>
      <c r="AX48" s="283"/>
      <c r="AY48" s="266"/>
      <c r="AZ48" s="284">
        <v>1</v>
      </c>
      <c r="BA48" s="291" t="s">
        <v>2727</v>
      </c>
      <c r="BB48" s="292">
        <v>42705</v>
      </c>
      <c r="BC48" s="292">
        <v>42993</v>
      </c>
      <c r="BD48" s="266" t="s">
        <v>131</v>
      </c>
      <c r="BE48" s="291"/>
      <c r="BF48" s="292"/>
      <c r="BG48" s="292"/>
      <c r="BH48" s="266"/>
      <c r="BI48" s="291"/>
      <c r="BJ48" s="292"/>
      <c r="BK48" s="292"/>
      <c r="BL48" s="266"/>
      <c r="BM48" s="135">
        <f t="shared" ca="1" si="17"/>
        <v>0</v>
      </c>
      <c r="BN48" s="266">
        <v>1</v>
      </c>
      <c r="BO48" s="286" t="s">
        <v>2072</v>
      </c>
      <c r="BP48" s="287">
        <v>100</v>
      </c>
      <c r="BQ48" s="288"/>
      <c r="BR48" s="289"/>
      <c r="BS48" s="287"/>
      <c r="BT48" s="288"/>
      <c r="BU48" s="289"/>
      <c r="BV48" s="287"/>
      <c r="BW48" s="288"/>
      <c r="BX48" s="290" t="s">
        <v>2702</v>
      </c>
      <c r="BY48" s="287">
        <v>79105</v>
      </c>
      <c r="BZ48" s="290" t="s">
        <v>2734</v>
      </c>
      <c r="CA48" s="287">
        <v>30000</v>
      </c>
      <c r="CB48" s="290" t="s">
        <v>2735</v>
      </c>
      <c r="CC48" s="287">
        <v>3000</v>
      </c>
    </row>
    <row r="49" spans="5:81" ht="54">
      <c r="E49" s="271" t="s">
        <v>2736</v>
      </c>
      <c r="F49" s="263" t="s">
        <v>2690</v>
      </c>
      <c r="G49" s="272" t="s">
        <v>2737</v>
      </c>
      <c r="H49" s="263" t="s">
        <v>164</v>
      </c>
      <c r="I49" s="273" t="s">
        <v>1249</v>
      </c>
      <c r="J49" s="274" t="s">
        <v>159</v>
      </c>
      <c r="K49" s="274" t="s">
        <v>137</v>
      </c>
      <c r="L49" s="275" t="s">
        <v>71</v>
      </c>
      <c r="M49" s="275" t="s">
        <v>133</v>
      </c>
      <c r="N49" s="276" t="s">
        <v>117</v>
      </c>
      <c r="O49" s="277">
        <v>135200</v>
      </c>
      <c r="P49" s="277">
        <v>135200</v>
      </c>
      <c r="Q49" s="265">
        <v>42717</v>
      </c>
      <c r="R49" s="265">
        <v>43081</v>
      </c>
      <c r="S49" s="265">
        <v>46368</v>
      </c>
      <c r="T49" s="52">
        <f t="shared" si="18"/>
        <v>10.002739726027396</v>
      </c>
      <c r="U49" s="278">
        <v>0.08</v>
      </c>
      <c r="V49" s="274" t="s">
        <v>73</v>
      </c>
      <c r="W49" s="274" t="s">
        <v>2738</v>
      </c>
      <c r="X49" s="26">
        <f t="shared" ca="1" si="19"/>
        <v>-4.0332269668579114E-3</v>
      </c>
      <c r="Y49" s="33">
        <f t="shared" ca="1" si="22"/>
        <v>0.99847633136094671</v>
      </c>
      <c r="Z49" s="199">
        <f t="shared" ca="1" si="11"/>
        <v>2</v>
      </c>
      <c r="AA49" s="27">
        <f t="shared" ca="1" si="20"/>
        <v>135200</v>
      </c>
      <c r="AB49" s="27">
        <f t="shared" ca="1" si="12"/>
        <v>0</v>
      </c>
      <c r="AC49" s="27">
        <f t="shared" ca="1" si="13"/>
        <v>135200</v>
      </c>
      <c r="AD49" s="27">
        <f t="shared" ca="1" si="14"/>
        <v>135200</v>
      </c>
      <c r="AE49" s="27">
        <f t="shared" ca="1" si="15"/>
        <v>0</v>
      </c>
      <c r="AF49" s="203">
        <f t="shared" ca="1" si="16"/>
        <v>0</v>
      </c>
      <c r="AG49" s="279">
        <v>0</v>
      </c>
      <c r="AH49" s="280">
        <v>184</v>
      </c>
      <c r="AI49" s="280">
        <v>22</v>
      </c>
      <c r="AJ49" s="279">
        <v>192</v>
      </c>
      <c r="AK49" s="279">
        <v>398</v>
      </c>
      <c r="AL49" s="204">
        <f t="shared" ca="1" si="21"/>
        <v>134994</v>
      </c>
      <c r="AM49" s="281">
        <v>0</v>
      </c>
      <c r="AN49" s="282" t="s">
        <v>2739</v>
      </c>
      <c r="AO49" s="283">
        <v>42717</v>
      </c>
      <c r="AP49" s="283">
        <v>42993</v>
      </c>
      <c r="AQ49" s="266" t="s">
        <v>131</v>
      </c>
      <c r="AR49" s="282"/>
      <c r="AS49" s="283"/>
      <c r="AT49" s="283"/>
      <c r="AU49" s="266"/>
      <c r="AV49" s="282"/>
      <c r="AW49" s="283"/>
      <c r="AX49" s="283"/>
      <c r="AY49" s="266"/>
      <c r="AZ49" s="284">
        <v>1</v>
      </c>
      <c r="BA49" s="291" t="s">
        <v>2739</v>
      </c>
      <c r="BB49" s="292">
        <v>42717</v>
      </c>
      <c r="BC49" s="292">
        <v>42993</v>
      </c>
      <c r="BD49" s="266" t="s">
        <v>131</v>
      </c>
      <c r="BE49" s="291" t="s">
        <v>2727</v>
      </c>
      <c r="BF49" s="292">
        <v>42456</v>
      </c>
      <c r="BG49" s="292">
        <v>42993</v>
      </c>
      <c r="BH49" s="266" t="s">
        <v>131</v>
      </c>
      <c r="BI49" s="291" t="s">
        <v>2740</v>
      </c>
      <c r="BJ49" s="292">
        <v>42915</v>
      </c>
      <c r="BK49" s="292">
        <v>42993</v>
      </c>
      <c r="BL49" s="266" t="s">
        <v>131</v>
      </c>
      <c r="BM49" s="135">
        <f t="shared" ca="1" si="17"/>
        <v>0</v>
      </c>
      <c r="BN49" s="266">
        <v>2</v>
      </c>
      <c r="BO49" s="286" t="s">
        <v>2072</v>
      </c>
      <c r="BP49" s="287">
        <v>20428</v>
      </c>
      <c r="BQ49" s="288">
        <v>10000</v>
      </c>
      <c r="BR49" s="289" t="s">
        <v>1110</v>
      </c>
      <c r="BS49" s="287">
        <v>35000</v>
      </c>
      <c r="BT49" s="288">
        <v>5000</v>
      </c>
      <c r="BU49" s="289"/>
      <c r="BV49" s="287"/>
      <c r="BW49" s="288"/>
      <c r="BX49" s="290" t="s">
        <v>761</v>
      </c>
      <c r="BY49" s="287">
        <v>30000</v>
      </c>
      <c r="BZ49" s="290" t="s">
        <v>2708</v>
      </c>
      <c r="CA49" s="287">
        <v>15200</v>
      </c>
      <c r="CB49" s="290" t="s">
        <v>2741</v>
      </c>
      <c r="CC49" s="287">
        <v>15000</v>
      </c>
    </row>
    <row r="50" spans="5:81" ht="49.5" customHeight="1">
      <c r="E50" s="260" t="s">
        <v>2337</v>
      </c>
      <c r="F50" s="240" t="s">
        <v>1591</v>
      </c>
      <c r="G50" s="242" t="s">
        <v>2092</v>
      </c>
      <c r="H50" s="240" t="s">
        <v>164</v>
      </c>
      <c r="I50" s="249" t="s">
        <v>180</v>
      </c>
      <c r="J50" s="239" t="s">
        <v>70</v>
      </c>
      <c r="K50" s="239" t="s">
        <v>92</v>
      </c>
      <c r="L50" s="254" t="s">
        <v>71</v>
      </c>
      <c r="M50" s="254" t="s">
        <v>72</v>
      </c>
      <c r="N50" s="246" t="s">
        <v>117</v>
      </c>
      <c r="O50" s="250">
        <v>16300</v>
      </c>
      <c r="P50" s="250">
        <v>1630</v>
      </c>
      <c r="Q50" s="243">
        <v>42915</v>
      </c>
      <c r="R50" s="243">
        <v>44010</v>
      </c>
      <c r="S50" s="243">
        <v>44740</v>
      </c>
      <c r="T50" s="52">
        <f t="shared" si="18"/>
        <v>5</v>
      </c>
      <c r="U50" s="244">
        <v>0.03</v>
      </c>
      <c r="V50" s="239" t="s">
        <v>73</v>
      </c>
      <c r="W50" s="239" t="s">
        <v>2093</v>
      </c>
      <c r="X50" s="26">
        <f t="shared" ca="1" si="19"/>
        <v>-3.0486536026000976E-3</v>
      </c>
      <c r="Y50" s="33">
        <f ca="1">IF( ISBLANK($E50), "", IF(ISNUMBER(O50), (AD50+AE50+AF50+AJ50-AK50)/O50, "N/A")  )</f>
        <v>9.9938650306748464E-2</v>
      </c>
      <c r="Z50" s="199">
        <f t="shared" ca="1" si="11"/>
        <v>0</v>
      </c>
      <c r="AA50" s="27">
        <f t="shared" ca="1" si="20"/>
        <v>0</v>
      </c>
      <c r="AB50" s="27">
        <f t="shared" ca="1" si="12"/>
        <v>0</v>
      </c>
      <c r="AC50" s="27">
        <f t="shared" ca="1" si="13"/>
        <v>0</v>
      </c>
      <c r="AD50" s="27">
        <f t="shared" ca="1" si="14"/>
        <v>0</v>
      </c>
      <c r="AE50" s="27">
        <f t="shared" ca="1" si="15"/>
        <v>0</v>
      </c>
      <c r="AF50" s="203">
        <f t="shared" ca="1" si="16"/>
        <v>0</v>
      </c>
      <c r="AG50" s="251">
        <v>0</v>
      </c>
      <c r="AH50" s="252">
        <v>1</v>
      </c>
      <c r="AI50" s="252">
        <v>0</v>
      </c>
      <c r="AJ50" s="251">
        <v>1629</v>
      </c>
      <c r="AK50" s="251">
        <v>0</v>
      </c>
      <c r="AL50" s="204">
        <f t="shared" ca="1" si="21"/>
        <v>1629</v>
      </c>
      <c r="AM50" s="379">
        <v>13040</v>
      </c>
      <c r="AN50" s="255" t="s">
        <v>2094</v>
      </c>
      <c r="AO50" s="253">
        <v>42915</v>
      </c>
      <c r="AP50" s="253">
        <v>42993</v>
      </c>
      <c r="AQ50" s="245" t="s">
        <v>131</v>
      </c>
      <c r="AR50" s="255" t="s">
        <v>2095</v>
      </c>
      <c r="AS50" s="253">
        <v>42915</v>
      </c>
      <c r="AT50" s="253">
        <v>42993</v>
      </c>
      <c r="AU50" s="245" t="s">
        <v>131</v>
      </c>
      <c r="AV50" s="255" t="s">
        <v>2096</v>
      </c>
      <c r="AW50" s="253">
        <v>42915</v>
      </c>
      <c r="AX50" s="253">
        <v>42993</v>
      </c>
      <c r="AY50" s="245" t="s">
        <v>131</v>
      </c>
      <c r="AZ50" s="247">
        <v>3</v>
      </c>
      <c r="BA50" s="255" t="s">
        <v>2094</v>
      </c>
      <c r="BB50" s="253">
        <v>42915</v>
      </c>
      <c r="BC50" s="253">
        <v>42993</v>
      </c>
      <c r="BD50" s="245" t="s">
        <v>131</v>
      </c>
      <c r="BE50" s="255" t="s">
        <v>2095</v>
      </c>
      <c r="BF50" s="253">
        <v>42915</v>
      </c>
      <c r="BG50" s="253">
        <v>42993</v>
      </c>
      <c r="BH50" s="245" t="s">
        <v>131</v>
      </c>
      <c r="BI50" s="255" t="s">
        <v>2096</v>
      </c>
      <c r="BJ50" s="253">
        <v>42915</v>
      </c>
      <c r="BK50" s="253">
        <v>42993</v>
      </c>
      <c r="BL50" s="245" t="s">
        <v>131</v>
      </c>
      <c r="BM50" s="135">
        <f t="shared" ca="1" si="17"/>
        <v>0</v>
      </c>
      <c r="BN50" s="245">
        <v>1</v>
      </c>
      <c r="BO50" s="241" t="s">
        <v>2072</v>
      </c>
      <c r="BP50" s="205">
        <v>2400</v>
      </c>
      <c r="BQ50" s="6">
        <v>2400</v>
      </c>
      <c r="BR50" s="155"/>
      <c r="BS50" s="205"/>
      <c r="BT50" s="6"/>
      <c r="BU50" s="155"/>
      <c r="BV50" s="205"/>
      <c r="BW50" s="6"/>
      <c r="BX50" s="156" t="s">
        <v>2097</v>
      </c>
      <c r="BY50" s="205">
        <v>10100</v>
      </c>
      <c r="BZ50" s="156" t="s">
        <v>2098</v>
      </c>
      <c r="CA50" s="205">
        <v>1800</v>
      </c>
      <c r="CB50" s="156" t="s">
        <v>2627</v>
      </c>
      <c r="CC50" s="205">
        <v>1000</v>
      </c>
    </row>
    <row r="51" spans="5:81" ht="27">
      <c r="E51" s="248" t="s">
        <v>2787</v>
      </c>
      <c r="F51" s="240" t="s">
        <v>2690</v>
      </c>
      <c r="G51" s="242" t="s">
        <v>2788</v>
      </c>
      <c r="H51" s="240" t="s">
        <v>164</v>
      </c>
      <c r="I51" s="249" t="s">
        <v>1249</v>
      </c>
      <c r="J51" s="239" t="s">
        <v>159</v>
      </c>
      <c r="K51" s="239" t="s">
        <v>137</v>
      </c>
      <c r="L51" s="254" t="s">
        <v>71</v>
      </c>
      <c r="M51" s="254" t="s">
        <v>72</v>
      </c>
      <c r="N51" s="246" t="s">
        <v>117</v>
      </c>
      <c r="O51" s="250">
        <v>10000</v>
      </c>
      <c r="P51" s="250">
        <v>6000</v>
      </c>
      <c r="Q51" s="243">
        <v>42965</v>
      </c>
      <c r="R51" s="243">
        <v>44060</v>
      </c>
      <c r="S51" s="243">
        <v>46617</v>
      </c>
      <c r="T51" s="52">
        <f t="shared" si="18"/>
        <v>10.005479452054795</v>
      </c>
      <c r="U51" s="244">
        <v>7.0000000000000007E-2</v>
      </c>
      <c r="V51" s="239" t="s">
        <v>73</v>
      </c>
      <c r="W51" s="239" t="s">
        <v>2707</v>
      </c>
      <c r="X51" s="26">
        <f t="shared" ca="1" si="19"/>
        <v>-4.7683715820312501E-9</v>
      </c>
      <c r="Y51" s="33">
        <f ca="1">IF( ISBLANK($E51), "", IF(ISNUMBER(O51), (AD51+AE51+AF51+AJ51-AK51)/O51, "N/A")  )</f>
        <v>0.6</v>
      </c>
      <c r="Z51" s="199">
        <f t="shared" ca="1" si="11"/>
        <v>1</v>
      </c>
      <c r="AA51" s="27">
        <f t="shared" ca="1" si="20"/>
        <v>6000</v>
      </c>
      <c r="AB51" s="27">
        <f t="shared" ca="1" si="12"/>
        <v>0</v>
      </c>
      <c r="AC51" s="27">
        <f t="shared" ca="1" si="13"/>
        <v>6000</v>
      </c>
      <c r="AD51" s="27">
        <f t="shared" ca="1" si="14"/>
        <v>6000</v>
      </c>
      <c r="AE51" s="27">
        <f t="shared" ca="1" si="15"/>
        <v>0</v>
      </c>
      <c r="AF51" s="203">
        <f t="shared" ca="1" si="16"/>
        <v>0</v>
      </c>
      <c r="AG51" s="251">
        <v>0</v>
      </c>
      <c r="AH51" s="252">
        <v>0</v>
      </c>
      <c r="AI51" s="252">
        <v>0</v>
      </c>
      <c r="AJ51" s="251">
        <v>0</v>
      </c>
      <c r="AK51" s="251">
        <v>0</v>
      </c>
      <c r="AL51" s="204">
        <f t="shared" ca="1" si="21"/>
        <v>6000</v>
      </c>
      <c r="AM51" s="166">
        <v>4000</v>
      </c>
      <c r="AN51" s="363" t="s">
        <v>2068</v>
      </c>
      <c r="AO51" s="253">
        <v>42965</v>
      </c>
      <c r="AP51" s="253">
        <v>42993</v>
      </c>
      <c r="AQ51" s="245" t="s">
        <v>131</v>
      </c>
      <c r="AR51" s="247"/>
      <c r="AS51" s="253"/>
      <c r="AT51" s="253"/>
      <c r="AU51" s="245"/>
      <c r="AV51" s="255"/>
      <c r="AW51" s="253"/>
      <c r="AX51" s="253"/>
      <c r="AY51" s="245"/>
      <c r="AZ51" s="247">
        <v>1</v>
      </c>
      <c r="BA51" s="54" t="s">
        <v>2068</v>
      </c>
      <c r="BB51" s="243">
        <v>42965</v>
      </c>
      <c r="BC51" s="243">
        <v>42993</v>
      </c>
      <c r="BD51" s="245" t="s">
        <v>131</v>
      </c>
      <c r="BE51" s="54"/>
      <c r="BF51" s="243"/>
      <c r="BG51" s="243"/>
      <c r="BH51" s="245"/>
      <c r="BI51" s="54"/>
      <c r="BJ51" s="243"/>
      <c r="BK51" s="243"/>
      <c r="BL51" s="245"/>
      <c r="BM51" s="135">
        <f t="shared" ca="1" si="17"/>
        <v>0</v>
      </c>
      <c r="BN51" s="245">
        <v>1</v>
      </c>
      <c r="BO51" s="241" t="s">
        <v>2072</v>
      </c>
      <c r="BP51" s="205">
        <v>1000</v>
      </c>
      <c r="BQ51" s="6"/>
      <c r="BR51" s="155"/>
      <c r="BS51" s="205"/>
      <c r="BT51" s="6"/>
      <c r="BU51" s="155"/>
      <c r="BV51" s="205"/>
      <c r="BW51" s="6"/>
      <c r="BX51" s="156" t="s">
        <v>2789</v>
      </c>
      <c r="BY51" s="205">
        <v>4500</v>
      </c>
      <c r="BZ51" s="156" t="s">
        <v>2790</v>
      </c>
      <c r="CA51" s="205">
        <v>900</v>
      </c>
      <c r="CB51" s="156" t="s">
        <v>2791</v>
      </c>
      <c r="CC51" s="205">
        <v>900</v>
      </c>
    </row>
    <row r="52" spans="5:81">
      <c r="X52" s="392"/>
    </row>
  </sheetData>
  <mergeCells count="28">
    <mergeCell ref="H4:N4"/>
    <mergeCell ref="E4:G4"/>
    <mergeCell ref="BA4:BD4"/>
    <mergeCell ref="Z4:AB4"/>
    <mergeCell ref="AC4:AD4"/>
    <mergeCell ref="AE4:AI4"/>
    <mergeCell ref="AJ4:AJ5"/>
    <mergeCell ref="AK4:AK5"/>
    <mergeCell ref="AL4:AL5"/>
    <mergeCell ref="AM4:AM5"/>
    <mergeCell ref="AN4:AQ4"/>
    <mergeCell ref="AR4:AU4"/>
    <mergeCell ref="AV4:AY4"/>
    <mergeCell ref="AZ4:AZ5"/>
    <mergeCell ref="O4:P4"/>
    <mergeCell ref="Q4:T4"/>
    <mergeCell ref="U4:W4"/>
    <mergeCell ref="BU4:BW4"/>
    <mergeCell ref="BX4:BY4"/>
    <mergeCell ref="X4:Y4"/>
    <mergeCell ref="BZ4:CA4"/>
    <mergeCell ref="CB4:CC4"/>
    <mergeCell ref="BE4:BH4"/>
    <mergeCell ref="BI4:BL4"/>
    <mergeCell ref="BM4:BM5"/>
    <mergeCell ref="BN4:BN5"/>
    <mergeCell ref="BO4:BQ4"/>
    <mergeCell ref="BR4:BT4"/>
  </mergeCells>
  <phoneticPr fontId="1" type="noConversion"/>
  <dataValidations count="8">
    <dataValidation type="list" allowBlank="1" showInputMessage="1" showErrorMessage="1" sqref="N15:N51 BD15:BD51 AQ15:AQ51 AU15:AU51 AY15:AY51 BL15:BL51 BH15:BH51">
      <formula1>여부</formula1>
    </dataValidation>
    <dataValidation allowBlank="1" showInputMessage="1" showErrorMessage="1" error="연월일을 입력" sqref="I5:N5 AJ4:AM4 BA4:BL5 AV5:AY5 BO4:CC5 AN4:AU5 BM4:BN4 F5:G5 H4:H5 O4:AI5 E4:E5 AV4:AZ4"/>
    <dataValidation type="list" allowBlank="1" showInputMessage="1" showErrorMessage="1" sqref="H15:H51">
      <formula1>펀드상태</formula1>
    </dataValidation>
    <dataValidation type="list" allowBlank="1" showInputMessage="1" showErrorMessage="1" sqref="J15:J51">
      <formula1>펀드유형__투자대상확정여부</formula1>
    </dataValidation>
    <dataValidation type="list" allowBlank="1" showInputMessage="1" showErrorMessage="1" sqref="L15:L51">
      <formula1>투자기업_법인유형</formula1>
    </dataValidation>
    <dataValidation type="list" allowBlank="1" showInputMessage="1" showErrorMessage="1" sqref="M15:M51">
      <formula1>투자유형</formula1>
    </dataValidation>
    <dataValidation type="list" allowBlank="1" showInputMessage="1" showErrorMessage="1" sqref="I11:I51">
      <formula1>펀드법적유형</formula1>
    </dataValidation>
    <dataValidation type="list" allowBlank="1" showInputMessage="1" showErrorMessage="1" sqref="F11:F51">
      <formula1>펀드구분</formula1>
    </dataValidation>
  </dataValidations>
  <pageMargins left="0.7" right="0.7" top="0.75" bottom="0.75" header="0.3" footer="0.3"/>
  <pageSetup paperSize="9" scale="1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E1:AH276"/>
  <sheetViews>
    <sheetView topLeftCell="N4" zoomScale="130" zoomScaleNormal="130" workbookViewId="0">
      <selection activeCell="W23" sqref="W23"/>
    </sheetView>
  </sheetViews>
  <sheetFormatPr defaultRowHeight="13.5"/>
  <cols>
    <col min="1" max="4" width="0" style="1" hidden="1" customWidth="1"/>
    <col min="5" max="5" width="12.75" style="1" customWidth="1"/>
    <col min="6" max="6" width="23.625" style="1" customWidth="1"/>
    <col min="7" max="7" width="18.5" style="1" bestFit="1" customWidth="1"/>
    <col min="8" max="8" width="18.875" style="1" customWidth="1"/>
    <col min="9" max="9" width="18.625" style="1" customWidth="1"/>
    <col min="10" max="10" width="12" style="1" customWidth="1"/>
    <col min="11" max="11" width="19.625" style="1" customWidth="1"/>
    <col min="12" max="13" width="10.625" style="1" customWidth="1"/>
    <col min="14" max="14" width="7.625" style="1" customWidth="1"/>
    <col min="15" max="15" width="8" style="1" customWidth="1"/>
    <col min="16" max="16" width="7.625" style="1" customWidth="1"/>
    <col min="17" max="17" width="22.625" style="1" customWidth="1"/>
    <col min="18" max="18" width="10.625" style="1" customWidth="1"/>
    <col min="19" max="20" width="7.625" style="1" customWidth="1"/>
    <col min="21" max="21" width="10.625" style="1" customWidth="1"/>
    <col min="22" max="22" width="4.625" style="1" customWidth="1"/>
    <col min="23" max="23" width="6" style="1" customWidth="1"/>
    <col min="24" max="24" width="7.25" style="1" customWidth="1"/>
    <col min="25" max="25" width="5.875" style="1" customWidth="1"/>
    <col min="26" max="27" width="7.625" style="1" customWidth="1"/>
    <col min="28" max="28" width="25.625" style="1" customWidth="1"/>
    <col min="29" max="29" width="6.625" style="1" customWidth="1"/>
    <col min="30" max="32" width="18.625" style="1" customWidth="1"/>
    <col min="33" max="33" width="25.875" style="1" customWidth="1"/>
    <col min="34" max="16384" width="9" style="1"/>
  </cols>
  <sheetData>
    <row r="1" spans="5:34" hidden="1"/>
    <row r="2" spans="5:34" ht="18.75" hidden="1" customHeight="1">
      <c r="E2" s="1">
        <v>0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</row>
    <row r="3" spans="5:34" ht="20.25" hidden="1" customHeight="1"/>
    <row r="4" spans="5:34" ht="45.75" customHeight="1">
      <c r="E4" s="525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7"/>
      <c r="R4" s="543" t="s">
        <v>96</v>
      </c>
      <c r="S4" s="544"/>
      <c r="T4" s="544"/>
      <c r="U4" s="544"/>
      <c r="V4" s="545"/>
      <c r="W4" s="520" t="s">
        <v>118</v>
      </c>
      <c r="X4" s="522"/>
      <c r="Y4" s="546" t="s">
        <v>67</v>
      </c>
      <c r="Z4" s="547"/>
      <c r="AA4" s="547"/>
      <c r="AB4" s="547"/>
      <c r="AC4" s="548"/>
      <c r="AD4" s="546" t="s">
        <v>119</v>
      </c>
      <c r="AE4" s="547"/>
      <c r="AF4" s="548"/>
      <c r="AG4" s="523" t="s">
        <v>97</v>
      </c>
    </row>
    <row r="5" spans="5:34" ht="39.75" customHeight="1">
      <c r="E5" s="128" t="s">
        <v>1263</v>
      </c>
      <c r="F5" s="128" t="s">
        <v>0</v>
      </c>
      <c r="G5" s="178" t="s">
        <v>1353</v>
      </c>
      <c r="H5" s="128" t="s">
        <v>1257</v>
      </c>
      <c r="I5" s="185" t="s">
        <v>120</v>
      </c>
      <c r="J5" s="178" t="s">
        <v>98</v>
      </c>
      <c r="K5" s="185" t="s">
        <v>121</v>
      </c>
      <c r="L5" s="57" t="s">
        <v>122</v>
      </c>
      <c r="M5" s="185" t="s">
        <v>197</v>
      </c>
      <c r="N5" s="185" t="s">
        <v>123</v>
      </c>
      <c r="O5" s="178" t="s">
        <v>99</v>
      </c>
      <c r="P5" s="58" t="s">
        <v>100</v>
      </c>
      <c r="Q5" s="128" t="s">
        <v>101</v>
      </c>
      <c r="R5" s="59" t="s">
        <v>102</v>
      </c>
      <c r="S5" s="185" t="s">
        <v>44</v>
      </c>
      <c r="T5" s="185" t="s">
        <v>103</v>
      </c>
      <c r="U5" s="178" t="s">
        <v>104</v>
      </c>
      <c r="V5" s="178" t="s">
        <v>124</v>
      </c>
      <c r="W5" s="185" t="s">
        <v>105</v>
      </c>
      <c r="X5" s="185" t="s">
        <v>125</v>
      </c>
      <c r="Y5" s="185" t="s">
        <v>198</v>
      </c>
      <c r="Z5" s="185" t="s">
        <v>1354</v>
      </c>
      <c r="AA5" s="185" t="s">
        <v>106</v>
      </c>
      <c r="AB5" s="179" t="s">
        <v>1355</v>
      </c>
      <c r="AC5" s="185" t="s">
        <v>107</v>
      </c>
      <c r="AD5" s="185" t="s">
        <v>108</v>
      </c>
      <c r="AE5" s="185" t="s">
        <v>109</v>
      </c>
      <c r="AF5" s="185" t="s">
        <v>110</v>
      </c>
      <c r="AG5" s="524"/>
    </row>
    <row r="6" spans="5:34" hidden="1">
      <c r="F6" s="61"/>
      <c r="G6" s="62"/>
      <c r="H6" s="62"/>
      <c r="I6" s="61"/>
      <c r="J6" s="63"/>
      <c r="K6" s="61"/>
      <c r="L6" s="64"/>
      <c r="M6" s="60"/>
      <c r="N6" s="29"/>
      <c r="O6" s="65"/>
      <c r="P6" s="66"/>
      <c r="Q6" s="29"/>
      <c r="R6" s="67"/>
      <c r="S6" s="29"/>
      <c r="T6" s="29"/>
      <c r="U6" s="68"/>
      <c r="V6" s="29"/>
      <c r="W6" s="29"/>
      <c r="X6" s="29"/>
      <c r="Y6" s="62"/>
      <c r="Z6" s="29"/>
      <c r="AA6" s="29"/>
      <c r="AB6" s="61"/>
      <c r="AC6" s="60"/>
      <c r="AD6" s="60"/>
      <c r="AE6" s="60"/>
      <c r="AF6" s="60"/>
      <c r="AG6" s="61"/>
    </row>
    <row r="7" spans="5:34" hidden="1">
      <c r="F7" s="61"/>
      <c r="G7" s="62"/>
      <c r="H7" s="62"/>
      <c r="I7" s="61"/>
      <c r="J7" s="63"/>
      <c r="K7" s="61"/>
      <c r="L7" s="64"/>
      <c r="M7" s="60"/>
      <c r="N7" s="29"/>
      <c r="O7" s="65"/>
      <c r="P7" s="66"/>
      <c r="Q7" s="29"/>
      <c r="R7" s="67"/>
      <c r="S7" s="29"/>
      <c r="T7" s="29"/>
      <c r="U7" s="68"/>
      <c r="V7" s="29"/>
      <c r="W7" s="29"/>
      <c r="X7" s="29"/>
      <c r="Y7" s="62"/>
      <c r="Z7" s="29"/>
      <c r="AA7" s="29"/>
      <c r="AB7" s="61"/>
      <c r="AC7" s="60"/>
      <c r="AD7" s="60"/>
      <c r="AE7" s="60"/>
      <c r="AF7" s="60"/>
      <c r="AG7" s="61"/>
    </row>
    <row r="8" spans="5:34" hidden="1">
      <c r="F8" s="61"/>
      <c r="G8" s="62"/>
      <c r="H8" s="62"/>
      <c r="I8" s="61"/>
      <c r="J8" s="63"/>
      <c r="K8" s="61"/>
      <c r="L8" s="64"/>
      <c r="M8" s="60"/>
      <c r="N8" s="29"/>
      <c r="O8" s="65"/>
      <c r="P8" s="66"/>
      <c r="Q8" s="29"/>
      <c r="R8" s="67"/>
      <c r="S8" s="29"/>
      <c r="T8" s="29"/>
      <c r="U8" s="68"/>
      <c r="V8" s="29"/>
      <c r="W8" s="29"/>
      <c r="X8" s="29"/>
      <c r="Y8" s="62"/>
      <c r="Z8" s="29"/>
      <c r="AA8" s="29"/>
      <c r="AB8" s="61"/>
      <c r="AC8" s="60"/>
      <c r="AD8" s="60"/>
      <c r="AE8" s="60"/>
      <c r="AF8" s="60"/>
      <c r="AG8" s="61"/>
    </row>
    <row r="9" spans="5:34" hidden="1">
      <c r="F9" s="61"/>
      <c r="G9" s="62"/>
      <c r="H9" s="62"/>
      <c r="I9" s="61"/>
      <c r="J9" s="39"/>
      <c r="K9" s="61"/>
      <c r="L9" s="64"/>
      <c r="M9" s="60"/>
      <c r="N9" s="29"/>
      <c r="O9" s="65"/>
      <c r="P9" s="66"/>
      <c r="Q9" s="29"/>
      <c r="R9" s="67"/>
      <c r="S9" s="29"/>
      <c r="T9" s="29"/>
      <c r="U9" s="68"/>
      <c r="V9" s="29"/>
      <c r="W9" s="29"/>
      <c r="X9" s="29"/>
      <c r="Y9" s="62"/>
      <c r="Z9" s="29"/>
      <c r="AA9" s="29"/>
      <c r="AB9" s="61"/>
      <c r="AC9" s="60"/>
      <c r="AD9" s="60"/>
      <c r="AE9" s="60"/>
      <c r="AF9" s="60"/>
      <c r="AG9" s="61"/>
    </row>
    <row r="10" spans="5:34" hidden="1">
      <c r="F10" s="61"/>
      <c r="G10" s="62"/>
      <c r="H10" s="62"/>
      <c r="I10" s="61"/>
      <c r="J10" s="39"/>
      <c r="K10" s="61"/>
      <c r="L10" s="64"/>
      <c r="M10" s="60"/>
      <c r="N10" s="29"/>
      <c r="O10" s="65"/>
      <c r="P10" s="66"/>
      <c r="Q10" s="29"/>
      <c r="R10" s="67"/>
      <c r="S10" s="29"/>
      <c r="T10" s="29"/>
      <c r="U10" s="68"/>
      <c r="V10" s="29"/>
      <c r="W10" s="29"/>
      <c r="X10" s="29"/>
      <c r="Y10" s="62"/>
      <c r="Z10" s="29"/>
      <c r="AA10" s="29"/>
      <c r="AB10" s="61"/>
      <c r="AC10" s="60"/>
      <c r="AD10" s="60"/>
      <c r="AE10" s="60"/>
      <c r="AF10" s="60"/>
      <c r="AG10" s="61"/>
    </row>
    <row r="11" spans="5:34" ht="27">
      <c r="E11" s="293" t="s">
        <v>1274</v>
      </c>
      <c r="F11" s="274" t="s">
        <v>2937</v>
      </c>
      <c r="G11" s="69" t="str">
        <f t="shared" ref="G11:G105" si="0">IF(ISBLANK($F11),"",VLOOKUP($F11,제안사_펀드현황,3,FALSE))</f>
        <v>220-80-05407</v>
      </c>
      <c r="H11" s="294" t="s">
        <v>1649</v>
      </c>
      <c r="I11" s="274" t="s">
        <v>2940</v>
      </c>
      <c r="J11" s="295" t="s">
        <v>71</v>
      </c>
      <c r="K11" s="274" t="s">
        <v>2941</v>
      </c>
      <c r="L11" s="265">
        <v>39443</v>
      </c>
      <c r="M11" s="263" t="s">
        <v>72</v>
      </c>
      <c r="N11" s="296">
        <v>19980</v>
      </c>
      <c r="O11" s="264" t="s">
        <v>132</v>
      </c>
      <c r="P11" s="297">
        <v>0.316</v>
      </c>
      <c r="Q11" s="298"/>
      <c r="R11" s="299">
        <v>40113</v>
      </c>
      <c r="S11" s="296">
        <v>33063</v>
      </c>
      <c r="T11" s="296">
        <v>19980</v>
      </c>
      <c r="U11" s="300" t="s">
        <v>134</v>
      </c>
      <c r="V11" s="52">
        <f>IF(ISBLANK(R11),"",DATEDIF(L11,R11,"d")/365)</f>
        <v>1.8356164383561644</v>
      </c>
      <c r="W11" s="301"/>
      <c r="X11" s="302"/>
      <c r="Y11" s="301"/>
      <c r="Z11" s="296"/>
      <c r="AA11" s="296"/>
      <c r="AB11" s="274"/>
      <c r="AC11" s="263"/>
      <c r="AD11" s="263" t="s">
        <v>2942</v>
      </c>
      <c r="AE11" s="263" t="s">
        <v>2943</v>
      </c>
      <c r="AF11" s="263" t="s">
        <v>2062</v>
      </c>
      <c r="AG11" s="274"/>
      <c r="AH11" s="256"/>
    </row>
    <row r="12" spans="5:34">
      <c r="E12" s="293" t="s">
        <v>1274</v>
      </c>
      <c r="F12" s="274" t="s">
        <v>2925</v>
      </c>
      <c r="G12" s="69" t="str">
        <f t="shared" si="0"/>
        <v>220-80-05616</v>
      </c>
      <c r="H12" s="294" t="s">
        <v>1649</v>
      </c>
      <c r="I12" s="274" t="s">
        <v>2087</v>
      </c>
      <c r="J12" s="295" t="s">
        <v>71</v>
      </c>
      <c r="K12" s="274" t="s">
        <v>2136</v>
      </c>
      <c r="L12" s="265">
        <v>39583</v>
      </c>
      <c r="M12" s="263" t="s">
        <v>179</v>
      </c>
      <c r="N12" s="296">
        <v>2900</v>
      </c>
      <c r="O12" s="264" t="s">
        <v>132</v>
      </c>
      <c r="P12" s="297">
        <v>2.1110000000000002</v>
      </c>
      <c r="Q12" s="298" t="s">
        <v>1602</v>
      </c>
      <c r="R12" s="299">
        <v>40338</v>
      </c>
      <c r="S12" s="296">
        <v>7094</v>
      </c>
      <c r="T12" s="296">
        <v>2900</v>
      </c>
      <c r="U12" s="300" t="s">
        <v>114</v>
      </c>
      <c r="V12" s="52">
        <f t="shared" ref="V12:V105" si="1">IF(ISBLANK(R12),"",DATEDIF(L12,R12,"d")/365)</f>
        <v>2.0684931506849313</v>
      </c>
      <c r="W12" s="301"/>
      <c r="X12" s="302"/>
      <c r="Y12" s="301"/>
      <c r="Z12" s="296"/>
      <c r="AA12" s="296"/>
      <c r="AB12" s="274"/>
      <c r="AC12" s="263"/>
      <c r="AD12" s="263" t="s">
        <v>2142</v>
      </c>
      <c r="AE12" s="263" t="s">
        <v>2794</v>
      </c>
      <c r="AF12" s="263" t="s">
        <v>2795</v>
      </c>
      <c r="AG12" s="274"/>
      <c r="AH12" s="256"/>
    </row>
    <row r="13" spans="5:34">
      <c r="E13" s="293" t="s">
        <v>1274</v>
      </c>
      <c r="F13" s="274" t="s">
        <v>2925</v>
      </c>
      <c r="G13" s="69" t="str">
        <f t="shared" si="0"/>
        <v>220-80-05616</v>
      </c>
      <c r="H13" s="294" t="s">
        <v>1649</v>
      </c>
      <c r="I13" s="274" t="s">
        <v>2944</v>
      </c>
      <c r="J13" s="295" t="s">
        <v>71</v>
      </c>
      <c r="K13" s="274" t="s">
        <v>2108</v>
      </c>
      <c r="L13" s="265">
        <v>39645</v>
      </c>
      <c r="M13" s="263" t="s">
        <v>179</v>
      </c>
      <c r="N13" s="296">
        <v>1300</v>
      </c>
      <c r="O13" s="264" t="s">
        <v>132</v>
      </c>
      <c r="P13" s="297">
        <v>0.09</v>
      </c>
      <c r="Q13" s="298" t="s">
        <v>1602</v>
      </c>
      <c r="R13" s="299">
        <v>40421</v>
      </c>
      <c r="S13" s="296">
        <v>1539</v>
      </c>
      <c r="T13" s="296">
        <v>1300</v>
      </c>
      <c r="U13" s="300" t="s">
        <v>1617</v>
      </c>
      <c r="V13" s="52">
        <f t="shared" si="1"/>
        <v>2.1260273972602741</v>
      </c>
      <c r="W13" s="301"/>
      <c r="X13" s="302"/>
      <c r="Y13" s="301"/>
      <c r="Z13" s="296"/>
      <c r="AA13" s="296"/>
      <c r="AB13" s="274"/>
      <c r="AC13" s="263"/>
      <c r="AD13" s="263" t="s">
        <v>2142</v>
      </c>
      <c r="AE13" s="263" t="s">
        <v>2794</v>
      </c>
      <c r="AF13" s="263" t="s">
        <v>2795</v>
      </c>
      <c r="AG13" s="274"/>
      <c r="AH13" s="256"/>
    </row>
    <row r="14" spans="5:34">
      <c r="E14" s="293" t="s">
        <v>1274</v>
      </c>
      <c r="F14" s="274" t="s">
        <v>2925</v>
      </c>
      <c r="G14" s="69" t="str">
        <f t="shared" si="0"/>
        <v>220-80-05616</v>
      </c>
      <c r="H14" s="294" t="s">
        <v>1649</v>
      </c>
      <c r="I14" s="274" t="s">
        <v>2813</v>
      </c>
      <c r="J14" s="295" t="s">
        <v>71</v>
      </c>
      <c r="K14" s="274" t="s">
        <v>2136</v>
      </c>
      <c r="L14" s="265">
        <v>39813</v>
      </c>
      <c r="M14" s="263" t="s">
        <v>116</v>
      </c>
      <c r="N14" s="296">
        <v>5000</v>
      </c>
      <c r="O14" s="264" t="s">
        <v>132</v>
      </c>
      <c r="P14" s="297">
        <v>0.152</v>
      </c>
      <c r="Q14" s="298"/>
      <c r="R14" s="299">
        <v>40535</v>
      </c>
      <c r="S14" s="296">
        <v>6021</v>
      </c>
      <c r="T14" s="296">
        <v>5000</v>
      </c>
      <c r="U14" s="300" t="s">
        <v>134</v>
      </c>
      <c r="V14" s="52">
        <f t="shared" si="1"/>
        <v>1.978082191780822</v>
      </c>
      <c r="W14" s="301"/>
      <c r="X14" s="302"/>
      <c r="Y14" s="301"/>
      <c r="Z14" s="296"/>
      <c r="AA14" s="296"/>
      <c r="AB14" s="274"/>
      <c r="AC14" s="263"/>
      <c r="AD14" s="263" t="s">
        <v>2142</v>
      </c>
      <c r="AE14" s="263" t="s">
        <v>2794</v>
      </c>
      <c r="AF14" s="263" t="s">
        <v>2795</v>
      </c>
      <c r="AG14" s="274"/>
      <c r="AH14" s="256"/>
    </row>
    <row r="15" spans="5:34">
      <c r="E15" s="293" t="s">
        <v>1274</v>
      </c>
      <c r="F15" s="274" t="s">
        <v>2925</v>
      </c>
      <c r="G15" s="69" t="str">
        <f t="shared" si="0"/>
        <v>220-80-05616</v>
      </c>
      <c r="H15" s="294" t="s">
        <v>1649</v>
      </c>
      <c r="I15" s="274" t="s">
        <v>2945</v>
      </c>
      <c r="J15" s="295" t="s">
        <v>71</v>
      </c>
      <c r="K15" s="274" t="s">
        <v>137</v>
      </c>
      <c r="L15" s="265">
        <v>39927</v>
      </c>
      <c r="M15" s="263" t="s">
        <v>116</v>
      </c>
      <c r="N15" s="296">
        <v>2400</v>
      </c>
      <c r="O15" s="264" t="s">
        <v>132</v>
      </c>
      <c r="P15" s="297">
        <v>0.13300000000000001</v>
      </c>
      <c r="Q15" s="298" t="s">
        <v>1602</v>
      </c>
      <c r="R15" s="299">
        <v>40227</v>
      </c>
      <c r="S15" s="296">
        <v>2656</v>
      </c>
      <c r="T15" s="296">
        <v>2400</v>
      </c>
      <c r="U15" s="300" t="s">
        <v>1617</v>
      </c>
      <c r="V15" s="52">
        <f t="shared" si="1"/>
        <v>0.82191780821917804</v>
      </c>
      <c r="W15" s="301"/>
      <c r="X15" s="302"/>
      <c r="Y15" s="301"/>
      <c r="Z15" s="296"/>
      <c r="AA15" s="296"/>
      <c r="AB15" s="274"/>
      <c r="AC15" s="263"/>
      <c r="AD15" s="263" t="s">
        <v>2946</v>
      </c>
      <c r="AE15" s="263" t="s">
        <v>2947</v>
      </c>
      <c r="AF15" s="263" t="s">
        <v>2948</v>
      </c>
      <c r="AG15" s="274"/>
      <c r="AH15" s="256"/>
    </row>
    <row r="16" spans="5:34">
      <c r="E16" s="293" t="s">
        <v>1274</v>
      </c>
      <c r="F16" s="274" t="s">
        <v>2925</v>
      </c>
      <c r="G16" s="69" t="str">
        <f t="shared" si="0"/>
        <v>220-80-05616</v>
      </c>
      <c r="H16" s="294" t="s">
        <v>1649</v>
      </c>
      <c r="I16" s="274" t="s">
        <v>2216</v>
      </c>
      <c r="J16" s="295" t="s">
        <v>71</v>
      </c>
      <c r="K16" s="274" t="s">
        <v>2988</v>
      </c>
      <c r="L16" s="265">
        <v>40052</v>
      </c>
      <c r="M16" s="263" t="s">
        <v>133</v>
      </c>
      <c r="N16" s="296">
        <v>300</v>
      </c>
      <c r="O16" s="264" t="s">
        <v>1192</v>
      </c>
      <c r="P16" s="297"/>
      <c r="Q16" s="298" t="s">
        <v>1602</v>
      </c>
      <c r="R16" s="299">
        <v>42977</v>
      </c>
      <c r="S16" s="296">
        <v>2314</v>
      </c>
      <c r="T16" s="296">
        <v>129</v>
      </c>
      <c r="U16" s="300" t="s">
        <v>134</v>
      </c>
      <c r="V16" s="52">
        <f t="shared" si="1"/>
        <v>8.0136986301369859</v>
      </c>
      <c r="W16" s="301" t="s">
        <v>117</v>
      </c>
      <c r="X16" s="302"/>
      <c r="Y16" s="301" t="s">
        <v>117</v>
      </c>
      <c r="Z16" s="296">
        <v>171</v>
      </c>
      <c r="AA16" s="296">
        <v>171</v>
      </c>
      <c r="AB16" s="274" t="s">
        <v>2125</v>
      </c>
      <c r="AC16" s="263" t="s">
        <v>2070</v>
      </c>
      <c r="AD16" s="263" t="s">
        <v>2142</v>
      </c>
      <c r="AE16" s="263" t="s">
        <v>2949</v>
      </c>
      <c r="AF16" s="263" t="s">
        <v>2987</v>
      </c>
      <c r="AG16" s="274" t="s">
        <v>3009</v>
      </c>
      <c r="AH16" s="256"/>
    </row>
    <row r="17" spans="5:34">
      <c r="E17" s="293" t="s">
        <v>1274</v>
      </c>
      <c r="F17" s="274" t="s">
        <v>2925</v>
      </c>
      <c r="G17" s="69" t="str">
        <f t="shared" si="0"/>
        <v>220-80-05616</v>
      </c>
      <c r="H17" s="294" t="s">
        <v>1649</v>
      </c>
      <c r="I17" s="274" t="s">
        <v>2087</v>
      </c>
      <c r="J17" s="295" t="s">
        <v>71</v>
      </c>
      <c r="K17" s="274" t="s">
        <v>2136</v>
      </c>
      <c r="L17" s="265">
        <v>40297</v>
      </c>
      <c r="M17" s="263" t="s">
        <v>72</v>
      </c>
      <c r="N17" s="296">
        <v>1500</v>
      </c>
      <c r="O17" s="264" t="s">
        <v>132</v>
      </c>
      <c r="P17" s="297">
        <v>4.5149999999999997</v>
      </c>
      <c r="Q17" s="298" t="s">
        <v>1602</v>
      </c>
      <c r="R17" s="299">
        <v>41093</v>
      </c>
      <c r="S17" s="296">
        <v>3635</v>
      </c>
      <c r="T17" s="296">
        <v>1500</v>
      </c>
      <c r="U17" s="300" t="s">
        <v>114</v>
      </c>
      <c r="V17" s="52">
        <f t="shared" si="1"/>
        <v>2.1808219178082191</v>
      </c>
      <c r="W17" s="301"/>
      <c r="X17" s="302"/>
      <c r="Y17" s="301"/>
      <c r="Z17" s="296"/>
      <c r="AA17" s="296"/>
      <c r="AB17" s="274"/>
      <c r="AC17" s="263"/>
      <c r="AD17" s="263" t="s">
        <v>2142</v>
      </c>
      <c r="AE17" s="263" t="s">
        <v>2794</v>
      </c>
      <c r="AF17" s="263" t="s">
        <v>2142</v>
      </c>
      <c r="AG17" s="274"/>
      <c r="AH17" s="256"/>
    </row>
    <row r="18" spans="5:34">
      <c r="E18" s="293" t="s">
        <v>1274</v>
      </c>
      <c r="F18" s="274" t="s">
        <v>2925</v>
      </c>
      <c r="G18" s="69" t="str">
        <f t="shared" si="0"/>
        <v>220-80-05616</v>
      </c>
      <c r="H18" s="294" t="s">
        <v>1649</v>
      </c>
      <c r="I18" s="274" t="s">
        <v>2813</v>
      </c>
      <c r="J18" s="295" t="s">
        <v>71</v>
      </c>
      <c r="K18" s="274" t="s">
        <v>2136</v>
      </c>
      <c r="L18" s="265">
        <v>40323</v>
      </c>
      <c r="M18" s="263" t="s">
        <v>179</v>
      </c>
      <c r="N18" s="296">
        <v>6194</v>
      </c>
      <c r="O18" s="264" t="s">
        <v>132</v>
      </c>
      <c r="P18" s="297">
        <v>0.104</v>
      </c>
      <c r="Q18" s="298"/>
      <c r="R18" s="299">
        <v>40535</v>
      </c>
      <c r="S18" s="296">
        <v>6562</v>
      </c>
      <c r="T18" s="296">
        <v>6194</v>
      </c>
      <c r="U18" s="300" t="s">
        <v>134</v>
      </c>
      <c r="V18" s="52">
        <f t="shared" si="1"/>
        <v>0.58082191780821912</v>
      </c>
      <c r="W18" s="301"/>
      <c r="X18" s="302"/>
      <c r="Y18" s="301"/>
      <c r="Z18" s="296"/>
      <c r="AA18" s="296"/>
      <c r="AB18" s="274"/>
      <c r="AC18" s="263"/>
      <c r="AD18" s="263" t="s">
        <v>2142</v>
      </c>
      <c r="AE18" s="263" t="s">
        <v>2794</v>
      </c>
      <c r="AF18" s="263" t="s">
        <v>2795</v>
      </c>
      <c r="AG18" s="274"/>
      <c r="AH18" s="256"/>
    </row>
    <row r="19" spans="5:34">
      <c r="E19" s="293" t="s">
        <v>1274</v>
      </c>
      <c r="F19" s="274" t="s">
        <v>2925</v>
      </c>
      <c r="G19" s="69" t="str">
        <f t="shared" si="0"/>
        <v>220-80-05616</v>
      </c>
      <c r="H19" s="294" t="s">
        <v>1649</v>
      </c>
      <c r="I19" s="274" t="s">
        <v>2099</v>
      </c>
      <c r="J19" s="295" t="s">
        <v>71</v>
      </c>
      <c r="K19" s="274" t="s">
        <v>2989</v>
      </c>
      <c r="L19" s="265">
        <v>40325</v>
      </c>
      <c r="M19" s="263" t="s">
        <v>133</v>
      </c>
      <c r="N19" s="296">
        <v>1170</v>
      </c>
      <c r="O19" s="264" t="s">
        <v>1192</v>
      </c>
      <c r="P19" s="297"/>
      <c r="Q19" s="298" t="s">
        <v>1602</v>
      </c>
      <c r="R19" s="299">
        <v>42886</v>
      </c>
      <c r="S19" s="296">
        <v>208</v>
      </c>
      <c r="T19" s="296">
        <v>0</v>
      </c>
      <c r="U19" s="300" t="s">
        <v>137</v>
      </c>
      <c r="V19" s="52">
        <f t="shared" si="1"/>
        <v>7.0164383561643833</v>
      </c>
      <c r="W19" s="301" t="s">
        <v>117</v>
      </c>
      <c r="X19" s="302"/>
      <c r="Y19" s="301" t="s">
        <v>117</v>
      </c>
      <c r="Z19" s="296">
        <v>1170</v>
      </c>
      <c r="AA19" s="296">
        <v>1170</v>
      </c>
      <c r="AB19" s="274" t="s">
        <v>2125</v>
      </c>
      <c r="AC19" s="263" t="s">
        <v>2068</v>
      </c>
      <c r="AD19" s="263" t="s">
        <v>2058</v>
      </c>
      <c r="AE19" s="263" t="s">
        <v>2110</v>
      </c>
      <c r="AF19" s="240" t="s">
        <v>2109</v>
      </c>
      <c r="AG19" s="274" t="s">
        <v>2145</v>
      </c>
      <c r="AH19" s="256"/>
    </row>
    <row r="20" spans="5:34">
      <c r="E20" s="293" t="s">
        <v>1274</v>
      </c>
      <c r="F20" s="274" t="s">
        <v>2925</v>
      </c>
      <c r="G20" s="69" t="str">
        <f t="shared" si="0"/>
        <v>220-80-05616</v>
      </c>
      <c r="H20" s="294" t="s">
        <v>1649</v>
      </c>
      <c r="I20" s="274" t="s">
        <v>2099</v>
      </c>
      <c r="J20" s="295" t="s">
        <v>71</v>
      </c>
      <c r="K20" s="274" t="s">
        <v>2989</v>
      </c>
      <c r="L20" s="265">
        <v>40325</v>
      </c>
      <c r="M20" s="263" t="s">
        <v>72</v>
      </c>
      <c r="N20" s="296">
        <v>180</v>
      </c>
      <c r="O20" s="264" t="s">
        <v>1192</v>
      </c>
      <c r="P20" s="297"/>
      <c r="Q20" s="298" t="s">
        <v>1602</v>
      </c>
      <c r="R20" s="299">
        <v>42886</v>
      </c>
      <c r="S20" s="296">
        <v>4</v>
      </c>
      <c r="T20" s="296">
        <v>0</v>
      </c>
      <c r="U20" s="300" t="s">
        <v>137</v>
      </c>
      <c r="V20" s="52">
        <f t="shared" si="1"/>
        <v>7.0164383561643833</v>
      </c>
      <c r="W20" s="301" t="s">
        <v>117</v>
      </c>
      <c r="X20" s="302"/>
      <c r="Y20" s="301" t="s">
        <v>117</v>
      </c>
      <c r="Z20" s="296">
        <v>180</v>
      </c>
      <c r="AA20" s="296">
        <v>180</v>
      </c>
      <c r="AB20" s="274" t="s">
        <v>2125</v>
      </c>
      <c r="AC20" s="263" t="s">
        <v>2068</v>
      </c>
      <c r="AD20" s="263" t="s">
        <v>2058</v>
      </c>
      <c r="AE20" s="263" t="s">
        <v>2110</v>
      </c>
      <c r="AF20" s="240" t="s">
        <v>2109</v>
      </c>
      <c r="AG20" s="274" t="s">
        <v>2145</v>
      </c>
      <c r="AH20" s="256"/>
    </row>
    <row r="21" spans="5:34">
      <c r="E21" s="293" t="s">
        <v>1274</v>
      </c>
      <c r="F21" s="274" t="s">
        <v>2925</v>
      </c>
      <c r="G21" s="69" t="str">
        <f t="shared" si="0"/>
        <v>220-80-05616</v>
      </c>
      <c r="H21" s="294" t="s">
        <v>1649</v>
      </c>
      <c r="I21" s="274" t="s">
        <v>2099</v>
      </c>
      <c r="J21" s="295" t="s">
        <v>71</v>
      </c>
      <c r="K21" s="274" t="s">
        <v>2989</v>
      </c>
      <c r="L21" s="265">
        <v>40339</v>
      </c>
      <c r="M21" s="263" t="s">
        <v>179</v>
      </c>
      <c r="N21" s="296">
        <v>1350</v>
      </c>
      <c r="O21" s="264" t="s">
        <v>1192</v>
      </c>
      <c r="P21" s="297"/>
      <c r="Q21" s="298" t="s">
        <v>1602</v>
      </c>
      <c r="R21" s="299">
        <v>42886</v>
      </c>
      <c r="S21" s="296">
        <v>411</v>
      </c>
      <c r="T21" s="296">
        <v>0</v>
      </c>
      <c r="U21" s="300" t="s">
        <v>137</v>
      </c>
      <c r="V21" s="52">
        <f t="shared" si="1"/>
        <v>6.978082191780822</v>
      </c>
      <c r="W21" s="301" t="s">
        <v>117</v>
      </c>
      <c r="X21" s="302"/>
      <c r="Y21" s="301" t="s">
        <v>117</v>
      </c>
      <c r="Z21" s="296">
        <v>1350</v>
      </c>
      <c r="AA21" s="296">
        <v>1350</v>
      </c>
      <c r="AB21" s="274" t="s">
        <v>2125</v>
      </c>
      <c r="AC21" s="263" t="s">
        <v>2068</v>
      </c>
      <c r="AD21" s="263" t="s">
        <v>2058</v>
      </c>
      <c r="AE21" s="263" t="s">
        <v>2110</v>
      </c>
      <c r="AF21" s="240" t="s">
        <v>2109</v>
      </c>
      <c r="AG21" s="274" t="s">
        <v>2950</v>
      </c>
      <c r="AH21" s="256"/>
    </row>
    <row r="22" spans="5:34">
      <c r="E22" s="293" t="s">
        <v>1274</v>
      </c>
      <c r="F22" s="274" t="s">
        <v>2925</v>
      </c>
      <c r="G22" s="69" t="str">
        <f t="shared" si="0"/>
        <v>220-80-05616</v>
      </c>
      <c r="H22" s="294" t="s">
        <v>1649</v>
      </c>
      <c r="I22" s="274" t="s">
        <v>2792</v>
      </c>
      <c r="J22" s="295" t="s">
        <v>71</v>
      </c>
      <c r="K22" s="274" t="s">
        <v>2793</v>
      </c>
      <c r="L22" s="265">
        <v>40724</v>
      </c>
      <c r="M22" s="263" t="s">
        <v>72</v>
      </c>
      <c r="N22" s="296">
        <v>12001</v>
      </c>
      <c r="O22" s="264" t="s">
        <v>132</v>
      </c>
      <c r="P22" s="297">
        <v>0.26100000000000001</v>
      </c>
      <c r="Q22" s="298" t="s">
        <v>1602</v>
      </c>
      <c r="R22" s="299">
        <v>42950</v>
      </c>
      <c r="S22" s="296">
        <v>47750</v>
      </c>
      <c r="T22" s="296">
        <v>12001</v>
      </c>
      <c r="U22" s="300" t="s">
        <v>134</v>
      </c>
      <c r="V22" s="52">
        <f t="shared" si="1"/>
        <v>6.0986301369863014</v>
      </c>
      <c r="W22" s="301"/>
      <c r="X22" s="302"/>
      <c r="Y22" s="301"/>
      <c r="Z22" s="296"/>
      <c r="AA22" s="296"/>
      <c r="AB22" s="274"/>
      <c r="AC22" s="263"/>
      <c r="AD22" s="263" t="s">
        <v>2147</v>
      </c>
      <c r="AE22" s="263" t="s">
        <v>2116</v>
      </c>
      <c r="AF22" s="263" t="s">
        <v>2848</v>
      </c>
      <c r="AG22" s="274" t="s">
        <v>2179</v>
      </c>
      <c r="AH22" s="256"/>
    </row>
    <row r="23" spans="5:34">
      <c r="E23" s="293" t="s">
        <v>1274</v>
      </c>
      <c r="F23" s="274" t="s">
        <v>2925</v>
      </c>
      <c r="G23" s="69" t="str">
        <f t="shared" si="0"/>
        <v>220-80-05616</v>
      </c>
      <c r="H23" s="294" t="s">
        <v>1649</v>
      </c>
      <c r="I23" s="274" t="s">
        <v>2951</v>
      </c>
      <c r="J23" s="295" t="s">
        <v>71</v>
      </c>
      <c r="K23" s="274" t="s">
        <v>2812</v>
      </c>
      <c r="L23" s="265">
        <v>41122</v>
      </c>
      <c r="M23" s="263" t="s">
        <v>133</v>
      </c>
      <c r="N23" s="296">
        <v>150</v>
      </c>
      <c r="O23" s="264" t="s">
        <v>1193</v>
      </c>
      <c r="P23" s="297"/>
      <c r="Q23" s="298"/>
      <c r="R23" s="299"/>
      <c r="S23" s="296"/>
      <c r="T23" s="296"/>
      <c r="U23" s="300"/>
      <c r="V23" s="52" t="str">
        <f t="shared" si="1"/>
        <v/>
      </c>
      <c r="W23" s="301" t="s">
        <v>117</v>
      </c>
      <c r="X23" s="302"/>
      <c r="Y23" s="301" t="s">
        <v>117</v>
      </c>
      <c r="Z23" s="296">
        <v>150</v>
      </c>
      <c r="AA23" s="296">
        <v>150</v>
      </c>
      <c r="AB23" s="274" t="s">
        <v>2125</v>
      </c>
      <c r="AC23" s="263" t="s">
        <v>2070</v>
      </c>
      <c r="AD23" s="263" t="s">
        <v>2141</v>
      </c>
      <c r="AE23" s="263" t="s">
        <v>2116</v>
      </c>
      <c r="AF23" s="263"/>
      <c r="AG23" s="274"/>
      <c r="AH23" s="256"/>
    </row>
    <row r="24" spans="5:34">
      <c r="E24" s="293" t="s">
        <v>1274</v>
      </c>
      <c r="F24" s="274" t="s">
        <v>2925</v>
      </c>
      <c r="G24" s="69" t="str">
        <f t="shared" si="0"/>
        <v>220-80-05616</v>
      </c>
      <c r="H24" s="294" t="s">
        <v>1649</v>
      </c>
      <c r="I24" s="274" t="s">
        <v>2951</v>
      </c>
      <c r="J24" s="295" t="s">
        <v>71</v>
      </c>
      <c r="K24" s="274" t="s">
        <v>2812</v>
      </c>
      <c r="L24" s="265">
        <v>41122</v>
      </c>
      <c r="M24" s="263" t="s">
        <v>116</v>
      </c>
      <c r="N24" s="296">
        <v>150</v>
      </c>
      <c r="O24" s="264" t="s">
        <v>1193</v>
      </c>
      <c r="P24" s="297"/>
      <c r="Q24" s="298"/>
      <c r="R24" s="299"/>
      <c r="S24" s="296"/>
      <c r="T24" s="296"/>
      <c r="U24" s="300"/>
      <c r="V24" s="52" t="str">
        <f t="shared" si="1"/>
        <v/>
      </c>
      <c r="W24" s="301" t="s">
        <v>117</v>
      </c>
      <c r="X24" s="302"/>
      <c r="Y24" s="301" t="s">
        <v>117</v>
      </c>
      <c r="Z24" s="296">
        <v>150</v>
      </c>
      <c r="AA24" s="296">
        <v>150</v>
      </c>
      <c r="AB24" s="274" t="s">
        <v>2125</v>
      </c>
      <c r="AC24" s="263" t="s">
        <v>2070</v>
      </c>
      <c r="AD24" s="263" t="s">
        <v>2141</v>
      </c>
      <c r="AE24" s="263" t="s">
        <v>2148</v>
      </c>
      <c r="AF24" s="263"/>
      <c r="AG24" s="274"/>
      <c r="AH24" s="256"/>
    </row>
    <row r="25" spans="5:34">
      <c r="E25" s="293" t="s">
        <v>1274</v>
      </c>
      <c r="F25" s="274" t="s">
        <v>2925</v>
      </c>
      <c r="G25" s="69" t="str">
        <f t="shared" si="0"/>
        <v>220-80-05616</v>
      </c>
      <c r="H25" s="294" t="s">
        <v>1649</v>
      </c>
      <c r="I25" s="274" t="s">
        <v>2951</v>
      </c>
      <c r="J25" s="295" t="s">
        <v>71</v>
      </c>
      <c r="K25" s="274" t="s">
        <v>2812</v>
      </c>
      <c r="L25" s="265">
        <v>41456</v>
      </c>
      <c r="M25" s="263" t="s">
        <v>116</v>
      </c>
      <c r="N25" s="296">
        <v>200</v>
      </c>
      <c r="O25" s="264" t="s">
        <v>1193</v>
      </c>
      <c r="P25" s="297"/>
      <c r="Q25" s="298"/>
      <c r="R25" s="299"/>
      <c r="S25" s="296"/>
      <c r="T25" s="296"/>
      <c r="U25" s="300"/>
      <c r="V25" s="52" t="str">
        <f t="shared" si="1"/>
        <v/>
      </c>
      <c r="W25" s="301" t="s">
        <v>117</v>
      </c>
      <c r="X25" s="302"/>
      <c r="Y25" s="301" t="s">
        <v>117</v>
      </c>
      <c r="Z25" s="296">
        <v>200</v>
      </c>
      <c r="AA25" s="296">
        <v>200</v>
      </c>
      <c r="AB25" s="274" t="s">
        <v>2125</v>
      </c>
      <c r="AC25" s="263" t="s">
        <v>2070</v>
      </c>
      <c r="AD25" s="263" t="s">
        <v>2141</v>
      </c>
      <c r="AE25" s="263" t="s">
        <v>2148</v>
      </c>
      <c r="AF25" s="263"/>
      <c r="AG25" s="274"/>
      <c r="AH25" s="256"/>
    </row>
    <row r="26" spans="5:34">
      <c r="E26" s="293" t="s">
        <v>1274</v>
      </c>
      <c r="F26" s="274" t="s">
        <v>2930</v>
      </c>
      <c r="G26" s="69" t="str">
        <f t="shared" si="0"/>
        <v>220-80-05620</v>
      </c>
      <c r="H26" s="294" t="s">
        <v>1649</v>
      </c>
      <c r="I26" s="274" t="s">
        <v>2087</v>
      </c>
      <c r="J26" s="295" t="s">
        <v>71</v>
      </c>
      <c r="K26" s="274" t="s">
        <v>2136</v>
      </c>
      <c r="L26" s="265">
        <v>39583</v>
      </c>
      <c r="M26" s="263" t="s">
        <v>179</v>
      </c>
      <c r="N26" s="296">
        <v>1500</v>
      </c>
      <c r="O26" s="264" t="s">
        <v>132</v>
      </c>
      <c r="P26" s="297">
        <v>2.4159999999999999</v>
      </c>
      <c r="Q26" s="298" t="s">
        <v>1602</v>
      </c>
      <c r="R26" s="299">
        <v>40105</v>
      </c>
      <c r="S26" s="296">
        <v>3826</v>
      </c>
      <c r="T26" s="296">
        <v>1500</v>
      </c>
      <c r="U26" s="300" t="s">
        <v>114</v>
      </c>
      <c r="V26" s="52">
        <f t="shared" si="1"/>
        <v>1.4301369863013698</v>
      </c>
      <c r="W26" s="301"/>
      <c r="X26" s="302"/>
      <c r="Y26" s="301"/>
      <c r="Z26" s="296"/>
      <c r="AA26" s="296"/>
      <c r="AB26" s="274"/>
      <c r="AC26" s="263"/>
      <c r="AD26" s="263" t="s">
        <v>2142</v>
      </c>
      <c r="AE26" s="263" t="s">
        <v>2794</v>
      </c>
      <c r="AF26" s="263" t="s">
        <v>2795</v>
      </c>
      <c r="AG26" s="274"/>
      <c r="AH26" s="256"/>
    </row>
    <row r="27" spans="5:34">
      <c r="E27" s="293" t="s">
        <v>1274</v>
      </c>
      <c r="F27" s="274" t="s">
        <v>2930</v>
      </c>
      <c r="G27" s="69" t="str">
        <f t="shared" si="0"/>
        <v>220-80-05620</v>
      </c>
      <c r="H27" s="294" t="s">
        <v>1649</v>
      </c>
      <c r="I27" s="274" t="s">
        <v>2944</v>
      </c>
      <c r="J27" s="295" t="s">
        <v>71</v>
      </c>
      <c r="K27" s="274" t="s">
        <v>2108</v>
      </c>
      <c r="L27" s="265">
        <v>39645</v>
      </c>
      <c r="M27" s="263" t="s">
        <v>179</v>
      </c>
      <c r="N27" s="296">
        <v>700</v>
      </c>
      <c r="O27" s="264" t="s">
        <v>132</v>
      </c>
      <c r="P27" s="297">
        <v>0.09</v>
      </c>
      <c r="Q27" s="298" t="s">
        <v>1602</v>
      </c>
      <c r="R27" s="299">
        <v>40421</v>
      </c>
      <c r="S27" s="296">
        <v>829</v>
      </c>
      <c r="T27" s="296">
        <v>700</v>
      </c>
      <c r="U27" s="300" t="s">
        <v>1617</v>
      </c>
      <c r="V27" s="52">
        <f t="shared" si="1"/>
        <v>2.1260273972602741</v>
      </c>
      <c r="W27" s="301"/>
      <c r="X27" s="302"/>
      <c r="Y27" s="301"/>
      <c r="Z27" s="296"/>
      <c r="AA27" s="296"/>
      <c r="AB27" s="274"/>
      <c r="AC27" s="263"/>
      <c r="AD27" s="263" t="s">
        <v>2142</v>
      </c>
      <c r="AE27" s="263" t="s">
        <v>2794</v>
      </c>
      <c r="AF27" s="263" t="s">
        <v>2795</v>
      </c>
      <c r="AG27" s="274"/>
      <c r="AH27" s="256"/>
    </row>
    <row r="28" spans="5:34">
      <c r="E28" s="293" t="s">
        <v>1274</v>
      </c>
      <c r="F28" s="274" t="s">
        <v>2930</v>
      </c>
      <c r="G28" s="69" t="str">
        <f t="shared" si="0"/>
        <v>220-80-05620</v>
      </c>
      <c r="H28" s="294" t="s">
        <v>1649</v>
      </c>
      <c r="I28" s="274" t="s">
        <v>2813</v>
      </c>
      <c r="J28" s="295" t="s">
        <v>71</v>
      </c>
      <c r="K28" s="274" t="s">
        <v>2136</v>
      </c>
      <c r="L28" s="265">
        <v>39882</v>
      </c>
      <c r="M28" s="263" t="s">
        <v>116</v>
      </c>
      <c r="N28" s="296">
        <v>2064</v>
      </c>
      <c r="O28" s="264" t="s">
        <v>132</v>
      </c>
      <c r="P28" s="297">
        <v>0.14699999999999999</v>
      </c>
      <c r="Q28" s="298"/>
      <c r="R28" s="299">
        <v>40535</v>
      </c>
      <c r="S28" s="296">
        <v>2638</v>
      </c>
      <c r="T28" s="296">
        <v>2064</v>
      </c>
      <c r="U28" s="300" t="s">
        <v>134</v>
      </c>
      <c r="V28" s="52">
        <f t="shared" si="1"/>
        <v>1.789041095890411</v>
      </c>
      <c r="W28" s="301"/>
      <c r="X28" s="302"/>
      <c r="Y28" s="301"/>
      <c r="Z28" s="296"/>
      <c r="AA28" s="296"/>
      <c r="AB28" s="274"/>
      <c r="AC28" s="263"/>
      <c r="AD28" s="263" t="s">
        <v>2142</v>
      </c>
      <c r="AE28" s="263" t="s">
        <v>2794</v>
      </c>
      <c r="AF28" s="263" t="s">
        <v>2795</v>
      </c>
      <c r="AG28" s="274"/>
      <c r="AH28" s="256"/>
    </row>
    <row r="29" spans="5:34">
      <c r="E29" s="293" t="s">
        <v>1274</v>
      </c>
      <c r="F29" s="274" t="s">
        <v>2930</v>
      </c>
      <c r="G29" s="69" t="str">
        <f t="shared" si="0"/>
        <v>220-80-05620</v>
      </c>
      <c r="H29" s="294" t="s">
        <v>1649</v>
      </c>
      <c r="I29" s="274" t="s">
        <v>2945</v>
      </c>
      <c r="J29" s="295" t="s">
        <v>71</v>
      </c>
      <c r="K29" s="274" t="s">
        <v>2952</v>
      </c>
      <c r="L29" s="265">
        <v>39927</v>
      </c>
      <c r="M29" s="263" t="s">
        <v>116</v>
      </c>
      <c r="N29" s="296">
        <v>600</v>
      </c>
      <c r="O29" s="264" t="s">
        <v>132</v>
      </c>
      <c r="P29" s="297">
        <v>0.13300000000000001</v>
      </c>
      <c r="Q29" s="298" t="s">
        <v>1602</v>
      </c>
      <c r="R29" s="299">
        <v>40227</v>
      </c>
      <c r="S29" s="296">
        <v>664</v>
      </c>
      <c r="T29" s="296">
        <v>600</v>
      </c>
      <c r="U29" s="300" t="s">
        <v>1617</v>
      </c>
      <c r="V29" s="52">
        <f t="shared" si="1"/>
        <v>0.82191780821917804</v>
      </c>
      <c r="W29" s="301"/>
      <c r="X29" s="302"/>
      <c r="Y29" s="301"/>
      <c r="Z29" s="296"/>
      <c r="AA29" s="296"/>
      <c r="AB29" s="274"/>
      <c r="AC29" s="263"/>
      <c r="AD29" s="263" t="s">
        <v>2946</v>
      </c>
      <c r="AE29" s="263" t="s">
        <v>2947</v>
      </c>
      <c r="AF29" s="263" t="s">
        <v>2948</v>
      </c>
      <c r="AG29" s="274"/>
      <c r="AH29" s="256"/>
    </row>
    <row r="30" spans="5:34">
      <c r="E30" s="293" t="s">
        <v>1274</v>
      </c>
      <c r="F30" s="274" t="s">
        <v>2930</v>
      </c>
      <c r="G30" s="69" t="str">
        <f t="shared" si="0"/>
        <v>220-80-05620</v>
      </c>
      <c r="H30" s="294" t="s">
        <v>1649</v>
      </c>
      <c r="I30" s="274" t="s">
        <v>2216</v>
      </c>
      <c r="J30" s="295" t="s">
        <v>71</v>
      </c>
      <c r="K30" s="274" t="s">
        <v>2990</v>
      </c>
      <c r="L30" s="265">
        <v>40052</v>
      </c>
      <c r="M30" s="263" t="s">
        <v>133</v>
      </c>
      <c r="N30" s="296">
        <v>300</v>
      </c>
      <c r="O30" s="264" t="s">
        <v>1192</v>
      </c>
      <c r="P30" s="297"/>
      <c r="Q30" s="298" t="s">
        <v>1602</v>
      </c>
      <c r="R30" s="299">
        <v>42977</v>
      </c>
      <c r="S30" s="296">
        <v>2314</v>
      </c>
      <c r="T30" s="296">
        <v>129</v>
      </c>
      <c r="U30" s="300" t="s">
        <v>134</v>
      </c>
      <c r="V30" s="52">
        <f t="shared" si="1"/>
        <v>8.0136986301369859</v>
      </c>
      <c r="W30" s="301" t="s">
        <v>117</v>
      </c>
      <c r="X30" s="302"/>
      <c r="Y30" s="301" t="s">
        <v>117</v>
      </c>
      <c r="Z30" s="296">
        <v>171</v>
      </c>
      <c r="AA30" s="296">
        <v>171</v>
      </c>
      <c r="AB30" s="274" t="s">
        <v>2125</v>
      </c>
      <c r="AC30" s="263" t="s">
        <v>2070</v>
      </c>
      <c r="AD30" s="263" t="s">
        <v>2142</v>
      </c>
      <c r="AE30" s="263" t="s">
        <v>2949</v>
      </c>
      <c r="AF30" s="263" t="s">
        <v>2987</v>
      </c>
      <c r="AG30" s="274" t="s">
        <v>3009</v>
      </c>
      <c r="AH30" s="256"/>
    </row>
    <row r="31" spans="5:34">
      <c r="E31" s="293" t="s">
        <v>1274</v>
      </c>
      <c r="F31" s="274" t="s">
        <v>2930</v>
      </c>
      <c r="G31" s="69" t="str">
        <f t="shared" si="0"/>
        <v>220-80-05620</v>
      </c>
      <c r="H31" s="294" t="s">
        <v>1649</v>
      </c>
      <c r="I31" s="274" t="s">
        <v>2087</v>
      </c>
      <c r="J31" s="295" t="s">
        <v>71</v>
      </c>
      <c r="K31" s="274" t="s">
        <v>2136</v>
      </c>
      <c r="L31" s="265">
        <v>40297</v>
      </c>
      <c r="M31" s="263" t="s">
        <v>72</v>
      </c>
      <c r="N31" s="296">
        <v>1000</v>
      </c>
      <c r="O31" s="264" t="s">
        <v>132</v>
      </c>
      <c r="P31" s="297">
        <v>4.5190000000000001</v>
      </c>
      <c r="Q31" s="298" t="s">
        <v>1602</v>
      </c>
      <c r="R31" s="299">
        <v>41093</v>
      </c>
      <c r="S31" s="296">
        <v>2423</v>
      </c>
      <c r="T31" s="296">
        <v>1000</v>
      </c>
      <c r="U31" s="300" t="s">
        <v>114</v>
      </c>
      <c r="V31" s="52">
        <f t="shared" si="1"/>
        <v>2.1808219178082191</v>
      </c>
      <c r="W31" s="301"/>
      <c r="X31" s="302"/>
      <c r="Y31" s="301"/>
      <c r="Z31" s="296"/>
      <c r="AA31" s="296"/>
      <c r="AB31" s="274"/>
      <c r="AC31" s="263"/>
      <c r="AD31" s="263" t="s">
        <v>2142</v>
      </c>
      <c r="AE31" s="263" t="s">
        <v>2794</v>
      </c>
      <c r="AF31" s="263" t="s">
        <v>2142</v>
      </c>
      <c r="AG31" s="274"/>
      <c r="AH31" s="256"/>
    </row>
    <row r="32" spans="5:34">
      <c r="E32" s="293" t="s">
        <v>1274</v>
      </c>
      <c r="F32" s="274" t="s">
        <v>2930</v>
      </c>
      <c r="G32" s="69" t="str">
        <f t="shared" si="0"/>
        <v>220-80-05620</v>
      </c>
      <c r="H32" s="294" t="s">
        <v>1649</v>
      </c>
      <c r="I32" s="274" t="s">
        <v>2099</v>
      </c>
      <c r="J32" s="295" t="s">
        <v>71</v>
      </c>
      <c r="K32" s="274" t="s">
        <v>2991</v>
      </c>
      <c r="L32" s="265">
        <v>40325</v>
      </c>
      <c r="M32" s="263" t="s">
        <v>133</v>
      </c>
      <c r="N32" s="296">
        <v>433</v>
      </c>
      <c r="O32" s="264" t="s">
        <v>1192</v>
      </c>
      <c r="P32" s="297"/>
      <c r="Q32" s="298" t="s">
        <v>1602</v>
      </c>
      <c r="R32" s="299">
        <v>42886</v>
      </c>
      <c r="S32" s="296">
        <v>77</v>
      </c>
      <c r="T32" s="296">
        <v>0</v>
      </c>
      <c r="U32" s="300" t="s">
        <v>137</v>
      </c>
      <c r="V32" s="52">
        <f t="shared" si="1"/>
        <v>7.0164383561643833</v>
      </c>
      <c r="W32" s="301" t="s">
        <v>117</v>
      </c>
      <c r="X32" s="302"/>
      <c r="Y32" s="301" t="s">
        <v>117</v>
      </c>
      <c r="Z32" s="296">
        <v>433</v>
      </c>
      <c r="AA32" s="296">
        <v>433</v>
      </c>
      <c r="AB32" s="274" t="s">
        <v>2125</v>
      </c>
      <c r="AC32" s="263" t="s">
        <v>2068</v>
      </c>
      <c r="AD32" s="263" t="s">
        <v>2058</v>
      </c>
      <c r="AE32" s="263" t="s">
        <v>2110</v>
      </c>
      <c r="AF32" s="240" t="s">
        <v>2109</v>
      </c>
      <c r="AG32" s="274" t="s">
        <v>2145</v>
      </c>
      <c r="AH32" s="256"/>
    </row>
    <row r="33" spans="5:34">
      <c r="E33" s="293" t="s">
        <v>1274</v>
      </c>
      <c r="F33" s="274" t="s">
        <v>2930</v>
      </c>
      <c r="G33" s="69" t="str">
        <f t="shared" si="0"/>
        <v>220-80-05620</v>
      </c>
      <c r="H33" s="294" t="s">
        <v>1649</v>
      </c>
      <c r="I33" s="274" t="s">
        <v>2099</v>
      </c>
      <c r="J33" s="295" t="s">
        <v>71</v>
      </c>
      <c r="K33" s="274" t="s">
        <v>2991</v>
      </c>
      <c r="L33" s="265">
        <v>40325</v>
      </c>
      <c r="M33" s="263" t="s">
        <v>72</v>
      </c>
      <c r="N33" s="296">
        <v>67</v>
      </c>
      <c r="O33" s="264" t="s">
        <v>1192</v>
      </c>
      <c r="P33" s="297"/>
      <c r="Q33" s="298" t="s">
        <v>1602</v>
      </c>
      <c r="R33" s="299">
        <v>42886</v>
      </c>
      <c r="S33" s="296">
        <v>1</v>
      </c>
      <c r="T33" s="296">
        <v>0</v>
      </c>
      <c r="U33" s="300" t="s">
        <v>137</v>
      </c>
      <c r="V33" s="52">
        <f t="shared" si="1"/>
        <v>7.0164383561643833</v>
      </c>
      <c r="W33" s="301" t="s">
        <v>117</v>
      </c>
      <c r="X33" s="302"/>
      <c r="Y33" s="301" t="s">
        <v>117</v>
      </c>
      <c r="Z33" s="296">
        <v>67</v>
      </c>
      <c r="AA33" s="296">
        <v>67</v>
      </c>
      <c r="AB33" s="274" t="s">
        <v>2125</v>
      </c>
      <c r="AC33" s="263" t="s">
        <v>2068</v>
      </c>
      <c r="AD33" s="263" t="s">
        <v>2058</v>
      </c>
      <c r="AE33" s="263" t="s">
        <v>2110</v>
      </c>
      <c r="AF33" s="240" t="s">
        <v>2109</v>
      </c>
      <c r="AG33" s="274" t="s">
        <v>2145</v>
      </c>
      <c r="AH33" s="256"/>
    </row>
    <row r="34" spans="5:34">
      <c r="E34" s="293" t="s">
        <v>1274</v>
      </c>
      <c r="F34" s="274" t="s">
        <v>2930</v>
      </c>
      <c r="G34" s="69" t="str">
        <f t="shared" si="0"/>
        <v>220-80-05620</v>
      </c>
      <c r="H34" s="294" t="s">
        <v>1649</v>
      </c>
      <c r="I34" s="274" t="s">
        <v>2099</v>
      </c>
      <c r="J34" s="295" t="s">
        <v>71</v>
      </c>
      <c r="K34" s="274" t="s">
        <v>2954</v>
      </c>
      <c r="L34" s="265">
        <v>40339</v>
      </c>
      <c r="M34" s="263" t="s">
        <v>179</v>
      </c>
      <c r="N34" s="296">
        <v>500</v>
      </c>
      <c r="O34" s="264" t="s">
        <v>1192</v>
      </c>
      <c r="P34" s="297"/>
      <c r="Q34" s="298" t="s">
        <v>1602</v>
      </c>
      <c r="R34" s="299">
        <v>42886</v>
      </c>
      <c r="S34" s="296">
        <v>152</v>
      </c>
      <c r="T34" s="296">
        <v>0</v>
      </c>
      <c r="U34" s="300" t="s">
        <v>137</v>
      </c>
      <c r="V34" s="52">
        <f t="shared" si="1"/>
        <v>6.978082191780822</v>
      </c>
      <c r="W34" s="301" t="s">
        <v>117</v>
      </c>
      <c r="X34" s="302"/>
      <c r="Y34" s="301" t="s">
        <v>117</v>
      </c>
      <c r="Z34" s="296">
        <v>500</v>
      </c>
      <c r="AA34" s="296">
        <v>500</v>
      </c>
      <c r="AB34" s="274" t="s">
        <v>2125</v>
      </c>
      <c r="AC34" s="263" t="s">
        <v>2068</v>
      </c>
      <c r="AD34" s="263" t="s">
        <v>2058</v>
      </c>
      <c r="AE34" s="263" t="s">
        <v>2110</v>
      </c>
      <c r="AF34" s="240" t="s">
        <v>2109</v>
      </c>
      <c r="AG34" s="274" t="s">
        <v>2950</v>
      </c>
      <c r="AH34" s="256"/>
    </row>
    <row r="35" spans="5:34">
      <c r="E35" s="293" t="s">
        <v>1274</v>
      </c>
      <c r="F35" s="274" t="s">
        <v>2935</v>
      </c>
      <c r="G35" s="69" t="str">
        <f t="shared" si="0"/>
        <v>220-80-05955</v>
      </c>
      <c r="H35" s="294" t="s">
        <v>1649</v>
      </c>
      <c r="I35" s="274" t="s">
        <v>2813</v>
      </c>
      <c r="J35" s="295" t="s">
        <v>71</v>
      </c>
      <c r="K35" s="274" t="s">
        <v>2136</v>
      </c>
      <c r="L35" s="265">
        <v>39825</v>
      </c>
      <c r="M35" s="263" t="s">
        <v>179</v>
      </c>
      <c r="N35" s="296">
        <v>7500</v>
      </c>
      <c r="O35" s="264" t="s">
        <v>132</v>
      </c>
      <c r="P35" s="297">
        <v>0.44800000000000001</v>
      </c>
      <c r="Q35" s="298"/>
      <c r="R35" s="299">
        <v>40323</v>
      </c>
      <c r="S35" s="296">
        <v>10735</v>
      </c>
      <c r="T35" s="296">
        <v>7500</v>
      </c>
      <c r="U35" s="300" t="s">
        <v>134</v>
      </c>
      <c r="V35" s="52">
        <f t="shared" si="1"/>
        <v>1.3643835616438356</v>
      </c>
      <c r="W35" s="301"/>
      <c r="X35" s="302"/>
      <c r="Y35" s="301"/>
      <c r="Z35" s="296"/>
      <c r="AA35" s="296"/>
      <c r="AB35" s="274"/>
      <c r="AC35" s="263"/>
      <c r="AD35" s="263" t="s">
        <v>2142</v>
      </c>
      <c r="AE35" s="263" t="s">
        <v>2794</v>
      </c>
      <c r="AF35" s="263" t="s">
        <v>2795</v>
      </c>
      <c r="AG35" s="274"/>
      <c r="AH35" s="256"/>
    </row>
    <row r="36" spans="5:34">
      <c r="E36" s="293" t="s">
        <v>1274</v>
      </c>
      <c r="F36" s="274" t="s">
        <v>2935</v>
      </c>
      <c r="G36" s="69" t="str">
        <f t="shared" si="0"/>
        <v>220-80-05955</v>
      </c>
      <c r="H36" s="294" t="s">
        <v>1649</v>
      </c>
      <c r="I36" s="274" t="s">
        <v>2216</v>
      </c>
      <c r="J36" s="295" t="s">
        <v>71</v>
      </c>
      <c r="K36" s="274" t="s">
        <v>2953</v>
      </c>
      <c r="L36" s="265">
        <v>40052</v>
      </c>
      <c r="M36" s="263" t="s">
        <v>133</v>
      </c>
      <c r="N36" s="296">
        <v>300</v>
      </c>
      <c r="O36" s="264" t="s">
        <v>1192</v>
      </c>
      <c r="P36" s="297"/>
      <c r="Q36" s="298" t="s">
        <v>1602</v>
      </c>
      <c r="R36" s="299">
        <v>42977</v>
      </c>
      <c r="S36" s="296">
        <v>2314</v>
      </c>
      <c r="T36" s="296">
        <v>129</v>
      </c>
      <c r="U36" s="300" t="s">
        <v>134</v>
      </c>
      <c r="V36" s="52">
        <f t="shared" si="1"/>
        <v>8.0136986301369859</v>
      </c>
      <c r="W36" s="301" t="s">
        <v>117</v>
      </c>
      <c r="X36" s="302"/>
      <c r="Y36" s="301" t="s">
        <v>117</v>
      </c>
      <c r="Z36" s="296">
        <v>171</v>
      </c>
      <c r="AA36" s="296">
        <v>171</v>
      </c>
      <c r="AB36" s="274" t="s">
        <v>2125</v>
      </c>
      <c r="AC36" s="263" t="s">
        <v>2070</v>
      </c>
      <c r="AD36" s="263" t="s">
        <v>2142</v>
      </c>
      <c r="AE36" s="263" t="s">
        <v>2949</v>
      </c>
      <c r="AF36" s="263" t="s">
        <v>2987</v>
      </c>
      <c r="AG36" s="274" t="s">
        <v>3009</v>
      </c>
      <c r="AH36" s="256"/>
    </row>
    <row r="37" spans="5:34">
      <c r="E37" s="293" t="s">
        <v>1274</v>
      </c>
      <c r="F37" s="274" t="s">
        <v>2935</v>
      </c>
      <c r="G37" s="69" t="str">
        <f t="shared" si="0"/>
        <v>220-80-05955</v>
      </c>
      <c r="H37" s="294" t="s">
        <v>1649</v>
      </c>
      <c r="I37" s="274" t="s">
        <v>2099</v>
      </c>
      <c r="J37" s="295" t="s">
        <v>71</v>
      </c>
      <c r="K37" s="274" t="s">
        <v>2954</v>
      </c>
      <c r="L37" s="265">
        <v>40325</v>
      </c>
      <c r="M37" s="263" t="s">
        <v>133</v>
      </c>
      <c r="N37" s="296">
        <v>1300</v>
      </c>
      <c r="O37" s="264" t="s">
        <v>1192</v>
      </c>
      <c r="P37" s="297"/>
      <c r="Q37" s="298" t="s">
        <v>1602</v>
      </c>
      <c r="R37" s="299">
        <v>42886</v>
      </c>
      <c r="S37" s="296">
        <v>231</v>
      </c>
      <c r="T37" s="296">
        <v>0</v>
      </c>
      <c r="U37" s="300" t="s">
        <v>137</v>
      </c>
      <c r="V37" s="52">
        <f t="shared" si="1"/>
        <v>7.0164383561643833</v>
      </c>
      <c r="W37" s="301" t="s">
        <v>117</v>
      </c>
      <c r="X37" s="302"/>
      <c r="Y37" s="301" t="s">
        <v>117</v>
      </c>
      <c r="Z37" s="296">
        <v>1300</v>
      </c>
      <c r="AA37" s="296">
        <v>1300</v>
      </c>
      <c r="AB37" s="274" t="s">
        <v>2125</v>
      </c>
      <c r="AC37" s="263" t="s">
        <v>2068</v>
      </c>
      <c r="AD37" s="263" t="s">
        <v>2058</v>
      </c>
      <c r="AE37" s="263" t="s">
        <v>2110</v>
      </c>
      <c r="AF37" s="240" t="s">
        <v>2109</v>
      </c>
      <c r="AG37" s="274" t="s">
        <v>2145</v>
      </c>
      <c r="AH37" s="256"/>
    </row>
    <row r="38" spans="5:34">
      <c r="E38" s="293" t="s">
        <v>1274</v>
      </c>
      <c r="F38" s="274" t="s">
        <v>2935</v>
      </c>
      <c r="G38" s="69" t="str">
        <f t="shared" si="0"/>
        <v>220-80-05955</v>
      </c>
      <c r="H38" s="294" t="s">
        <v>1649</v>
      </c>
      <c r="I38" s="274" t="s">
        <v>2099</v>
      </c>
      <c r="J38" s="295" t="s">
        <v>71</v>
      </c>
      <c r="K38" s="274" t="s">
        <v>2954</v>
      </c>
      <c r="L38" s="265">
        <v>40325</v>
      </c>
      <c r="M38" s="263" t="s">
        <v>72</v>
      </c>
      <c r="N38" s="296">
        <v>200</v>
      </c>
      <c r="O38" s="264" t="s">
        <v>1192</v>
      </c>
      <c r="P38" s="297"/>
      <c r="Q38" s="298" t="s">
        <v>1602</v>
      </c>
      <c r="R38" s="299">
        <v>42886</v>
      </c>
      <c r="S38" s="296">
        <v>4</v>
      </c>
      <c r="T38" s="296">
        <v>0</v>
      </c>
      <c r="U38" s="300" t="s">
        <v>137</v>
      </c>
      <c r="V38" s="52">
        <f t="shared" si="1"/>
        <v>7.0164383561643833</v>
      </c>
      <c r="W38" s="301" t="s">
        <v>117</v>
      </c>
      <c r="X38" s="302"/>
      <c r="Y38" s="301" t="s">
        <v>117</v>
      </c>
      <c r="Z38" s="296">
        <v>200</v>
      </c>
      <c r="AA38" s="296">
        <v>200</v>
      </c>
      <c r="AB38" s="274" t="s">
        <v>2125</v>
      </c>
      <c r="AC38" s="263" t="s">
        <v>2068</v>
      </c>
      <c r="AD38" s="263" t="s">
        <v>2058</v>
      </c>
      <c r="AE38" s="263" t="s">
        <v>2110</v>
      </c>
      <c r="AF38" s="240" t="s">
        <v>2109</v>
      </c>
      <c r="AG38" s="274" t="s">
        <v>2145</v>
      </c>
      <c r="AH38" s="256"/>
    </row>
    <row r="39" spans="5:34">
      <c r="E39" s="293" t="s">
        <v>1274</v>
      </c>
      <c r="F39" s="274" t="s">
        <v>2935</v>
      </c>
      <c r="G39" s="69" t="str">
        <f t="shared" si="0"/>
        <v>220-80-05955</v>
      </c>
      <c r="H39" s="294" t="s">
        <v>1649</v>
      </c>
      <c r="I39" s="274" t="s">
        <v>2099</v>
      </c>
      <c r="J39" s="295" t="s">
        <v>71</v>
      </c>
      <c r="K39" s="274" t="s">
        <v>2954</v>
      </c>
      <c r="L39" s="265">
        <v>40339</v>
      </c>
      <c r="M39" s="263" t="s">
        <v>179</v>
      </c>
      <c r="N39" s="296">
        <v>1500</v>
      </c>
      <c r="O39" s="264" t="s">
        <v>1192</v>
      </c>
      <c r="P39" s="297"/>
      <c r="Q39" s="298" t="s">
        <v>1602</v>
      </c>
      <c r="R39" s="299">
        <v>42886</v>
      </c>
      <c r="S39" s="296">
        <v>457</v>
      </c>
      <c r="T39" s="296">
        <v>0</v>
      </c>
      <c r="U39" s="300" t="s">
        <v>137</v>
      </c>
      <c r="V39" s="52">
        <f t="shared" si="1"/>
        <v>6.978082191780822</v>
      </c>
      <c r="W39" s="301" t="s">
        <v>117</v>
      </c>
      <c r="X39" s="302"/>
      <c r="Y39" s="301" t="s">
        <v>117</v>
      </c>
      <c r="Z39" s="296">
        <v>1500</v>
      </c>
      <c r="AA39" s="296">
        <v>1500</v>
      </c>
      <c r="AB39" s="274" t="s">
        <v>2125</v>
      </c>
      <c r="AC39" s="263" t="s">
        <v>2068</v>
      </c>
      <c r="AD39" s="263" t="s">
        <v>2058</v>
      </c>
      <c r="AE39" s="263" t="s">
        <v>2110</v>
      </c>
      <c r="AF39" s="240" t="s">
        <v>2109</v>
      </c>
      <c r="AG39" s="274" t="s">
        <v>2950</v>
      </c>
      <c r="AH39" s="256"/>
    </row>
    <row r="40" spans="5:34" ht="27">
      <c r="E40" s="293" t="s">
        <v>1274</v>
      </c>
      <c r="F40" s="274" t="s">
        <v>2935</v>
      </c>
      <c r="G40" s="69" t="str">
        <f t="shared" si="0"/>
        <v>220-80-05955</v>
      </c>
      <c r="H40" s="294" t="s">
        <v>1649</v>
      </c>
      <c r="I40" s="274" t="s">
        <v>2792</v>
      </c>
      <c r="J40" s="295" t="s">
        <v>71</v>
      </c>
      <c r="K40" s="274" t="s">
        <v>2793</v>
      </c>
      <c r="L40" s="265">
        <v>40724</v>
      </c>
      <c r="M40" s="263" t="s">
        <v>72</v>
      </c>
      <c r="N40" s="296">
        <v>8000</v>
      </c>
      <c r="O40" s="264" t="s">
        <v>1192</v>
      </c>
      <c r="P40" s="297"/>
      <c r="Q40" s="298" t="s">
        <v>1602</v>
      </c>
      <c r="R40" s="299">
        <v>42948</v>
      </c>
      <c r="S40" s="296">
        <v>21224</v>
      </c>
      <c r="T40" s="296">
        <v>5458</v>
      </c>
      <c r="U40" s="300" t="s">
        <v>134</v>
      </c>
      <c r="V40" s="52">
        <f t="shared" si="1"/>
        <v>6.0931506849315067</v>
      </c>
      <c r="W40" s="301" t="s">
        <v>117</v>
      </c>
      <c r="X40" s="302"/>
      <c r="Y40" s="301" t="s">
        <v>131</v>
      </c>
      <c r="Z40" s="296">
        <v>2542</v>
      </c>
      <c r="AA40" s="296">
        <v>10387</v>
      </c>
      <c r="AB40" s="274" t="s">
        <v>2955</v>
      </c>
      <c r="AC40" s="263" t="s">
        <v>2068</v>
      </c>
      <c r="AD40" s="263" t="s">
        <v>2147</v>
      </c>
      <c r="AE40" s="263" t="s">
        <v>2116</v>
      </c>
      <c r="AF40" s="263" t="s">
        <v>2848</v>
      </c>
      <c r="AG40" s="274" t="s">
        <v>2179</v>
      </c>
      <c r="AH40" s="256"/>
    </row>
    <row r="41" spans="5:34">
      <c r="E41" s="293" t="s">
        <v>1274</v>
      </c>
      <c r="F41" s="274" t="s">
        <v>2935</v>
      </c>
      <c r="G41" s="69" t="str">
        <f t="shared" si="0"/>
        <v>220-80-05955</v>
      </c>
      <c r="H41" s="294" t="s">
        <v>1649</v>
      </c>
      <c r="I41" s="274" t="s">
        <v>2956</v>
      </c>
      <c r="J41" s="295" t="s">
        <v>71</v>
      </c>
      <c r="K41" s="274" t="s">
        <v>137</v>
      </c>
      <c r="L41" s="265">
        <v>41369</v>
      </c>
      <c r="M41" s="263" t="s">
        <v>116</v>
      </c>
      <c r="N41" s="296">
        <v>3000</v>
      </c>
      <c r="O41" s="264" t="s">
        <v>1192</v>
      </c>
      <c r="P41" s="297"/>
      <c r="Q41" s="298"/>
      <c r="R41" s="299">
        <v>42934</v>
      </c>
      <c r="S41" s="296">
        <v>3723</v>
      </c>
      <c r="T41" s="296">
        <v>2200</v>
      </c>
      <c r="U41" s="300" t="s">
        <v>1617</v>
      </c>
      <c r="V41" s="52">
        <f t="shared" si="1"/>
        <v>4.2876712328767121</v>
      </c>
      <c r="W41" s="301" t="s">
        <v>117</v>
      </c>
      <c r="X41" s="302"/>
      <c r="Y41" s="301" t="s">
        <v>117</v>
      </c>
      <c r="Z41" s="296">
        <v>800</v>
      </c>
      <c r="AA41" s="296">
        <v>800</v>
      </c>
      <c r="AB41" s="274" t="s">
        <v>2125</v>
      </c>
      <c r="AC41" s="263" t="s">
        <v>2068</v>
      </c>
      <c r="AD41" s="263" t="s">
        <v>2278</v>
      </c>
      <c r="AE41" s="263" t="s">
        <v>2068</v>
      </c>
      <c r="AF41" s="263" t="s">
        <v>2068</v>
      </c>
      <c r="AG41" s="274" t="s">
        <v>2120</v>
      </c>
      <c r="AH41" s="256"/>
    </row>
    <row r="42" spans="5:34" ht="27">
      <c r="E42" s="293" t="s">
        <v>111</v>
      </c>
      <c r="F42" s="274" t="s">
        <v>2742</v>
      </c>
      <c r="G42" s="373" t="s">
        <v>2743</v>
      </c>
      <c r="H42" s="294" t="s">
        <v>181</v>
      </c>
      <c r="I42" s="274" t="s">
        <v>2792</v>
      </c>
      <c r="J42" s="295" t="s">
        <v>71</v>
      </c>
      <c r="K42" s="274" t="s">
        <v>2793</v>
      </c>
      <c r="L42" s="265">
        <v>40002</v>
      </c>
      <c r="M42" s="263" t="s">
        <v>133</v>
      </c>
      <c r="N42" s="296">
        <v>37500</v>
      </c>
      <c r="O42" s="264" t="s">
        <v>132</v>
      </c>
      <c r="P42" s="297">
        <v>0.248</v>
      </c>
      <c r="Q42" s="298"/>
      <c r="R42" s="299">
        <v>40535</v>
      </c>
      <c r="S42" s="296">
        <v>46564</v>
      </c>
      <c r="T42" s="296">
        <v>37500</v>
      </c>
      <c r="U42" s="300" t="s">
        <v>134</v>
      </c>
      <c r="V42" s="52">
        <f t="shared" si="1"/>
        <v>1.4602739726027398</v>
      </c>
      <c r="W42" s="301"/>
      <c r="X42" s="302"/>
      <c r="Y42" s="301"/>
      <c r="Z42" s="296"/>
      <c r="AA42" s="296"/>
      <c r="AB42" s="274"/>
      <c r="AC42" s="263"/>
      <c r="AD42" s="263" t="s">
        <v>2142</v>
      </c>
      <c r="AE42" s="263" t="s">
        <v>2794</v>
      </c>
      <c r="AF42" s="263" t="s">
        <v>2795</v>
      </c>
      <c r="AG42" s="274" t="s">
        <v>2796</v>
      </c>
      <c r="AH42" s="256"/>
    </row>
    <row r="43" spans="5:34" ht="26.1" customHeight="1">
      <c r="E43" s="157" t="s">
        <v>1185</v>
      </c>
      <c r="F43" s="239" t="s">
        <v>2017</v>
      </c>
      <c r="G43" s="69" t="str">
        <f t="shared" si="0"/>
        <v>220-80-06425</v>
      </c>
      <c r="H43" s="134" t="s">
        <v>180</v>
      </c>
      <c r="I43" s="239" t="s">
        <v>2099</v>
      </c>
      <c r="J43" s="51" t="s">
        <v>71</v>
      </c>
      <c r="K43" s="239" t="s">
        <v>2105</v>
      </c>
      <c r="L43" s="243">
        <v>40325</v>
      </c>
      <c r="M43" s="240" t="s">
        <v>133</v>
      </c>
      <c r="N43" s="31">
        <v>1300</v>
      </c>
      <c r="O43" s="70" t="s">
        <v>1192</v>
      </c>
      <c r="P43" s="71"/>
      <c r="Q43" s="55" t="s">
        <v>1602</v>
      </c>
      <c r="R43" s="23">
        <v>42886</v>
      </c>
      <c r="S43" s="31">
        <v>231</v>
      </c>
      <c r="T43" s="31">
        <v>0</v>
      </c>
      <c r="U43" s="72" t="s">
        <v>137</v>
      </c>
      <c r="V43" s="52">
        <f t="shared" si="1"/>
        <v>7.0164383561643833</v>
      </c>
      <c r="W43" s="73" t="s">
        <v>117</v>
      </c>
      <c r="X43" s="174"/>
      <c r="Y43" s="73" t="s">
        <v>117</v>
      </c>
      <c r="Z43" s="31">
        <v>1300</v>
      </c>
      <c r="AA43" s="31">
        <v>1300</v>
      </c>
      <c r="AB43" s="239" t="s">
        <v>2126</v>
      </c>
      <c r="AC43" s="240" t="s">
        <v>2068</v>
      </c>
      <c r="AD43" s="240" t="s">
        <v>2109</v>
      </c>
      <c r="AE43" s="240" t="s">
        <v>2110</v>
      </c>
      <c r="AF43" s="240" t="s">
        <v>2109</v>
      </c>
      <c r="AG43" s="239" t="s">
        <v>2111</v>
      </c>
      <c r="AH43" s="256"/>
    </row>
    <row r="44" spans="5:34" ht="26.1" customHeight="1">
      <c r="E44" s="248" t="s">
        <v>1185</v>
      </c>
      <c r="F44" s="239" t="s">
        <v>2017</v>
      </c>
      <c r="G44" s="69" t="str">
        <f t="shared" si="0"/>
        <v>220-80-06425</v>
      </c>
      <c r="H44" s="134" t="s">
        <v>180</v>
      </c>
      <c r="I44" s="239" t="s">
        <v>2099</v>
      </c>
      <c r="J44" s="51" t="s">
        <v>71</v>
      </c>
      <c r="K44" s="239" t="s">
        <v>2105</v>
      </c>
      <c r="L44" s="243">
        <v>40325</v>
      </c>
      <c r="M44" s="240" t="s">
        <v>72</v>
      </c>
      <c r="N44" s="31">
        <v>200</v>
      </c>
      <c r="O44" s="70" t="s">
        <v>1192</v>
      </c>
      <c r="P44" s="71"/>
      <c r="Q44" s="55" t="s">
        <v>1602</v>
      </c>
      <c r="R44" s="23">
        <v>42886</v>
      </c>
      <c r="S44" s="31">
        <v>4</v>
      </c>
      <c r="T44" s="31">
        <v>0</v>
      </c>
      <c r="U44" s="72" t="s">
        <v>137</v>
      </c>
      <c r="V44" s="52">
        <f t="shared" si="1"/>
        <v>7.0164383561643833</v>
      </c>
      <c r="W44" s="73" t="s">
        <v>117</v>
      </c>
      <c r="X44" s="174"/>
      <c r="Y44" s="73" t="s">
        <v>117</v>
      </c>
      <c r="Z44" s="31">
        <v>200</v>
      </c>
      <c r="AA44" s="31">
        <v>200</v>
      </c>
      <c r="AB44" s="239" t="s">
        <v>2126</v>
      </c>
      <c r="AC44" s="240" t="s">
        <v>2068</v>
      </c>
      <c r="AD44" s="240" t="s">
        <v>2109</v>
      </c>
      <c r="AE44" s="240" t="s">
        <v>2110</v>
      </c>
      <c r="AF44" s="240" t="s">
        <v>2109</v>
      </c>
      <c r="AG44" s="239" t="s">
        <v>2111</v>
      </c>
      <c r="AH44" s="256"/>
    </row>
    <row r="45" spans="5:34" ht="26.1" customHeight="1">
      <c r="E45" s="248" t="s">
        <v>1185</v>
      </c>
      <c r="F45" s="239" t="s">
        <v>2017</v>
      </c>
      <c r="G45" s="69" t="str">
        <f t="shared" si="0"/>
        <v>220-80-06425</v>
      </c>
      <c r="H45" s="134" t="s">
        <v>180</v>
      </c>
      <c r="I45" s="239" t="s">
        <v>2099</v>
      </c>
      <c r="J45" s="51" t="s">
        <v>71</v>
      </c>
      <c r="K45" s="239" t="s">
        <v>2105</v>
      </c>
      <c r="L45" s="243">
        <v>40325</v>
      </c>
      <c r="M45" s="240" t="s">
        <v>179</v>
      </c>
      <c r="N45" s="31">
        <v>1500</v>
      </c>
      <c r="O45" s="70" t="s">
        <v>1192</v>
      </c>
      <c r="P45" s="71"/>
      <c r="Q45" s="55" t="s">
        <v>1602</v>
      </c>
      <c r="R45" s="23">
        <v>42886</v>
      </c>
      <c r="S45" s="31">
        <v>457</v>
      </c>
      <c r="T45" s="31">
        <v>0</v>
      </c>
      <c r="U45" s="72" t="s">
        <v>137</v>
      </c>
      <c r="V45" s="52">
        <f t="shared" si="1"/>
        <v>7.0164383561643833</v>
      </c>
      <c r="W45" s="73" t="s">
        <v>117</v>
      </c>
      <c r="X45" s="174"/>
      <c r="Y45" s="73" t="s">
        <v>117</v>
      </c>
      <c r="Z45" s="31">
        <v>1500</v>
      </c>
      <c r="AA45" s="31">
        <v>1500</v>
      </c>
      <c r="AB45" s="239" t="s">
        <v>2126</v>
      </c>
      <c r="AC45" s="240" t="s">
        <v>2068</v>
      </c>
      <c r="AD45" s="240" t="s">
        <v>2109</v>
      </c>
      <c r="AE45" s="240" t="s">
        <v>2110</v>
      </c>
      <c r="AF45" s="240" t="s">
        <v>2109</v>
      </c>
      <c r="AG45" s="239" t="s">
        <v>2112</v>
      </c>
      <c r="AH45" s="256"/>
    </row>
    <row r="46" spans="5:34" ht="26.1" customHeight="1">
      <c r="E46" s="248" t="s">
        <v>1185</v>
      </c>
      <c r="F46" s="239" t="s">
        <v>2017</v>
      </c>
      <c r="G46" s="69" t="str">
        <f t="shared" si="0"/>
        <v>220-80-06425</v>
      </c>
      <c r="H46" s="134" t="s">
        <v>180</v>
      </c>
      <c r="I46" s="239" t="s">
        <v>2100</v>
      </c>
      <c r="J46" s="51" t="s">
        <v>71</v>
      </c>
      <c r="K46" s="239" t="s">
        <v>2106</v>
      </c>
      <c r="L46" s="243">
        <v>40641</v>
      </c>
      <c r="M46" s="240" t="s">
        <v>133</v>
      </c>
      <c r="N46" s="31">
        <v>4500</v>
      </c>
      <c r="O46" s="70" t="s">
        <v>132</v>
      </c>
      <c r="P46" s="71">
        <v>7.0000000000000007E-2</v>
      </c>
      <c r="Q46" s="55" t="s">
        <v>1602</v>
      </c>
      <c r="R46" s="23">
        <v>42278</v>
      </c>
      <c r="S46" s="31">
        <v>6078</v>
      </c>
      <c r="T46" s="31">
        <v>4500</v>
      </c>
      <c r="U46" s="72" t="s">
        <v>1617</v>
      </c>
      <c r="V46" s="52">
        <f t="shared" si="1"/>
        <v>4.484931506849315</v>
      </c>
      <c r="W46" s="73"/>
      <c r="X46" s="174"/>
      <c r="Y46" s="73"/>
      <c r="Z46" s="31"/>
      <c r="AA46" s="31"/>
      <c r="AB46" s="239"/>
      <c r="AC46" s="240"/>
      <c r="AD46" s="240" t="s">
        <v>2058</v>
      </c>
      <c r="AE46" s="240" t="s">
        <v>2113</v>
      </c>
      <c r="AF46" s="240" t="s">
        <v>2114</v>
      </c>
      <c r="AG46" s="239"/>
      <c r="AH46" s="256"/>
    </row>
    <row r="47" spans="5:34" ht="26.1" customHeight="1">
      <c r="E47" s="248" t="s">
        <v>1185</v>
      </c>
      <c r="F47" s="239" t="s">
        <v>2017</v>
      </c>
      <c r="G47" s="69" t="str">
        <f t="shared" si="0"/>
        <v>220-80-06425</v>
      </c>
      <c r="H47" s="134" t="s">
        <v>180</v>
      </c>
      <c r="I47" s="239" t="s">
        <v>2101</v>
      </c>
      <c r="J47" s="51" t="s">
        <v>71</v>
      </c>
      <c r="K47" s="239" t="s">
        <v>2107</v>
      </c>
      <c r="L47" s="243">
        <v>40752</v>
      </c>
      <c r="M47" s="240" t="s">
        <v>133</v>
      </c>
      <c r="N47" s="31">
        <v>3000</v>
      </c>
      <c r="O47" s="70" t="s">
        <v>132</v>
      </c>
      <c r="P47" s="71">
        <v>0.09</v>
      </c>
      <c r="Q47" s="55" t="s">
        <v>1602</v>
      </c>
      <c r="R47" s="23">
        <v>42269</v>
      </c>
      <c r="S47" s="31">
        <v>4234</v>
      </c>
      <c r="T47" s="31">
        <v>3000</v>
      </c>
      <c r="U47" s="72" t="s">
        <v>1617</v>
      </c>
      <c r="V47" s="52">
        <f t="shared" si="1"/>
        <v>4.1561643835616442</v>
      </c>
      <c r="W47" s="73"/>
      <c r="X47" s="174"/>
      <c r="Y47" s="73"/>
      <c r="Z47" s="31"/>
      <c r="AA47" s="31"/>
      <c r="AB47" s="239"/>
      <c r="AC47" s="240"/>
      <c r="AD47" s="240" t="s">
        <v>2115</v>
      </c>
      <c r="AE47" s="240" t="s">
        <v>2116</v>
      </c>
      <c r="AF47" s="240" t="s">
        <v>2117</v>
      </c>
      <c r="AG47" s="239"/>
      <c r="AH47" s="256"/>
    </row>
    <row r="48" spans="5:34" ht="26.1" customHeight="1">
      <c r="E48" s="248" t="s">
        <v>1185</v>
      </c>
      <c r="F48" s="239" t="s">
        <v>2017</v>
      </c>
      <c r="G48" s="69" t="str">
        <f t="shared" si="0"/>
        <v>220-80-06425</v>
      </c>
      <c r="H48" s="134" t="s">
        <v>180</v>
      </c>
      <c r="I48" s="239" t="s">
        <v>2102</v>
      </c>
      <c r="J48" s="51" t="s">
        <v>71</v>
      </c>
      <c r="K48" s="239" t="s">
        <v>137</v>
      </c>
      <c r="L48" s="243">
        <v>41117</v>
      </c>
      <c r="M48" s="240" t="s">
        <v>133</v>
      </c>
      <c r="N48" s="31">
        <v>250</v>
      </c>
      <c r="O48" s="70" t="s">
        <v>132</v>
      </c>
      <c r="P48" s="71">
        <v>-0.41099999999999998</v>
      </c>
      <c r="Q48" s="55" t="s">
        <v>1602</v>
      </c>
      <c r="R48" s="23">
        <v>42825</v>
      </c>
      <c r="S48" s="31">
        <v>30</v>
      </c>
      <c r="T48" s="31">
        <v>22</v>
      </c>
      <c r="U48" s="72" t="s">
        <v>1617</v>
      </c>
      <c r="V48" s="52">
        <f t="shared" si="1"/>
        <v>4.6794520547945204</v>
      </c>
      <c r="W48" s="73" t="s">
        <v>131</v>
      </c>
      <c r="X48" s="324">
        <v>228</v>
      </c>
      <c r="Y48" s="73" t="s">
        <v>117</v>
      </c>
      <c r="Z48" s="31">
        <v>0</v>
      </c>
      <c r="AA48" s="31">
        <v>0</v>
      </c>
      <c r="AB48" s="239" t="s">
        <v>2125</v>
      </c>
      <c r="AC48" s="240" t="s">
        <v>2069</v>
      </c>
      <c r="AD48" s="240" t="s">
        <v>2118</v>
      </c>
      <c r="AE48" s="240" t="s">
        <v>2119</v>
      </c>
      <c r="AF48" s="240" t="s">
        <v>2069</v>
      </c>
      <c r="AG48" s="239" t="s">
        <v>2127</v>
      </c>
      <c r="AH48" s="256"/>
    </row>
    <row r="49" spans="5:34" ht="26.1" customHeight="1">
      <c r="E49" s="248" t="s">
        <v>1185</v>
      </c>
      <c r="F49" s="239" t="s">
        <v>2017</v>
      </c>
      <c r="G49" s="69" t="str">
        <f t="shared" si="0"/>
        <v>220-80-06425</v>
      </c>
      <c r="H49" s="134" t="s">
        <v>180</v>
      </c>
      <c r="I49" s="239" t="s">
        <v>2102</v>
      </c>
      <c r="J49" s="51" t="s">
        <v>71</v>
      </c>
      <c r="K49" s="239" t="s">
        <v>137</v>
      </c>
      <c r="L49" s="243">
        <v>41117</v>
      </c>
      <c r="M49" s="240" t="s">
        <v>116</v>
      </c>
      <c r="N49" s="31">
        <v>250</v>
      </c>
      <c r="O49" s="70" t="s">
        <v>132</v>
      </c>
      <c r="P49" s="71">
        <v>-0.67400000000000004</v>
      </c>
      <c r="Q49" s="55" t="s">
        <v>1602</v>
      </c>
      <c r="R49" s="23">
        <v>42825</v>
      </c>
      <c r="S49" s="31">
        <v>10</v>
      </c>
      <c r="T49" s="31">
        <v>0</v>
      </c>
      <c r="U49" s="72" t="s">
        <v>137</v>
      </c>
      <c r="V49" s="52">
        <f t="shared" si="1"/>
        <v>4.6794520547945204</v>
      </c>
      <c r="W49" s="73" t="s">
        <v>131</v>
      </c>
      <c r="X49" s="324">
        <v>250</v>
      </c>
      <c r="Y49" s="73" t="s">
        <v>117</v>
      </c>
      <c r="Z49" s="31">
        <v>0</v>
      </c>
      <c r="AA49" s="31">
        <v>0</v>
      </c>
      <c r="AB49" s="239" t="s">
        <v>2125</v>
      </c>
      <c r="AC49" s="240" t="s">
        <v>2069</v>
      </c>
      <c r="AD49" s="240" t="s">
        <v>2118</v>
      </c>
      <c r="AE49" s="240" t="s">
        <v>2119</v>
      </c>
      <c r="AF49" s="240" t="s">
        <v>2069</v>
      </c>
      <c r="AG49" s="239" t="s">
        <v>2128</v>
      </c>
      <c r="AH49" s="256"/>
    </row>
    <row r="50" spans="5:34" ht="26.1" customHeight="1">
      <c r="E50" s="248" t="s">
        <v>1185</v>
      </c>
      <c r="F50" s="239" t="s">
        <v>2017</v>
      </c>
      <c r="G50" s="69" t="str">
        <f t="shared" si="0"/>
        <v>220-80-06425</v>
      </c>
      <c r="H50" s="134" t="s">
        <v>180</v>
      </c>
      <c r="I50" s="239" t="s">
        <v>2103</v>
      </c>
      <c r="J50" s="51" t="s">
        <v>71</v>
      </c>
      <c r="K50" s="239" t="s">
        <v>2107</v>
      </c>
      <c r="L50" s="243">
        <v>41270</v>
      </c>
      <c r="M50" s="240" t="s">
        <v>133</v>
      </c>
      <c r="N50" s="31">
        <v>347</v>
      </c>
      <c r="O50" s="70" t="s">
        <v>132</v>
      </c>
      <c r="P50" s="71">
        <v>7.1999999999999995E-2</v>
      </c>
      <c r="Q50" s="55" t="s">
        <v>1602</v>
      </c>
      <c r="R50" s="23">
        <v>42587</v>
      </c>
      <c r="S50" s="31">
        <v>446</v>
      </c>
      <c r="T50" s="31">
        <v>347</v>
      </c>
      <c r="U50" s="72" t="s">
        <v>134</v>
      </c>
      <c r="V50" s="52">
        <f t="shared" si="1"/>
        <v>3.6082191780821917</v>
      </c>
      <c r="W50" s="73"/>
      <c r="X50" s="174"/>
      <c r="Y50" s="73"/>
      <c r="Z50" s="31"/>
      <c r="AA50" s="31"/>
      <c r="AB50" s="239"/>
      <c r="AC50" s="240"/>
      <c r="AD50" s="240" t="s">
        <v>2058</v>
      </c>
      <c r="AE50" s="240" t="s">
        <v>2122</v>
      </c>
      <c r="AF50" s="240" t="s">
        <v>2069</v>
      </c>
      <c r="AG50" s="239"/>
      <c r="AH50" s="256"/>
    </row>
    <row r="51" spans="5:34" ht="26.1" customHeight="1">
      <c r="E51" s="157" t="s">
        <v>1185</v>
      </c>
      <c r="F51" s="239" t="s">
        <v>2017</v>
      </c>
      <c r="G51" s="69" t="str">
        <f t="shared" si="0"/>
        <v>220-80-06425</v>
      </c>
      <c r="H51" s="380" t="s">
        <v>180</v>
      </c>
      <c r="I51" s="239" t="s">
        <v>2104</v>
      </c>
      <c r="J51" s="51" t="s">
        <v>71</v>
      </c>
      <c r="K51" s="239" t="s">
        <v>2108</v>
      </c>
      <c r="L51" s="243">
        <v>41271</v>
      </c>
      <c r="M51" s="240" t="s">
        <v>133</v>
      </c>
      <c r="N51" s="31">
        <v>500</v>
      </c>
      <c r="O51" s="70" t="s">
        <v>132</v>
      </c>
      <c r="P51" s="71">
        <v>-0.253</v>
      </c>
      <c r="Q51" s="55" t="s">
        <v>1602</v>
      </c>
      <c r="R51" s="23">
        <v>42643</v>
      </c>
      <c r="S51" s="31">
        <v>167</v>
      </c>
      <c r="T51" s="31">
        <v>500</v>
      </c>
      <c r="U51" s="72" t="s">
        <v>134</v>
      </c>
      <c r="V51" s="52">
        <f t="shared" si="1"/>
        <v>3.7589041095890412</v>
      </c>
      <c r="W51" s="73"/>
      <c r="X51" s="174"/>
      <c r="Y51" s="73"/>
      <c r="Z51" s="31"/>
      <c r="AA51" s="31"/>
      <c r="AB51" s="239"/>
      <c r="AC51" s="240"/>
      <c r="AD51" s="240" t="s">
        <v>2123</v>
      </c>
      <c r="AE51" s="240" t="s">
        <v>2124</v>
      </c>
      <c r="AF51" s="240" t="s">
        <v>2070</v>
      </c>
      <c r="AG51" s="239"/>
      <c r="AH51" s="256"/>
    </row>
    <row r="52" spans="5:34" ht="26.1" customHeight="1">
      <c r="E52" s="157" t="s">
        <v>1185</v>
      </c>
      <c r="F52" s="239" t="s">
        <v>2017</v>
      </c>
      <c r="G52" s="69" t="str">
        <f t="shared" si="0"/>
        <v>220-80-06425</v>
      </c>
      <c r="H52" s="380" t="s">
        <v>180</v>
      </c>
      <c r="I52" s="239" t="s">
        <v>2103</v>
      </c>
      <c r="J52" s="51" t="s">
        <v>71</v>
      </c>
      <c r="K52" s="239" t="s">
        <v>2107</v>
      </c>
      <c r="L52" s="243">
        <v>41389</v>
      </c>
      <c r="M52" s="240" t="s">
        <v>179</v>
      </c>
      <c r="N52" s="31">
        <v>1000</v>
      </c>
      <c r="O52" s="70" t="s">
        <v>132</v>
      </c>
      <c r="P52" s="71">
        <v>9.2999999999999999E-2</v>
      </c>
      <c r="Q52" s="55" t="s">
        <v>1602</v>
      </c>
      <c r="R52" s="23">
        <v>42691</v>
      </c>
      <c r="S52" s="31">
        <v>1364</v>
      </c>
      <c r="T52" s="31">
        <v>1000</v>
      </c>
      <c r="U52" s="72" t="s">
        <v>134</v>
      </c>
      <c r="V52" s="52">
        <f t="shared" si="1"/>
        <v>3.5671232876712327</v>
      </c>
      <c r="W52" s="73"/>
      <c r="X52" s="174"/>
      <c r="Y52" s="73"/>
      <c r="Z52" s="31"/>
      <c r="AA52" s="31"/>
      <c r="AB52" s="239"/>
      <c r="AC52" s="240"/>
      <c r="AD52" s="240" t="s">
        <v>2058</v>
      </c>
      <c r="AE52" s="240" t="s">
        <v>2122</v>
      </c>
      <c r="AF52" s="240" t="s">
        <v>2069</v>
      </c>
      <c r="AG52" s="239"/>
      <c r="AH52" s="256"/>
    </row>
    <row r="53" spans="5:34" ht="26.1" customHeight="1">
      <c r="E53" s="293" t="s">
        <v>111</v>
      </c>
      <c r="F53" s="274" t="s">
        <v>2747</v>
      </c>
      <c r="G53" s="69" t="str">
        <f t="shared" si="0"/>
        <v>220-87-91125</v>
      </c>
      <c r="H53" s="294" t="s">
        <v>181</v>
      </c>
      <c r="I53" s="274" t="s">
        <v>2797</v>
      </c>
      <c r="J53" s="295" t="s">
        <v>71</v>
      </c>
      <c r="K53" s="274" t="s">
        <v>2798</v>
      </c>
      <c r="L53" s="265">
        <v>40175</v>
      </c>
      <c r="M53" s="263" t="s">
        <v>72</v>
      </c>
      <c r="N53" s="296">
        <v>40000</v>
      </c>
      <c r="O53" s="264" t="s">
        <v>132</v>
      </c>
      <c r="P53" s="297">
        <v>0.34699999999999998</v>
      </c>
      <c r="Q53" s="298"/>
      <c r="R53" s="299">
        <v>40905</v>
      </c>
      <c r="S53" s="296">
        <v>72125</v>
      </c>
      <c r="T53" s="296">
        <v>40000</v>
      </c>
      <c r="U53" s="300" t="s">
        <v>134</v>
      </c>
      <c r="V53" s="52">
        <f t="shared" si="1"/>
        <v>2</v>
      </c>
      <c r="W53" s="301"/>
      <c r="X53" s="302"/>
      <c r="Y53" s="301"/>
      <c r="Z53" s="296"/>
      <c r="AA53" s="296"/>
      <c r="AB53" s="274"/>
      <c r="AC53" s="263"/>
      <c r="AD53" s="263" t="s">
        <v>2142</v>
      </c>
      <c r="AE53" s="263" t="s">
        <v>2799</v>
      </c>
      <c r="AF53" s="263" t="s">
        <v>2800</v>
      </c>
      <c r="AG53" s="274" t="s">
        <v>2801</v>
      </c>
      <c r="AH53" s="256"/>
    </row>
    <row r="54" spans="5:34" ht="26.1" customHeight="1">
      <c r="E54" s="248" t="s">
        <v>1185</v>
      </c>
      <c r="F54" s="239" t="s">
        <v>2129</v>
      </c>
      <c r="G54" s="69" t="str">
        <f t="shared" si="0"/>
        <v>220-80-06629</v>
      </c>
      <c r="H54" s="134" t="s">
        <v>3</v>
      </c>
      <c r="I54" s="239" t="s">
        <v>2099</v>
      </c>
      <c r="J54" s="51" t="s">
        <v>71</v>
      </c>
      <c r="K54" s="239" t="s">
        <v>2105</v>
      </c>
      <c r="L54" s="243">
        <v>40325</v>
      </c>
      <c r="M54" s="240" t="s">
        <v>133</v>
      </c>
      <c r="N54" s="31">
        <v>2167</v>
      </c>
      <c r="O54" s="70" t="s">
        <v>1192</v>
      </c>
      <c r="P54" s="71"/>
      <c r="Q54" s="55" t="s">
        <v>1602</v>
      </c>
      <c r="R54" s="23">
        <v>42886</v>
      </c>
      <c r="S54" s="31">
        <v>385</v>
      </c>
      <c r="T54" s="31">
        <v>0</v>
      </c>
      <c r="U54" s="72" t="s">
        <v>137</v>
      </c>
      <c r="V54" s="52">
        <f t="shared" si="1"/>
        <v>7.0164383561643833</v>
      </c>
      <c r="W54" s="73" t="s">
        <v>117</v>
      </c>
      <c r="X54" s="174"/>
      <c r="Y54" s="73" t="s">
        <v>117</v>
      </c>
      <c r="Z54" s="31">
        <v>2167</v>
      </c>
      <c r="AA54" s="31">
        <v>2167</v>
      </c>
      <c r="AB54" s="239" t="s">
        <v>2125</v>
      </c>
      <c r="AC54" s="240" t="s">
        <v>2068</v>
      </c>
      <c r="AD54" s="240" t="s">
        <v>2130</v>
      </c>
      <c r="AE54" s="240" t="s">
        <v>2110</v>
      </c>
      <c r="AF54" s="240" t="s">
        <v>2109</v>
      </c>
      <c r="AG54" s="239" t="s">
        <v>2111</v>
      </c>
      <c r="AH54" s="256"/>
    </row>
    <row r="55" spans="5:34" ht="26.1" customHeight="1">
      <c r="E55" s="248" t="s">
        <v>1185</v>
      </c>
      <c r="F55" s="239" t="s">
        <v>2129</v>
      </c>
      <c r="G55" s="69" t="str">
        <f t="shared" si="0"/>
        <v>220-80-06629</v>
      </c>
      <c r="H55" s="134" t="s">
        <v>3</v>
      </c>
      <c r="I55" s="239" t="s">
        <v>2099</v>
      </c>
      <c r="J55" s="51" t="s">
        <v>71</v>
      </c>
      <c r="K55" s="239" t="s">
        <v>2105</v>
      </c>
      <c r="L55" s="243">
        <v>40325</v>
      </c>
      <c r="M55" s="240" t="s">
        <v>72</v>
      </c>
      <c r="N55" s="31">
        <v>333</v>
      </c>
      <c r="O55" s="70" t="s">
        <v>1192</v>
      </c>
      <c r="P55" s="71"/>
      <c r="Q55" s="55" t="s">
        <v>1602</v>
      </c>
      <c r="R55" s="23">
        <v>42886</v>
      </c>
      <c r="S55" s="31">
        <v>7</v>
      </c>
      <c r="T55" s="31">
        <v>0</v>
      </c>
      <c r="U55" s="72" t="s">
        <v>137</v>
      </c>
      <c r="V55" s="52">
        <f t="shared" si="1"/>
        <v>7.0164383561643833</v>
      </c>
      <c r="W55" s="73" t="s">
        <v>117</v>
      </c>
      <c r="X55" s="174"/>
      <c r="Y55" s="73" t="s">
        <v>117</v>
      </c>
      <c r="Z55" s="31">
        <v>333</v>
      </c>
      <c r="AA55" s="31">
        <v>333</v>
      </c>
      <c r="AB55" s="239" t="s">
        <v>2125</v>
      </c>
      <c r="AC55" s="240" t="s">
        <v>2068</v>
      </c>
      <c r="AD55" s="240" t="s">
        <v>2130</v>
      </c>
      <c r="AE55" s="240" t="s">
        <v>2110</v>
      </c>
      <c r="AF55" s="240" t="s">
        <v>2109</v>
      </c>
      <c r="AG55" s="239" t="s">
        <v>2111</v>
      </c>
      <c r="AH55" s="256"/>
    </row>
    <row r="56" spans="5:34" ht="26.1" customHeight="1">
      <c r="E56" s="248" t="s">
        <v>1185</v>
      </c>
      <c r="F56" s="239" t="s">
        <v>2129</v>
      </c>
      <c r="G56" s="69" t="str">
        <f t="shared" si="0"/>
        <v>220-80-06629</v>
      </c>
      <c r="H56" s="134" t="s">
        <v>3</v>
      </c>
      <c r="I56" s="239" t="s">
        <v>2099</v>
      </c>
      <c r="J56" s="51" t="s">
        <v>71</v>
      </c>
      <c r="K56" s="239" t="s">
        <v>2105</v>
      </c>
      <c r="L56" s="243">
        <v>40325</v>
      </c>
      <c r="M56" s="240" t="s">
        <v>179</v>
      </c>
      <c r="N56" s="31">
        <v>2500</v>
      </c>
      <c r="O56" s="70" t="s">
        <v>1192</v>
      </c>
      <c r="P56" s="71"/>
      <c r="Q56" s="55" t="s">
        <v>1602</v>
      </c>
      <c r="R56" s="23">
        <v>42886</v>
      </c>
      <c r="S56" s="31">
        <v>762</v>
      </c>
      <c r="T56" s="31">
        <v>0</v>
      </c>
      <c r="U56" s="72" t="s">
        <v>137</v>
      </c>
      <c r="V56" s="52">
        <f t="shared" si="1"/>
        <v>7.0164383561643833</v>
      </c>
      <c r="W56" s="73" t="s">
        <v>117</v>
      </c>
      <c r="X56" s="174"/>
      <c r="Y56" s="73" t="s">
        <v>117</v>
      </c>
      <c r="Z56" s="31">
        <v>2500</v>
      </c>
      <c r="AA56" s="31">
        <v>2500</v>
      </c>
      <c r="AB56" s="239" t="s">
        <v>2125</v>
      </c>
      <c r="AC56" s="240" t="s">
        <v>2068</v>
      </c>
      <c r="AD56" s="240" t="s">
        <v>2130</v>
      </c>
      <c r="AE56" s="240" t="s">
        <v>2110</v>
      </c>
      <c r="AF56" s="240" t="s">
        <v>2109</v>
      </c>
      <c r="AG56" s="239" t="s">
        <v>2112</v>
      </c>
      <c r="AH56" s="256"/>
    </row>
    <row r="57" spans="5:34" ht="26.1" customHeight="1">
      <c r="E57" s="248" t="s">
        <v>1185</v>
      </c>
      <c r="F57" s="239" t="s">
        <v>2028</v>
      </c>
      <c r="G57" s="69" t="str">
        <f t="shared" si="0"/>
        <v>220-80-06634</v>
      </c>
      <c r="H57" s="134" t="s">
        <v>3</v>
      </c>
      <c r="I57" s="239" t="s">
        <v>2099</v>
      </c>
      <c r="J57" s="51" t="s">
        <v>71</v>
      </c>
      <c r="K57" s="239" t="s">
        <v>2105</v>
      </c>
      <c r="L57" s="243">
        <v>40325</v>
      </c>
      <c r="M57" s="240" t="s">
        <v>133</v>
      </c>
      <c r="N57" s="31">
        <v>4463</v>
      </c>
      <c r="O57" s="370" t="s">
        <v>132</v>
      </c>
      <c r="P57" s="371">
        <v>-0.24099999999999999</v>
      </c>
      <c r="Q57" s="55" t="s">
        <v>1602</v>
      </c>
      <c r="R57" s="23">
        <v>42886</v>
      </c>
      <c r="S57" s="31">
        <v>793</v>
      </c>
      <c r="T57" s="31">
        <v>0</v>
      </c>
      <c r="U57" s="72" t="s">
        <v>137</v>
      </c>
      <c r="V57" s="52">
        <f t="shared" si="1"/>
        <v>7.0164383561643833</v>
      </c>
      <c r="W57" s="73" t="s">
        <v>131</v>
      </c>
      <c r="X57" s="324">
        <v>4463</v>
      </c>
      <c r="Y57" s="73" t="s">
        <v>117</v>
      </c>
      <c r="Z57" s="31">
        <v>0</v>
      </c>
      <c r="AA57" s="31">
        <v>0</v>
      </c>
      <c r="AB57" s="239" t="s">
        <v>2125</v>
      </c>
      <c r="AC57" s="240" t="s">
        <v>2068</v>
      </c>
      <c r="AD57" s="240" t="s">
        <v>2130</v>
      </c>
      <c r="AE57" s="240" t="s">
        <v>2110</v>
      </c>
      <c r="AF57" s="240" t="s">
        <v>2109</v>
      </c>
      <c r="AG57" s="92" t="s">
        <v>2967</v>
      </c>
      <c r="AH57" s="256"/>
    </row>
    <row r="58" spans="5:34" ht="26.1" customHeight="1">
      <c r="E58" s="248" t="s">
        <v>1185</v>
      </c>
      <c r="F58" s="239" t="s">
        <v>2028</v>
      </c>
      <c r="G58" s="69" t="str">
        <f t="shared" si="0"/>
        <v>220-80-06634</v>
      </c>
      <c r="H58" s="134" t="s">
        <v>3</v>
      </c>
      <c r="I58" s="239" t="s">
        <v>2099</v>
      </c>
      <c r="J58" s="51" t="s">
        <v>71</v>
      </c>
      <c r="K58" s="239" t="s">
        <v>2105</v>
      </c>
      <c r="L58" s="243">
        <v>40325</v>
      </c>
      <c r="M58" s="240" t="s">
        <v>72</v>
      </c>
      <c r="N58" s="31">
        <v>687</v>
      </c>
      <c r="O58" s="370" t="s">
        <v>132</v>
      </c>
      <c r="P58" s="371">
        <v>-0.45200000000000001</v>
      </c>
      <c r="Q58" s="55" t="s">
        <v>1602</v>
      </c>
      <c r="R58" s="23">
        <v>42886</v>
      </c>
      <c r="S58" s="31">
        <v>15</v>
      </c>
      <c r="T58" s="31">
        <v>0</v>
      </c>
      <c r="U58" s="72" t="s">
        <v>137</v>
      </c>
      <c r="V58" s="52">
        <f t="shared" si="1"/>
        <v>7.0164383561643833</v>
      </c>
      <c r="W58" s="73" t="s">
        <v>131</v>
      </c>
      <c r="X58" s="324">
        <v>185</v>
      </c>
      <c r="Y58" s="73" t="s">
        <v>117</v>
      </c>
      <c r="Z58" s="31">
        <v>502</v>
      </c>
      <c r="AA58" s="31">
        <v>502</v>
      </c>
      <c r="AB58" s="239" t="s">
        <v>2125</v>
      </c>
      <c r="AC58" s="240" t="s">
        <v>2068</v>
      </c>
      <c r="AD58" s="240" t="s">
        <v>2130</v>
      </c>
      <c r="AE58" s="240" t="s">
        <v>2110</v>
      </c>
      <c r="AF58" s="240" t="s">
        <v>2109</v>
      </c>
      <c r="AG58" s="92" t="s">
        <v>2967</v>
      </c>
      <c r="AH58" s="256"/>
    </row>
    <row r="59" spans="5:34" ht="26.1" customHeight="1">
      <c r="E59" s="248" t="s">
        <v>1185</v>
      </c>
      <c r="F59" s="239" t="s">
        <v>2028</v>
      </c>
      <c r="G59" s="69" t="str">
        <f t="shared" si="0"/>
        <v>220-80-06634</v>
      </c>
      <c r="H59" s="134" t="s">
        <v>3</v>
      </c>
      <c r="I59" s="239" t="s">
        <v>2099</v>
      </c>
      <c r="J59" s="51" t="s">
        <v>71</v>
      </c>
      <c r="K59" s="239" t="s">
        <v>2105</v>
      </c>
      <c r="L59" s="243">
        <v>40325</v>
      </c>
      <c r="M59" s="240" t="s">
        <v>179</v>
      </c>
      <c r="N59" s="31">
        <v>5150</v>
      </c>
      <c r="O59" s="370" t="s">
        <v>132</v>
      </c>
      <c r="P59" s="371">
        <v>-0.214</v>
      </c>
      <c r="Q59" s="55" t="s">
        <v>1602</v>
      </c>
      <c r="R59" s="23">
        <v>42886</v>
      </c>
      <c r="S59" s="31">
        <v>1586</v>
      </c>
      <c r="T59" s="31">
        <v>0</v>
      </c>
      <c r="U59" s="72" t="s">
        <v>137</v>
      </c>
      <c r="V59" s="52">
        <f t="shared" si="1"/>
        <v>7.0164383561643833</v>
      </c>
      <c r="W59" s="73" t="s">
        <v>131</v>
      </c>
      <c r="X59" s="324">
        <v>1363</v>
      </c>
      <c r="Y59" s="73" t="s">
        <v>117</v>
      </c>
      <c r="Z59" s="31">
        <v>3787</v>
      </c>
      <c r="AA59" s="31">
        <v>3787</v>
      </c>
      <c r="AB59" s="239" t="s">
        <v>2125</v>
      </c>
      <c r="AC59" s="240" t="s">
        <v>2068</v>
      </c>
      <c r="AD59" s="240" t="s">
        <v>2130</v>
      </c>
      <c r="AE59" s="240" t="s">
        <v>2110</v>
      </c>
      <c r="AF59" s="240" t="s">
        <v>2109</v>
      </c>
      <c r="AG59" s="92" t="s">
        <v>2968</v>
      </c>
      <c r="AH59" s="256"/>
    </row>
    <row r="60" spans="5:34" ht="26.1" customHeight="1">
      <c r="E60" s="248" t="s">
        <v>1185</v>
      </c>
      <c r="F60" s="239" t="s">
        <v>2018</v>
      </c>
      <c r="G60" s="69" t="str">
        <f t="shared" si="0"/>
        <v>220-80-06691</v>
      </c>
      <c r="H60" s="134" t="s">
        <v>180</v>
      </c>
      <c r="I60" s="239" t="s">
        <v>2131</v>
      </c>
      <c r="J60" s="51" t="s">
        <v>71</v>
      </c>
      <c r="K60" s="239" t="s">
        <v>2107</v>
      </c>
      <c r="L60" s="243">
        <v>40486</v>
      </c>
      <c r="M60" s="240" t="s">
        <v>133</v>
      </c>
      <c r="N60" s="31">
        <v>200</v>
      </c>
      <c r="O60" s="70" t="s">
        <v>132</v>
      </c>
      <c r="P60" s="71">
        <v>7.2999999999999995E-2</v>
      </c>
      <c r="Q60" s="55"/>
      <c r="R60" s="23">
        <v>41589</v>
      </c>
      <c r="S60" s="31">
        <v>245</v>
      </c>
      <c r="T60" s="31">
        <v>200</v>
      </c>
      <c r="U60" s="72" t="s">
        <v>1617</v>
      </c>
      <c r="V60" s="52">
        <f t="shared" si="1"/>
        <v>3.021917808219178</v>
      </c>
      <c r="W60" s="73"/>
      <c r="X60" s="174"/>
      <c r="Y60" s="73"/>
      <c r="Z60" s="31"/>
      <c r="AA60" s="31"/>
      <c r="AB60" s="239"/>
      <c r="AC60" s="240"/>
      <c r="AD60" s="240" t="s">
        <v>2060</v>
      </c>
      <c r="AE60" s="240" t="s">
        <v>2138</v>
      </c>
      <c r="AF60" s="240" t="s">
        <v>2139</v>
      </c>
      <c r="AG60" s="239"/>
      <c r="AH60" s="256"/>
    </row>
    <row r="61" spans="5:34" ht="26.1" customHeight="1">
      <c r="E61" s="248" t="s">
        <v>1185</v>
      </c>
      <c r="F61" s="239" t="s">
        <v>2018</v>
      </c>
      <c r="G61" s="69" t="str">
        <f t="shared" si="0"/>
        <v>220-80-06691</v>
      </c>
      <c r="H61" s="134" t="s">
        <v>180</v>
      </c>
      <c r="I61" s="239" t="s">
        <v>2131</v>
      </c>
      <c r="J61" s="51" t="s">
        <v>71</v>
      </c>
      <c r="K61" s="239" t="s">
        <v>2107</v>
      </c>
      <c r="L61" s="243">
        <v>40493</v>
      </c>
      <c r="M61" s="240" t="s">
        <v>116</v>
      </c>
      <c r="N61" s="31">
        <v>1800</v>
      </c>
      <c r="O61" s="70" t="s">
        <v>132</v>
      </c>
      <c r="P61" s="71">
        <v>7.2999999999999995E-2</v>
      </c>
      <c r="Q61" s="55"/>
      <c r="R61" s="23">
        <v>41589</v>
      </c>
      <c r="S61" s="31">
        <v>2206</v>
      </c>
      <c r="T61" s="31">
        <v>1800</v>
      </c>
      <c r="U61" s="72" t="s">
        <v>1617</v>
      </c>
      <c r="V61" s="52">
        <f t="shared" si="1"/>
        <v>3.0027397260273974</v>
      </c>
      <c r="W61" s="73"/>
      <c r="X61" s="174"/>
      <c r="Y61" s="73"/>
      <c r="Z61" s="31"/>
      <c r="AA61" s="31"/>
      <c r="AB61" s="239"/>
      <c r="AC61" s="240"/>
      <c r="AD61" s="240" t="s">
        <v>2060</v>
      </c>
      <c r="AE61" s="240" t="s">
        <v>2138</v>
      </c>
      <c r="AF61" s="240" t="s">
        <v>2139</v>
      </c>
      <c r="AG61" s="239"/>
      <c r="AH61" s="256"/>
    </row>
    <row r="62" spans="5:34" ht="26.1" customHeight="1">
      <c r="E62" s="248" t="s">
        <v>1185</v>
      </c>
      <c r="F62" s="239" t="s">
        <v>2018</v>
      </c>
      <c r="G62" s="69" t="str">
        <f t="shared" si="0"/>
        <v>220-80-06691</v>
      </c>
      <c r="H62" s="134" t="s">
        <v>180</v>
      </c>
      <c r="I62" s="239" t="s">
        <v>2132</v>
      </c>
      <c r="J62" s="51" t="s">
        <v>71</v>
      </c>
      <c r="K62" s="239" t="s">
        <v>2133</v>
      </c>
      <c r="L62" s="243">
        <v>40645</v>
      </c>
      <c r="M62" s="240" t="s">
        <v>133</v>
      </c>
      <c r="N62" s="31">
        <v>250</v>
      </c>
      <c r="O62" s="70" t="s">
        <v>132</v>
      </c>
      <c r="P62" s="71">
        <v>-0.89900000000000002</v>
      </c>
      <c r="Q62" s="55" t="s">
        <v>192</v>
      </c>
      <c r="R62" s="23">
        <v>41635</v>
      </c>
      <c r="S62" s="31">
        <v>1</v>
      </c>
      <c r="T62" s="31">
        <v>250</v>
      </c>
      <c r="U62" s="72" t="s">
        <v>134</v>
      </c>
      <c r="V62" s="52">
        <f t="shared" si="1"/>
        <v>2.7123287671232879</v>
      </c>
      <c r="W62" s="73"/>
      <c r="X62" s="174"/>
      <c r="Y62" s="73"/>
      <c r="Z62" s="31"/>
      <c r="AA62" s="31"/>
      <c r="AB62" s="239"/>
      <c r="AC62" s="240"/>
      <c r="AD62" s="240" t="s">
        <v>2060</v>
      </c>
      <c r="AE62" s="240" t="s">
        <v>2140</v>
      </c>
      <c r="AF62" s="240" t="s">
        <v>2141</v>
      </c>
      <c r="AG62" s="239"/>
      <c r="AH62" s="256"/>
    </row>
    <row r="63" spans="5:34" ht="26.1" customHeight="1">
      <c r="E63" s="248" t="s">
        <v>1185</v>
      </c>
      <c r="F63" s="239" t="s">
        <v>2018</v>
      </c>
      <c r="G63" s="69" t="str">
        <f t="shared" si="0"/>
        <v>220-80-06691</v>
      </c>
      <c r="H63" s="134" t="s">
        <v>180</v>
      </c>
      <c r="I63" s="239" t="s">
        <v>2134</v>
      </c>
      <c r="J63" s="51" t="s">
        <v>71</v>
      </c>
      <c r="K63" s="239" t="s">
        <v>2106</v>
      </c>
      <c r="L63" s="243">
        <v>40667</v>
      </c>
      <c r="M63" s="240" t="s">
        <v>72</v>
      </c>
      <c r="N63" s="31">
        <v>1918</v>
      </c>
      <c r="O63" s="70" t="s">
        <v>1192</v>
      </c>
      <c r="P63" s="71"/>
      <c r="Q63" s="55" t="s">
        <v>1602</v>
      </c>
      <c r="R63" s="23">
        <v>42116</v>
      </c>
      <c r="S63" s="31">
        <v>12</v>
      </c>
      <c r="T63" s="31">
        <v>0</v>
      </c>
      <c r="U63" s="72" t="s">
        <v>137</v>
      </c>
      <c r="V63" s="52">
        <f t="shared" si="1"/>
        <v>3.9698630136986299</v>
      </c>
      <c r="W63" s="73" t="s">
        <v>117</v>
      </c>
      <c r="X63" s="174"/>
      <c r="Y63" s="73" t="s">
        <v>117</v>
      </c>
      <c r="Z63" s="31">
        <v>1918</v>
      </c>
      <c r="AA63" s="31">
        <v>1918</v>
      </c>
      <c r="AB63" s="239" t="s">
        <v>2125</v>
      </c>
      <c r="AC63" s="240" t="s">
        <v>2069</v>
      </c>
      <c r="AD63" s="240" t="s">
        <v>2142</v>
      </c>
      <c r="AE63" s="240" t="s">
        <v>2143</v>
      </c>
      <c r="AF63" s="240" t="s">
        <v>2144</v>
      </c>
      <c r="AG63" s="239" t="s">
        <v>2145</v>
      </c>
      <c r="AH63" s="256"/>
    </row>
    <row r="64" spans="5:34" ht="26.1" customHeight="1">
      <c r="E64" s="248" t="s">
        <v>1185</v>
      </c>
      <c r="F64" s="239" t="s">
        <v>2018</v>
      </c>
      <c r="G64" s="69" t="str">
        <f t="shared" si="0"/>
        <v>220-80-06691</v>
      </c>
      <c r="H64" s="134" t="s">
        <v>180</v>
      </c>
      <c r="I64" s="239" t="s">
        <v>2101</v>
      </c>
      <c r="J64" s="51" t="s">
        <v>71</v>
      </c>
      <c r="K64" s="239" t="s">
        <v>2107</v>
      </c>
      <c r="L64" s="243">
        <v>40752</v>
      </c>
      <c r="M64" s="240" t="s">
        <v>133</v>
      </c>
      <c r="N64" s="31">
        <v>2000</v>
      </c>
      <c r="O64" s="70" t="s">
        <v>132</v>
      </c>
      <c r="P64" s="71">
        <v>0.09</v>
      </c>
      <c r="Q64" s="55" t="s">
        <v>1602</v>
      </c>
      <c r="R64" s="23">
        <v>42269</v>
      </c>
      <c r="S64" s="31">
        <v>2822</v>
      </c>
      <c r="T64" s="31">
        <v>2000</v>
      </c>
      <c r="U64" s="72" t="s">
        <v>1617</v>
      </c>
      <c r="V64" s="52">
        <f t="shared" si="1"/>
        <v>4.1561643835616442</v>
      </c>
      <c r="W64" s="73"/>
      <c r="X64" s="174"/>
      <c r="Y64" s="73"/>
      <c r="Z64" s="31"/>
      <c r="AA64" s="31"/>
      <c r="AB64" s="239"/>
      <c r="AC64" s="240"/>
      <c r="AD64" s="240" t="s">
        <v>2115</v>
      </c>
      <c r="AE64" s="240" t="s">
        <v>2116</v>
      </c>
      <c r="AF64" s="240" t="s">
        <v>2117</v>
      </c>
      <c r="AG64" s="239"/>
      <c r="AH64" s="256"/>
    </row>
    <row r="65" spans="5:34" ht="26.1" customHeight="1">
      <c r="E65" s="248" t="s">
        <v>1185</v>
      </c>
      <c r="F65" s="239" t="s">
        <v>2018</v>
      </c>
      <c r="G65" s="69" t="str">
        <f t="shared" si="0"/>
        <v>220-80-06691</v>
      </c>
      <c r="H65" s="134" t="s">
        <v>180</v>
      </c>
      <c r="I65" s="239" t="s">
        <v>2135</v>
      </c>
      <c r="J65" s="51" t="s">
        <v>71</v>
      </c>
      <c r="K65" s="239" t="s">
        <v>2136</v>
      </c>
      <c r="L65" s="243">
        <v>40836</v>
      </c>
      <c r="M65" s="240" t="s">
        <v>72</v>
      </c>
      <c r="N65" s="31">
        <v>1290</v>
      </c>
      <c r="O65" s="70" t="s">
        <v>132</v>
      </c>
      <c r="P65" s="71">
        <v>2.4E-2</v>
      </c>
      <c r="Q65" s="55" t="s">
        <v>192</v>
      </c>
      <c r="R65" s="23">
        <v>41778</v>
      </c>
      <c r="S65" s="31">
        <v>1365</v>
      </c>
      <c r="T65" s="31">
        <v>1290</v>
      </c>
      <c r="U65" s="72" t="s">
        <v>134</v>
      </c>
      <c r="V65" s="52">
        <f t="shared" si="1"/>
        <v>2.580821917808219</v>
      </c>
      <c r="W65" s="73"/>
      <c r="X65" s="174"/>
      <c r="Y65" s="73"/>
      <c r="Z65" s="31"/>
      <c r="AA65" s="31"/>
      <c r="AB65" s="239"/>
      <c r="AC65" s="240"/>
      <c r="AD65" s="240" t="s">
        <v>2146</v>
      </c>
      <c r="AE65" s="240" t="s">
        <v>2066</v>
      </c>
      <c r="AF65" s="240" t="s">
        <v>2146</v>
      </c>
      <c r="AG65" s="239"/>
      <c r="AH65" s="256"/>
    </row>
    <row r="66" spans="5:34" ht="26.1" customHeight="1">
      <c r="E66" s="248" t="s">
        <v>1185</v>
      </c>
      <c r="F66" s="239" t="s">
        <v>2018</v>
      </c>
      <c r="G66" s="69" t="str">
        <f t="shared" si="0"/>
        <v>220-80-06691</v>
      </c>
      <c r="H66" s="134" t="s">
        <v>180</v>
      </c>
      <c r="I66" s="239" t="s">
        <v>2137</v>
      </c>
      <c r="J66" s="51" t="s">
        <v>71</v>
      </c>
      <c r="K66" s="239" t="s">
        <v>2108</v>
      </c>
      <c r="L66" s="243">
        <v>40949</v>
      </c>
      <c r="M66" s="240" t="s">
        <v>133</v>
      </c>
      <c r="N66" s="31">
        <v>250</v>
      </c>
      <c r="O66" s="70" t="s">
        <v>132</v>
      </c>
      <c r="P66" s="71">
        <v>1.294</v>
      </c>
      <c r="Q66" s="55" t="s">
        <v>1602</v>
      </c>
      <c r="R66" s="23">
        <v>42103</v>
      </c>
      <c r="S66" s="31">
        <v>3453</v>
      </c>
      <c r="T66" s="31">
        <v>250</v>
      </c>
      <c r="U66" s="72" t="s">
        <v>134</v>
      </c>
      <c r="V66" s="52">
        <f t="shared" si="1"/>
        <v>3.1616438356164385</v>
      </c>
      <c r="W66" s="73"/>
      <c r="X66" s="174"/>
      <c r="Y66" s="73"/>
      <c r="Z66" s="31"/>
      <c r="AA66" s="31"/>
      <c r="AB66" s="239"/>
      <c r="AC66" s="240"/>
      <c r="AD66" s="240" t="s">
        <v>2147</v>
      </c>
      <c r="AE66" s="240" t="s">
        <v>2148</v>
      </c>
      <c r="AF66" s="240" t="s">
        <v>2149</v>
      </c>
      <c r="AG66" s="239"/>
      <c r="AH66" s="256"/>
    </row>
    <row r="67" spans="5:34" ht="26.1" customHeight="1">
      <c r="E67" s="248" t="s">
        <v>1185</v>
      </c>
      <c r="F67" s="239" t="s">
        <v>2018</v>
      </c>
      <c r="G67" s="69" t="str">
        <f t="shared" si="0"/>
        <v>220-80-06691</v>
      </c>
      <c r="H67" s="134" t="s">
        <v>180</v>
      </c>
      <c r="I67" s="239" t="s">
        <v>2102</v>
      </c>
      <c r="J67" s="51" t="s">
        <v>71</v>
      </c>
      <c r="K67" s="239" t="s">
        <v>137</v>
      </c>
      <c r="L67" s="243">
        <v>41101</v>
      </c>
      <c r="M67" s="240" t="s">
        <v>133</v>
      </c>
      <c r="N67" s="31">
        <v>750</v>
      </c>
      <c r="O67" s="70" t="s">
        <v>132</v>
      </c>
      <c r="P67" s="71">
        <v>-0.40699999999999997</v>
      </c>
      <c r="Q67" s="55" t="s">
        <v>1602</v>
      </c>
      <c r="R67" s="23">
        <v>42825</v>
      </c>
      <c r="S67" s="31">
        <v>90</v>
      </c>
      <c r="T67" s="31">
        <v>66</v>
      </c>
      <c r="U67" s="72" t="s">
        <v>1617</v>
      </c>
      <c r="V67" s="52">
        <f t="shared" si="1"/>
        <v>4.7232876712328764</v>
      </c>
      <c r="W67" s="73" t="s">
        <v>131</v>
      </c>
      <c r="X67" s="324">
        <v>684</v>
      </c>
      <c r="Y67" s="73" t="s">
        <v>117</v>
      </c>
      <c r="Z67" s="31">
        <v>0</v>
      </c>
      <c r="AA67" s="31">
        <v>0</v>
      </c>
      <c r="AB67" s="239" t="s">
        <v>2125</v>
      </c>
      <c r="AC67" s="240" t="s">
        <v>2069</v>
      </c>
      <c r="AD67" s="240" t="s">
        <v>2118</v>
      </c>
      <c r="AE67" s="240" t="s">
        <v>2119</v>
      </c>
      <c r="AF67" s="240" t="s">
        <v>2069</v>
      </c>
      <c r="AG67" s="92" t="s">
        <v>2969</v>
      </c>
      <c r="AH67" s="256"/>
    </row>
    <row r="68" spans="5:34" ht="26.1" customHeight="1">
      <c r="E68" s="248" t="s">
        <v>1185</v>
      </c>
      <c r="F68" s="239" t="s">
        <v>2018</v>
      </c>
      <c r="G68" s="69" t="str">
        <f t="shared" si="0"/>
        <v>220-80-06691</v>
      </c>
      <c r="H68" s="134" t="s">
        <v>180</v>
      </c>
      <c r="I68" s="239" t="s">
        <v>2102</v>
      </c>
      <c r="J68" s="51" t="s">
        <v>71</v>
      </c>
      <c r="K68" s="239" t="s">
        <v>137</v>
      </c>
      <c r="L68" s="243">
        <v>41101</v>
      </c>
      <c r="M68" s="240" t="s">
        <v>116</v>
      </c>
      <c r="N68" s="31">
        <v>750</v>
      </c>
      <c r="O68" s="70" t="s">
        <v>132</v>
      </c>
      <c r="P68" s="71">
        <v>-0.66900000000000004</v>
      </c>
      <c r="Q68" s="55" t="s">
        <v>1602</v>
      </c>
      <c r="R68" s="23">
        <v>42825</v>
      </c>
      <c r="S68" s="31">
        <v>30</v>
      </c>
      <c r="T68" s="31">
        <v>0</v>
      </c>
      <c r="U68" s="72" t="s">
        <v>137</v>
      </c>
      <c r="V68" s="52">
        <f t="shared" si="1"/>
        <v>4.7232876712328764</v>
      </c>
      <c r="W68" s="73" t="s">
        <v>131</v>
      </c>
      <c r="X68" s="324">
        <v>750</v>
      </c>
      <c r="Y68" s="73" t="s">
        <v>117</v>
      </c>
      <c r="Z68" s="31">
        <v>0</v>
      </c>
      <c r="AA68" s="31">
        <v>0</v>
      </c>
      <c r="AB68" s="239" t="s">
        <v>2125</v>
      </c>
      <c r="AC68" s="240" t="s">
        <v>2069</v>
      </c>
      <c r="AD68" s="240" t="s">
        <v>2118</v>
      </c>
      <c r="AE68" s="240" t="s">
        <v>2119</v>
      </c>
      <c r="AF68" s="240" t="s">
        <v>2069</v>
      </c>
      <c r="AG68" s="92" t="s">
        <v>2199</v>
      </c>
      <c r="AH68" s="256"/>
    </row>
    <row r="69" spans="5:34" ht="26.1" customHeight="1">
      <c r="E69" s="248" t="s">
        <v>1185</v>
      </c>
      <c r="F69" s="239" t="s">
        <v>2054</v>
      </c>
      <c r="G69" s="69" t="str">
        <f t="shared" si="0"/>
        <v>220-80-06726</v>
      </c>
      <c r="H69" s="134" t="s">
        <v>180</v>
      </c>
      <c r="I69" s="239" t="s">
        <v>2150</v>
      </c>
      <c r="J69" s="51" t="s">
        <v>71</v>
      </c>
      <c r="K69" s="239" t="s">
        <v>2107</v>
      </c>
      <c r="L69" s="243">
        <v>40462</v>
      </c>
      <c r="M69" s="240" t="s">
        <v>133</v>
      </c>
      <c r="N69" s="31">
        <v>1450</v>
      </c>
      <c r="O69" s="70" t="s">
        <v>132</v>
      </c>
      <c r="P69" s="71">
        <v>-0.25600000000000001</v>
      </c>
      <c r="Q69" s="55"/>
      <c r="R69" s="23">
        <v>41824</v>
      </c>
      <c r="S69" s="31">
        <v>482</v>
      </c>
      <c r="T69" s="31">
        <v>1450</v>
      </c>
      <c r="U69" s="72" t="s">
        <v>1617</v>
      </c>
      <c r="V69" s="52">
        <f t="shared" si="1"/>
        <v>3.7315068493150685</v>
      </c>
      <c r="W69" s="73"/>
      <c r="X69" s="174"/>
      <c r="Y69" s="73"/>
      <c r="Z69" s="31"/>
      <c r="AA69" s="31"/>
      <c r="AB69" s="239"/>
      <c r="AC69" s="240"/>
      <c r="AD69" s="268" t="s">
        <v>2973</v>
      </c>
      <c r="AE69" s="268" t="s">
        <v>2974</v>
      </c>
      <c r="AF69" s="240" t="s">
        <v>2975</v>
      </c>
      <c r="AG69" s="239"/>
      <c r="AH69" s="256"/>
    </row>
    <row r="70" spans="5:34" ht="26.1" customHeight="1">
      <c r="E70" s="248" t="s">
        <v>1185</v>
      </c>
      <c r="F70" s="239" t="s">
        <v>2054</v>
      </c>
      <c r="G70" s="69" t="str">
        <f t="shared" si="0"/>
        <v>220-80-06726</v>
      </c>
      <c r="H70" s="134" t="s">
        <v>180</v>
      </c>
      <c r="I70" s="239" t="s">
        <v>2151</v>
      </c>
      <c r="J70" s="51" t="s">
        <v>71</v>
      </c>
      <c r="K70" s="239" t="s">
        <v>2105</v>
      </c>
      <c r="L70" s="243">
        <v>40525</v>
      </c>
      <c r="M70" s="240" t="s">
        <v>72</v>
      </c>
      <c r="N70" s="31">
        <v>2171</v>
      </c>
      <c r="O70" s="70" t="s">
        <v>132</v>
      </c>
      <c r="P70" s="71">
        <v>1.73</v>
      </c>
      <c r="Q70" s="55"/>
      <c r="R70" s="23">
        <v>41011</v>
      </c>
      <c r="S70" s="31">
        <v>6062</v>
      </c>
      <c r="T70" s="31">
        <v>2171</v>
      </c>
      <c r="U70" s="72" t="s">
        <v>114</v>
      </c>
      <c r="V70" s="52">
        <f t="shared" si="1"/>
        <v>1.3315068493150686</v>
      </c>
      <c r="W70" s="73"/>
      <c r="X70" s="174"/>
      <c r="Y70" s="73"/>
      <c r="Z70" s="31"/>
      <c r="AA70" s="31"/>
      <c r="AB70" s="239"/>
      <c r="AC70" s="240"/>
      <c r="AD70" s="268" t="s">
        <v>2058</v>
      </c>
      <c r="AE70" s="268" t="s">
        <v>2976</v>
      </c>
      <c r="AF70" s="240" t="s">
        <v>2117</v>
      </c>
      <c r="AG70" s="239"/>
      <c r="AH70" s="256"/>
    </row>
    <row r="71" spans="5:34" ht="26.1" customHeight="1">
      <c r="E71" s="248" t="s">
        <v>1185</v>
      </c>
      <c r="F71" s="239" t="s">
        <v>2054</v>
      </c>
      <c r="G71" s="69" t="str">
        <f t="shared" si="0"/>
        <v>220-80-06726</v>
      </c>
      <c r="H71" s="134" t="s">
        <v>180</v>
      </c>
      <c r="I71" s="239" t="s">
        <v>2152</v>
      </c>
      <c r="J71" s="51" t="s">
        <v>71</v>
      </c>
      <c r="K71" s="239" t="s">
        <v>2105</v>
      </c>
      <c r="L71" s="243">
        <v>40541</v>
      </c>
      <c r="M71" s="240" t="s">
        <v>72</v>
      </c>
      <c r="N71" s="31">
        <v>7655</v>
      </c>
      <c r="O71" s="70" t="s">
        <v>132</v>
      </c>
      <c r="P71" s="71" t="s">
        <v>2688</v>
      </c>
      <c r="Q71" s="55" t="s">
        <v>1602</v>
      </c>
      <c r="R71" s="23">
        <v>42265</v>
      </c>
      <c r="S71" s="31">
        <v>11795</v>
      </c>
      <c r="T71" s="31">
        <v>7655</v>
      </c>
      <c r="U71" s="72" t="s">
        <v>1186</v>
      </c>
      <c r="V71" s="52">
        <f t="shared" si="1"/>
        <v>4.7232876712328764</v>
      </c>
      <c r="W71" s="73"/>
      <c r="X71" s="174"/>
      <c r="Y71" s="73"/>
      <c r="Z71" s="31"/>
      <c r="AA71" s="31"/>
      <c r="AB71" s="239"/>
      <c r="AC71" s="240"/>
      <c r="AD71" s="268" t="s">
        <v>2804</v>
      </c>
      <c r="AE71" s="268" t="s">
        <v>2977</v>
      </c>
      <c r="AF71" s="240" t="s">
        <v>2806</v>
      </c>
      <c r="AG71" s="239"/>
      <c r="AH71" s="256"/>
    </row>
    <row r="72" spans="5:34" ht="26.1" customHeight="1">
      <c r="E72" s="248" t="s">
        <v>1185</v>
      </c>
      <c r="F72" s="239" t="s">
        <v>2054</v>
      </c>
      <c r="G72" s="69" t="str">
        <f t="shared" si="0"/>
        <v>220-80-06726</v>
      </c>
      <c r="H72" s="134" t="s">
        <v>180</v>
      </c>
      <c r="I72" s="239" t="s">
        <v>2152</v>
      </c>
      <c r="J72" s="51" t="s">
        <v>71</v>
      </c>
      <c r="K72" s="239" t="s">
        <v>2105</v>
      </c>
      <c r="L72" s="243">
        <v>40589</v>
      </c>
      <c r="M72" s="240" t="s">
        <v>133</v>
      </c>
      <c r="N72" s="31">
        <v>2440</v>
      </c>
      <c r="O72" s="70" t="s">
        <v>132</v>
      </c>
      <c r="P72" s="71">
        <v>0.41399999999999998</v>
      </c>
      <c r="Q72" s="55" t="s">
        <v>1602</v>
      </c>
      <c r="R72" s="23">
        <v>42265</v>
      </c>
      <c r="S72" s="31">
        <v>6363</v>
      </c>
      <c r="T72" s="31">
        <v>2440</v>
      </c>
      <c r="U72" s="72" t="s">
        <v>1186</v>
      </c>
      <c r="V72" s="52">
        <f t="shared" si="1"/>
        <v>4.5917808219178085</v>
      </c>
      <c r="W72" s="73"/>
      <c r="X72" s="174"/>
      <c r="Y72" s="73"/>
      <c r="Z72" s="31"/>
      <c r="AA72" s="31"/>
      <c r="AB72" s="239"/>
      <c r="AC72" s="240"/>
      <c r="AD72" s="268" t="s">
        <v>2804</v>
      </c>
      <c r="AE72" s="268" t="s">
        <v>2977</v>
      </c>
      <c r="AF72" s="240" t="s">
        <v>2806</v>
      </c>
      <c r="AG72" s="239"/>
      <c r="AH72" s="256"/>
    </row>
    <row r="73" spans="5:34" ht="26.1" customHeight="1">
      <c r="E73" s="248" t="s">
        <v>1185</v>
      </c>
      <c r="F73" s="239" t="s">
        <v>2054</v>
      </c>
      <c r="G73" s="69" t="str">
        <f t="shared" si="0"/>
        <v>220-80-06726</v>
      </c>
      <c r="H73" s="134" t="s">
        <v>180</v>
      </c>
      <c r="I73" s="239" t="s">
        <v>2153</v>
      </c>
      <c r="J73" s="51" t="s">
        <v>71</v>
      </c>
      <c r="K73" s="239" t="s">
        <v>2105</v>
      </c>
      <c r="L73" s="243">
        <v>40630</v>
      </c>
      <c r="M73" s="240" t="s">
        <v>72</v>
      </c>
      <c r="N73" s="31">
        <v>5235</v>
      </c>
      <c r="O73" s="70" t="s">
        <v>132</v>
      </c>
      <c r="P73" s="71">
        <v>-7.4999999999999997E-2</v>
      </c>
      <c r="Q73" s="55" t="s">
        <v>192</v>
      </c>
      <c r="R73" s="23">
        <v>42236</v>
      </c>
      <c r="S73" s="31">
        <v>4228</v>
      </c>
      <c r="T73" s="31">
        <v>5235</v>
      </c>
      <c r="U73" s="72" t="s">
        <v>134</v>
      </c>
      <c r="V73" s="52">
        <f t="shared" si="1"/>
        <v>4.4000000000000004</v>
      </c>
      <c r="W73" s="73"/>
      <c r="X73" s="174"/>
      <c r="Y73" s="73"/>
      <c r="Z73" s="31"/>
      <c r="AA73" s="31"/>
      <c r="AB73" s="239"/>
      <c r="AC73" s="240"/>
      <c r="AD73" s="268" t="s">
        <v>2058</v>
      </c>
      <c r="AE73" s="268" t="s">
        <v>2113</v>
      </c>
      <c r="AF73" s="240" t="s">
        <v>2114</v>
      </c>
      <c r="AG73" s="239"/>
      <c r="AH73" s="256"/>
    </row>
    <row r="74" spans="5:34" ht="26.1" customHeight="1">
      <c r="E74" s="248" t="s">
        <v>1185</v>
      </c>
      <c r="F74" s="239" t="s">
        <v>2054</v>
      </c>
      <c r="G74" s="69" t="str">
        <f t="shared" si="0"/>
        <v>220-80-06726</v>
      </c>
      <c r="H74" s="134" t="s">
        <v>180</v>
      </c>
      <c r="I74" s="239" t="s">
        <v>2154</v>
      </c>
      <c r="J74" s="51" t="s">
        <v>71</v>
      </c>
      <c r="K74" s="239" t="s">
        <v>2105</v>
      </c>
      <c r="L74" s="243">
        <v>40632</v>
      </c>
      <c r="M74" s="240" t="s">
        <v>72</v>
      </c>
      <c r="N74" s="31">
        <v>2009</v>
      </c>
      <c r="O74" s="70" t="s">
        <v>132</v>
      </c>
      <c r="P74" s="71">
        <v>0.16700000000000001</v>
      </c>
      <c r="Q74" s="55" t="s">
        <v>192</v>
      </c>
      <c r="R74" s="23">
        <v>41638</v>
      </c>
      <c r="S74" s="31">
        <v>3007</v>
      </c>
      <c r="T74" s="31">
        <v>2009</v>
      </c>
      <c r="U74" s="72" t="s">
        <v>134</v>
      </c>
      <c r="V74" s="52">
        <f t="shared" si="1"/>
        <v>2.7561643835616438</v>
      </c>
      <c r="W74" s="73"/>
      <c r="X74" s="174"/>
      <c r="Y74" s="73"/>
      <c r="Z74" s="31"/>
      <c r="AA74" s="31"/>
      <c r="AB74" s="239"/>
      <c r="AC74" s="240"/>
      <c r="AD74" s="268" t="s">
        <v>2978</v>
      </c>
      <c r="AE74" s="268" t="s">
        <v>2979</v>
      </c>
      <c r="AF74" s="240" t="s">
        <v>2980</v>
      </c>
      <c r="AG74" s="239"/>
      <c r="AH74" s="256"/>
    </row>
    <row r="75" spans="5:34" ht="26.1" customHeight="1">
      <c r="E75" s="248" t="s">
        <v>1185</v>
      </c>
      <c r="F75" s="239" t="s">
        <v>2054</v>
      </c>
      <c r="G75" s="69" t="str">
        <f t="shared" si="0"/>
        <v>220-80-06726</v>
      </c>
      <c r="H75" s="134" t="s">
        <v>180</v>
      </c>
      <c r="I75" s="239" t="s">
        <v>2134</v>
      </c>
      <c r="J75" s="51" t="s">
        <v>71</v>
      </c>
      <c r="K75" s="239" t="s">
        <v>2106</v>
      </c>
      <c r="L75" s="243">
        <v>40667</v>
      </c>
      <c r="M75" s="240" t="s">
        <v>72</v>
      </c>
      <c r="N75" s="31">
        <v>1439</v>
      </c>
      <c r="O75" s="70" t="s">
        <v>132</v>
      </c>
      <c r="P75" s="71">
        <v>-0.113</v>
      </c>
      <c r="Q75" s="55" t="s">
        <v>1602</v>
      </c>
      <c r="R75" s="23">
        <v>42222</v>
      </c>
      <c r="S75" s="31">
        <v>866</v>
      </c>
      <c r="T75" s="31">
        <v>1439</v>
      </c>
      <c r="U75" s="72" t="s">
        <v>134</v>
      </c>
      <c r="V75" s="52">
        <f t="shared" si="1"/>
        <v>4.2602739726027394</v>
      </c>
      <c r="W75" s="73"/>
      <c r="X75" s="174"/>
      <c r="Y75" s="73"/>
      <c r="Z75" s="31"/>
      <c r="AA75" s="31"/>
      <c r="AB75" s="239"/>
      <c r="AC75" s="240"/>
      <c r="AD75" s="268" t="s">
        <v>2142</v>
      </c>
      <c r="AE75" s="268" t="s">
        <v>2143</v>
      </c>
      <c r="AF75" s="240" t="s">
        <v>2144</v>
      </c>
      <c r="AG75" s="239"/>
      <c r="AH75" s="256"/>
    </row>
    <row r="76" spans="5:34" ht="26.1" customHeight="1">
      <c r="E76" s="248" t="s">
        <v>1185</v>
      </c>
      <c r="F76" s="239" t="s">
        <v>2019</v>
      </c>
      <c r="G76" s="69" t="str">
        <f t="shared" si="0"/>
        <v>220-80-06745</v>
      </c>
      <c r="H76" s="134" t="s">
        <v>3</v>
      </c>
      <c r="I76" s="239" t="s">
        <v>2188</v>
      </c>
      <c r="J76" s="51" t="s">
        <v>71</v>
      </c>
      <c r="K76" s="239" t="s">
        <v>2108</v>
      </c>
      <c r="L76" s="243">
        <v>40533</v>
      </c>
      <c r="M76" s="240" t="s">
        <v>133</v>
      </c>
      <c r="N76" s="31">
        <v>500</v>
      </c>
      <c r="O76" s="70" t="s">
        <v>132</v>
      </c>
      <c r="P76" s="71">
        <v>-0.52900000000000003</v>
      </c>
      <c r="Q76" s="55"/>
      <c r="R76" s="23">
        <v>42907</v>
      </c>
      <c r="S76" s="31">
        <v>4</v>
      </c>
      <c r="T76" s="31">
        <v>500</v>
      </c>
      <c r="U76" s="72" t="s">
        <v>134</v>
      </c>
      <c r="V76" s="52">
        <f t="shared" si="1"/>
        <v>6.5041095890410956</v>
      </c>
      <c r="W76" s="73"/>
      <c r="X76" s="174"/>
      <c r="Y76" s="73"/>
      <c r="Z76" s="31"/>
      <c r="AA76" s="31"/>
      <c r="AB76" s="239"/>
      <c r="AC76" s="240"/>
      <c r="AD76" s="240" t="s">
        <v>2058</v>
      </c>
      <c r="AE76" s="240" t="s">
        <v>2197</v>
      </c>
      <c r="AF76" s="240" t="s">
        <v>2198</v>
      </c>
      <c r="AG76" s="239" t="s">
        <v>2207</v>
      </c>
      <c r="AH76" s="256"/>
    </row>
    <row r="77" spans="5:34" ht="26.1" customHeight="1">
      <c r="E77" s="248" t="s">
        <v>1185</v>
      </c>
      <c r="F77" s="239" t="s">
        <v>2019</v>
      </c>
      <c r="G77" s="69" t="str">
        <f t="shared" si="0"/>
        <v>220-80-06745</v>
      </c>
      <c r="H77" s="134" t="s">
        <v>3</v>
      </c>
      <c r="I77" s="239" t="s">
        <v>2188</v>
      </c>
      <c r="J77" s="51" t="s">
        <v>71</v>
      </c>
      <c r="K77" s="239" t="s">
        <v>2108</v>
      </c>
      <c r="L77" s="243">
        <v>40533</v>
      </c>
      <c r="M77" s="240" t="s">
        <v>179</v>
      </c>
      <c r="N77" s="31">
        <v>500</v>
      </c>
      <c r="O77" s="70" t="s">
        <v>132</v>
      </c>
      <c r="P77" s="71">
        <v>-0.33700000000000002</v>
      </c>
      <c r="Q77" s="55"/>
      <c r="R77" s="23">
        <v>42907</v>
      </c>
      <c r="S77" s="31">
        <v>103</v>
      </c>
      <c r="T77" s="31">
        <v>500</v>
      </c>
      <c r="U77" s="72" t="s">
        <v>1617</v>
      </c>
      <c r="V77" s="52">
        <f t="shared" si="1"/>
        <v>6.5041095890410956</v>
      </c>
      <c r="W77" s="73"/>
      <c r="X77" s="174"/>
      <c r="Y77" s="73"/>
      <c r="Z77" s="31"/>
      <c r="AA77" s="31"/>
      <c r="AB77" s="239"/>
      <c r="AC77" s="240"/>
      <c r="AD77" s="240" t="s">
        <v>2058</v>
      </c>
      <c r="AE77" s="240" t="s">
        <v>2197</v>
      </c>
      <c r="AF77" s="240" t="s">
        <v>2198</v>
      </c>
      <c r="AG77" s="239" t="s">
        <v>2207</v>
      </c>
      <c r="AH77" s="256"/>
    </row>
    <row r="78" spans="5:34" ht="26.1" customHeight="1">
      <c r="E78" s="248" t="s">
        <v>1185</v>
      </c>
      <c r="F78" s="239" t="s">
        <v>2019</v>
      </c>
      <c r="G78" s="69" t="str">
        <f t="shared" si="0"/>
        <v>220-80-06745</v>
      </c>
      <c r="H78" s="134" t="s">
        <v>3</v>
      </c>
      <c r="I78" s="239" t="s">
        <v>2188</v>
      </c>
      <c r="J78" s="51" t="s">
        <v>71</v>
      </c>
      <c r="K78" s="239" t="s">
        <v>2108</v>
      </c>
      <c r="L78" s="243">
        <v>40533</v>
      </c>
      <c r="M78" s="240" t="s">
        <v>72</v>
      </c>
      <c r="N78" s="31">
        <v>410</v>
      </c>
      <c r="O78" s="70" t="s">
        <v>132</v>
      </c>
      <c r="P78" s="71">
        <v>-0.52900000000000003</v>
      </c>
      <c r="Q78" s="55"/>
      <c r="R78" s="23">
        <v>42907</v>
      </c>
      <c r="S78" s="31">
        <v>3</v>
      </c>
      <c r="T78" s="31">
        <v>410</v>
      </c>
      <c r="U78" s="72" t="s">
        <v>134</v>
      </c>
      <c r="V78" s="52">
        <f t="shared" si="1"/>
        <v>6.5041095890410956</v>
      </c>
      <c r="W78" s="73"/>
      <c r="X78" s="174"/>
      <c r="Y78" s="73"/>
      <c r="Z78" s="31"/>
      <c r="AA78" s="31"/>
      <c r="AB78" s="239"/>
      <c r="AC78" s="240"/>
      <c r="AD78" s="240" t="s">
        <v>2058</v>
      </c>
      <c r="AE78" s="240" t="s">
        <v>2197</v>
      </c>
      <c r="AF78" s="240" t="s">
        <v>2198</v>
      </c>
      <c r="AG78" s="239" t="s">
        <v>2207</v>
      </c>
      <c r="AH78" s="256"/>
    </row>
    <row r="79" spans="5:34" ht="26.1" customHeight="1">
      <c r="E79" s="248" t="s">
        <v>1185</v>
      </c>
      <c r="F79" s="239" t="s">
        <v>2019</v>
      </c>
      <c r="G79" s="69" t="str">
        <f t="shared" si="0"/>
        <v>220-80-06745</v>
      </c>
      <c r="H79" s="134" t="s">
        <v>3</v>
      </c>
      <c r="I79" s="239" t="s">
        <v>2100</v>
      </c>
      <c r="J79" s="51" t="s">
        <v>71</v>
      </c>
      <c r="K79" s="239" t="s">
        <v>2106</v>
      </c>
      <c r="L79" s="243">
        <v>40641</v>
      </c>
      <c r="M79" s="240" t="s">
        <v>133</v>
      </c>
      <c r="N79" s="31">
        <v>2650</v>
      </c>
      <c r="O79" s="70" t="s">
        <v>132</v>
      </c>
      <c r="P79" s="71">
        <v>7.0000000000000007E-2</v>
      </c>
      <c r="Q79" s="55" t="s">
        <v>1602</v>
      </c>
      <c r="R79" s="23">
        <v>42278</v>
      </c>
      <c r="S79" s="31">
        <v>3579</v>
      </c>
      <c r="T79" s="31">
        <v>2650</v>
      </c>
      <c r="U79" s="72" t="s">
        <v>1617</v>
      </c>
      <c r="V79" s="52">
        <f t="shared" si="1"/>
        <v>4.484931506849315</v>
      </c>
      <c r="W79" s="73"/>
      <c r="X79" s="174"/>
      <c r="Y79" s="73"/>
      <c r="Z79" s="31"/>
      <c r="AA79" s="31"/>
      <c r="AB79" s="239"/>
      <c r="AC79" s="240"/>
      <c r="AD79" s="240" t="s">
        <v>2058</v>
      </c>
      <c r="AE79" s="240" t="s">
        <v>2113</v>
      </c>
      <c r="AF79" s="240" t="s">
        <v>2114</v>
      </c>
      <c r="AG79" s="239"/>
      <c r="AH79" s="256"/>
    </row>
    <row r="80" spans="5:34" ht="26.1" customHeight="1">
      <c r="E80" s="248" t="s">
        <v>1185</v>
      </c>
      <c r="F80" s="239" t="s">
        <v>2019</v>
      </c>
      <c r="G80" s="69" t="str">
        <f t="shared" si="0"/>
        <v>220-80-06745</v>
      </c>
      <c r="H80" s="134" t="s">
        <v>3</v>
      </c>
      <c r="I80" s="239" t="s">
        <v>2189</v>
      </c>
      <c r="J80" s="51" t="s">
        <v>71</v>
      </c>
      <c r="K80" s="239" t="s">
        <v>2108</v>
      </c>
      <c r="L80" s="243">
        <v>40701</v>
      </c>
      <c r="M80" s="240" t="s">
        <v>179</v>
      </c>
      <c r="N80" s="31">
        <v>500</v>
      </c>
      <c r="O80" s="70" t="s">
        <v>132</v>
      </c>
      <c r="P80" s="71">
        <v>0.307</v>
      </c>
      <c r="Q80" s="55"/>
      <c r="R80" s="23">
        <v>41558</v>
      </c>
      <c r="S80" s="31">
        <v>863</v>
      </c>
      <c r="T80" s="31">
        <v>500</v>
      </c>
      <c r="U80" s="72" t="s">
        <v>1617</v>
      </c>
      <c r="V80" s="52">
        <f t="shared" si="1"/>
        <v>2.3479452054794518</v>
      </c>
      <c r="W80" s="73"/>
      <c r="X80" s="174"/>
      <c r="Y80" s="73"/>
      <c r="Z80" s="31"/>
      <c r="AA80" s="31"/>
      <c r="AB80" s="239"/>
      <c r="AC80" s="240"/>
      <c r="AD80" s="240" t="s">
        <v>2058</v>
      </c>
      <c r="AE80" s="240" t="s">
        <v>2140</v>
      </c>
      <c r="AF80" s="240" t="s">
        <v>2115</v>
      </c>
      <c r="AG80" s="239"/>
      <c r="AH80" s="256"/>
    </row>
    <row r="81" spans="5:34" ht="26.1" customHeight="1">
      <c r="E81" s="248" t="s">
        <v>1185</v>
      </c>
      <c r="F81" s="239" t="s">
        <v>2019</v>
      </c>
      <c r="G81" s="69" t="str">
        <f t="shared" si="0"/>
        <v>220-80-06745</v>
      </c>
      <c r="H81" s="134" t="s">
        <v>3</v>
      </c>
      <c r="I81" s="239" t="s">
        <v>2137</v>
      </c>
      <c r="J81" s="51" t="s">
        <v>71</v>
      </c>
      <c r="K81" s="239" t="s">
        <v>2108</v>
      </c>
      <c r="L81" s="243">
        <v>40949</v>
      </c>
      <c r="M81" s="240" t="s">
        <v>133</v>
      </c>
      <c r="N81" s="31">
        <v>250</v>
      </c>
      <c r="O81" s="70" t="s">
        <v>132</v>
      </c>
      <c r="P81" s="71">
        <v>1.294</v>
      </c>
      <c r="Q81" s="55" t="s">
        <v>1602</v>
      </c>
      <c r="R81" s="23">
        <v>42103</v>
      </c>
      <c r="S81" s="31">
        <v>3453</v>
      </c>
      <c r="T81" s="31">
        <v>250</v>
      </c>
      <c r="U81" s="72" t="s">
        <v>134</v>
      </c>
      <c r="V81" s="52">
        <f t="shared" si="1"/>
        <v>3.1616438356164385</v>
      </c>
      <c r="W81" s="73"/>
      <c r="X81" s="174"/>
      <c r="Y81" s="73"/>
      <c r="Z81" s="31"/>
      <c r="AA81" s="31"/>
      <c r="AB81" s="239"/>
      <c r="AC81" s="240"/>
      <c r="AD81" s="240" t="s">
        <v>2147</v>
      </c>
      <c r="AE81" s="240" t="s">
        <v>2148</v>
      </c>
      <c r="AF81" s="240" t="s">
        <v>2149</v>
      </c>
      <c r="AG81" s="239"/>
      <c r="AH81" s="256"/>
    </row>
    <row r="82" spans="5:34" ht="26.1" customHeight="1">
      <c r="E82" s="248" t="s">
        <v>1185</v>
      </c>
      <c r="F82" s="239" t="s">
        <v>2019</v>
      </c>
      <c r="G82" s="69" t="str">
        <f t="shared" si="0"/>
        <v>220-80-06745</v>
      </c>
      <c r="H82" s="134" t="s">
        <v>3</v>
      </c>
      <c r="I82" s="239" t="s">
        <v>2155</v>
      </c>
      <c r="J82" s="51" t="s">
        <v>71</v>
      </c>
      <c r="K82" s="239" t="s">
        <v>2136</v>
      </c>
      <c r="L82" s="243">
        <v>41026</v>
      </c>
      <c r="M82" s="240" t="s">
        <v>72</v>
      </c>
      <c r="N82" s="31">
        <v>1230</v>
      </c>
      <c r="O82" s="70" t="s">
        <v>132</v>
      </c>
      <c r="P82" s="71">
        <v>0.61599999999999999</v>
      </c>
      <c r="Q82" s="55" t="s">
        <v>1602</v>
      </c>
      <c r="R82" s="23">
        <v>41456</v>
      </c>
      <c r="S82" s="31">
        <v>1982</v>
      </c>
      <c r="T82" s="31">
        <v>1230</v>
      </c>
      <c r="U82" s="72" t="s">
        <v>114</v>
      </c>
      <c r="V82" s="52">
        <f t="shared" si="1"/>
        <v>1.178082191780822</v>
      </c>
      <c r="W82" s="73"/>
      <c r="X82" s="174"/>
      <c r="Y82" s="73"/>
      <c r="Z82" s="31"/>
      <c r="AA82" s="31"/>
      <c r="AB82" s="239"/>
      <c r="AC82" s="240"/>
      <c r="AD82" s="240" t="s">
        <v>2146</v>
      </c>
      <c r="AE82" s="240" t="s">
        <v>2170</v>
      </c>
      <c r="AF82" s="240" t="s">
        <v>2171</v>
      </c>
      <c r="AG82" s="239"/>
      <c r="AH82" s="256"/>
    </row>
    <row r="83" spans="5:34" ht="26.1" customHeight="1">
      <c r="E83" s="248" t="s">
        <v>1185</v>
      </c>
      <c r="F83" s="239" t="s">
        <v>2019</v>
      </c>
      <c r="G83" s="69" t="str">
        <f t="shared" si="0"/>
        <v>220-80-06745</v>
      </c>
      <c r="H83" s="134" t="s">
        <v>3</v>
      </c>
      <c r="I83" s="239" t="s">
        <v>2190</v>
      </c>
      <c r="J83" s="51" t="s">
        <v>71</v>
      </c>
      <c r="K83" s="239" t="s">
        <v>2107</v>
      </c>
      <c r="L83" s="243">
        <v>41089</v>
      </c>
      <c r="M83" s="240" t="s">
        <v>133</v>
      </c>
      <c r="N83" s="31">
        <v>1500</v>
      </c>
      <c r="O83" s="70" t="s">
        <v>132</v>
      </c>
      <c r="P83" s="71">
        <v>0.29899999999999999</v>
      </c>
      <c r="Q83" s="55"/>
      <c r="R83" s="23">
        <v>42478</v>
      </c>
      <c r="S83" s="31">
        <v>3805</v>
      </c>
      <c r="T83" s="31">
        <v>1500</v>
      </c>
      <c r="U83" s="72" t="s">
        <v>114</v>
      </c>
      <c r="V83" s="52">
        <f t="shared" si="1"/>
        <v>3.8054794520547945</v>
      </c>
      <c r="W83" s="73"/>
      <c r="X83" s="174"/>
      <c r="Y83" s="73"/>
      <c r="Z83" s="31"/>
      <c r="AA83" s="31"/>
      <c r="AB83" s="239"/>
      <c r="AC83" s="240"/>
      <c r="AD83" s="240" t="s">
        <v>2115</v>
      </c>
      <c r="AE83" s="240" t="s">
        <v>2200</v>
      </c>
      <c r="AF83" s="240" t="s">
        <v>2201</v>
      </c>
      <c r="AG83" s="239"/>
      <c r="AH83" s="256"/>
    </row>
    <row r="84" spans="5:34" ht="26.1" customHeight="1">
      <c r="E84" s="248" t="s">
        <v>1185</v>
      </c>
      <c r="F84" s="239" t="s">
        <v>2019</v>
      </c>
      <c r="G84" s="69" t="str">
        <f t="shared" si="0"/>
        <v>220-80-06745</v>
      </c>
      <c r="H84" s="134" t="s">
        <v>3</v>
      </c>
      <c r="I84" s="239" t="s">
        <v>2191</v>
      </c>
      <c r="J84" s="51" t="s">
        <v>71</v>
      </c>
      <c r="K84" s="239" t="s">
        <v>2192</v>
      </c>
      <c r="L84" s="243">
        <v>41130</v>
      </c>
      <c r="M84" s="240" t="s">
        <v>133</v>
      </c>
      <c r="N84" s="31">
        <v>500</v>
      </c>
      <c r="O84" s="70" t="s">
        <v>132</v>
      </c>
      <c r="P84" s="71">
        <v>7.8E-2</v>
      </c>
      <c r="Q84" s="55" t="s">
        <v>192</v>
      </c>
      <c r="R84" s="23">
        <v>42432</v>
      </c>
      <c r="S84" s="31">
        <v>654</v>
      </c>
      <c r="T84" s="31">
        <v>500</v>
      </c>
      <c r="U84" s="72" t="s">
        <v>134</v>
      </c>
      <c r="V84" s="52">
        <f t="shared" si="1"/>
        <v>3.5671232876712327</v>
      </c>
      <c r="W84" s="73"/>
      <c r="X84" s="174"/>
      <c r="Y84" s="73"/>
      <c r="Z84" s="31"/>
      <c r="AA84" s="31"/>
      <c r="AB84" s="239"/>
      <c r="AC84" s="240"/>
      <c r="AD84" s="240" t="s">
        <v>2115</v>
      </c>
      <c r="AE84" s="240" t="s">
        <v>2202</v>
      </c>
      <c r="AF84" s="240" t="s">
        <v>2203</v>
      </c>
      <c r="AG84" s="239" t="s">
        <v>2182</v>
      </c>
      <c r="AH84" s="256"/>
    </row>
    <row r="85" spans="5:34" ht="26.1" customHeight="1">
      <c r="E85" s="248" t="s">
        <v>1185</v>
      </c>
      <c r="F85" s="239" t="s">
        <v>2019</v>
      </c>
      <c r="G85" s="69" t="str">
        <f t="shared" si="0"/>
        <v>220-80-06745</v>
      </c>
      <c r="H85" s="134" t="s">
        <v>3</v>
      </c>
      <c r="I85" s="239" t="s">
        <v>2191</v>
      </c>
      <c r="J85" s="51" t="s">
        <v>71</v>
      </c>
      <c r="K85" s="239" t="s">
        <v>2192</v>
      </c>
      <c r="L85" s="243">
        <v>41130</v>
      </c>
      <c r="M85" s="240" t="s">
        <v>116</v>
      </c>
      <c r="N85" s="31">
        <v>500</v>
      </c>
      <c r="O85" s="70" t="s">
        <v>132</v>
      </c>
      <c r="P85" s="71">
        <v>8.1000000000000003E-2</v>
      </c>
      <c r="Q85" s="55" t="s">
        <v>192</v>
      </c>
      <c r="R85" s="23">
        <v>42156</v>
      </c>
      <c r="S85" s="31">
        <v>621</v>
      </c>
      <c r="T85" s="31">
        <v>500</v>
      </c>
      <c r="U85" s="72" t="s">
        <v>1617</v>
      </c>
      <c r="V85" s="52">
        <f t="shared" si="1"/>
        <v>2.8109589041095893</v>
      </c>
      <c r="W85" s="73"/>
      <c r="X85" s="174"/>
      <c r="Y85" s="73"/>
      <c r="Z85" s="31"/>
      <c r="AA85" s="31"/>
      <c r="AB85" s="239"/>
      <c r="AC85" s="240"/>
      <c r="AD85" s="240" t="s">
        <v>2115</v>
      </c>
      <c r="AE85" s="240" t="s">
        <v>2202</v>
      </c>
      <c r="AF85" s="240" t="s">
        <v>2203</v>
      </c>
      <c r="AG85" s="239"/>
      <c r="AH85" s="256"/>
    </row>
    <row r="86" spans="5:34" ht="26.1" customHeight="1">
      <c r="E86" s="248" t="s">
        <v>1185</v>
      </c>
      <c r="F86" s="239" t="s">
        <v>2019</v>
      </c>
      <c r="G86" s="69" t="str">
        <f t="shared" si="0"/>
        <v>220-80-06745</v>
      </c>
      <c r="H86" s="134" t="s">
        <v>3</v>
      </c>
      <c r="I86" s="239" t="s">
        <v>2193</v>
      </c>
      <c r="J86" s="51" t="s">
        <v>71</v>
      </c>
      <c r="K86" s="239" t="s">
        <v>2107</v>
      </c>
      <c r="L86" s="243">
        <v>41222</v>
      </c>
      <c r="M86" s="240" t="s">
        <v>133</v>
      </c>
      <c r="N86" s="31">
        <v>2000</v>
      </c>
      <c r="O86" s="70" t="s">
        <v>132</v>
      </c>
      <c r="P86" s="71">
        <v>-0.99299999999999999</v>
      </c>
      <c r="Q86" s="55" t="s">
        <v>192</v>
      </c>
      <c r="R86" s="23">
        <v>42278</v>
      </c>
      <c r="S86" s="31"/>
      <c r="T86" s="31"/>
      <c r="U86" s="72"/>
      <c r="V86" s="52">
        <f t="shared" si="1"/>
        <v>2.893150684931507</v>
      </c>
      <c r="W86" s="73" t="s">
        <v>131</v>
      </c>
      <c r="X86" s="324">
        <v>2000</v>
      </c>
      <c r="Y86" s="73" t="s">
        <v>117</v>
      </c>
      <c r="Z86" s="31">
        <v>0</v>
      </c>
      <c r="AA86" s="31">
        <v>0</v>
      </c>
      <c r="AB86" s="239" t="s">
        <v>2125</v>
      </c>
      <c r="AC86" s="240" t="s">
        <v>2068</v>
      </c>
      <c r="AD86" s="240" t="s">
        <v>2204</v>
      </c>
      <c r="AE86" s="240" t="s">
        <v>2910</v>
      </c>
      <c r="AF86" s="240"/>
      <c r="AG86" s="239" t="s">
        <v>2199</v>
      </c>
      <c r="AH86" s="256"/>
    </row>
    <row r="87" spans="5:34" ht="26.1" customHeight="1">
      <c r="E87" s="248" t="s">
        <v>1185</v>
      </c>
      <c r="F87" s="239" t="s">
        <v>2019</v>
      </c>
      <c r="G87" s="69" t="str">
        <f t="shared" si="0"/>
        <v>220-80-06745</v>
      </c>
      <c r="H87" s="134" t="s">
        <v>3</v>
      </c>
      <c r="I87" s="239" t="s">
        <v>2103</v>
      </c>
      <c r="J87" s="51" t="s">
        <v>71</v>
      </c>
      <c r="K87" s="239" t="s">
        <v>2107</v>
      </c>
      <c r="L87" s="243">
        <v>41270</v>
      </c>
      <c r="M87" s="240" t="s">
        <v>133</v>
      </c>
      <c r="N87" s="31">
        <v>347</v>
      </c>
      <c r="O87" s="70" t="s">
        <v>132</v>
      </c>
      <c r="P87" s="71">
        <v>7.1999999999999995E-2</v>
      </c>
      <c r="Q87" s="55" t="s">
        <v>1602</v>
      </c>
      <c r="R87" s="23">
        <v>42587</v>
      </c>
      <c r="S87" s="31">
        <v>446</v>
      </c>
      <c r="T87" s="31">
        <v>347</v>
      </c>
      <c r="U87" s="72" t="s">
        <v>134</v>
      </c>
      <c r="V87" s="52">
        <f t="shared" si="1"/>
        <v>3.6082191780821917</v>
      </c>
      <c r="W87" s="73"/>
      <c r="X87" s="174"/>
      <c r="Y87" s="73"/>
      <c r="Z87" s="31"/>
      <c r="AA87" s="31"/>
      <c r="AB87" s="239"/>
      <c r="AC87" s="240"/>
      <c r="AD87" s="240" t="s">
        <v>2058</v>
      </c>
      <c r="AE87" s="240" t="s">
        <v>2122</v>
      </c>
      <c r="AF87" s="240" t="s">
        <v>2069</v>
      </c>
      <c r="AG87" s="239"/>
      <c r="AH87" s="256"/>
    </row>
    <row r="88" spans="5:34" ht="26.1" customHeight="1">
      <c r="E88" s="248" t="s">
        <v>1185</v>
      </c>
      <c r="F88" s="239" t="s">
        <v>2019</v>
      </c>
      <c r="G88" s="69" t="str">
        <f t="shared" si="0"/>
        <v>220-80-06745</v>
      </c>
      <c r="H88" s="134" t="s">
        <v>3</v>
      </c>
      <c r="I88" s="239" t="s">
        <v>2104</v>
      </c>
      <c r="J88" s="51" t="s">
        <v>71</v>
      </c>
      <c r="K88" s="239" t="s">
        <v>2108</v>
      </c>
      <c r="L88" s="243">
        <v>41271</v>
      </c>
      <c r="M88" s="240" t="s">
        <v>133</v>
      </c>
      <c r="N88" s="31">
        <v>1000</v>
      </c>
      <c r="O88" s="70" t="s">
        <v>132</v>
      </c>
      <c r="P88" s="71">
        <v>-0.253</v>
      </c>
      <c r="Q88" s="55" t="s">
        <v>1602</v>
      </c>
      <c r="R88" s="23">
        <v>42643</v>
      </c>
      <c r="S88" s="31">
        <v>333</v>
      </c>
      <c r="T88" s="31">
        <v>1000</v>
      </c>
      <c r="U88" s="72" t="s">
        <v>134</v>
      </c>
      <c r="V88" s="52">
        <f t="shared" si="1"/>
        <v>3.7589041095890412</v>
      </c>
      <c r="W88" s="73"/>
      <c r="X88" s="174"/>
      <c r="Y88" s="73"/>
      <c r="Z88" s="31"/>
      <c r="AA88" s="31"/>
      <c r="AB88" s="239"/>
      <c r="AC88" s="240"/>
      <c r="AD88" s="240" t="s">
        <v>2123</v>
      </c>
      <c r="AE88" s="240" t="s">
        <v>2124</v>
      </c>
      <c r="AF88" s="240" t="s">
        <v>2070</v>
      </c>
      <c r="AG88" s="239" t="s">
        <v>2182</v>
      </c>
      <c r="AH88" s="256"/>
    </row>
    <row r="89" spans="5:34" ht="26.1" customHeight="1">
      <c r="E89" s="248" t="s">
        <v>1185</v>
      </c>
      <c r="F89" s="239" t="s">
        <v>2019</v>
      </c>
      <c r="G89" s="69" t="str">
        <f t="shared" si="0"/>
        <v>220-80-06745</v>
      </c>
      <c r="H89" s="134" t="s">
        <v>3</v>
      </c>
      <c r="I89" s="239" t="s">
        <v>2160</v>
      </c>
      <c r="J89" s="51" t="s">
        <v>71</v>
      </c>
      <c r="K89" s="239" t="s">
        <v>2108</v>
      </c>
      <c r="L89" s="243">
        <v>41337</v>
      </c>
      <c r="M89" s="240" t="s">
        <v>72</v>
      </c>
      <c r="N89" s="31">
        <v>350</v>
      </c>
      <c r="O89" s="70" t="s">
        <v>132</v>
      </c>
      <c r="P89" s="71">
        <v>0.28199999999999997</v>
      </c>
      <c r="Q89" s="55" t="s">
        <v>1602</v>
      </c>
      <c r="R89" s="23">
        <v>42426</v>
      </c>
      <c r="S89" s="31">
        <v>458</v>
      </c>
      <c r="T89" s="31">
        <v>350</v>
      </c>
      <c r="U89" s="72" t="s">
        <v>114</v>
      </c>
      <c r="V89" s="52">
        <f t="shared" si="1"/>
        <v>2.9835616438356163</v>
      </c>
      <c r="W89" s="73"/>
      <c r="X89" s="174"/>
      <c r="Y89" s="73"/>
      <c r="Z89" s="31"/>
      <c r="AA89" s="31"/>
      <c r="AB89" s="239"/>
      <c r="AC89" s="240"/>
      <c r="AD89" s="240" t="s">
        <v>2176</v>
      </c>
      <c r="AE89" s="240" t="s">
        <v>2173</v>
      </c>
      <c r="AF89" s="240" t="s">
        <v>2177</v>
      </c>
      <c r="AG89" s="239"/>
      <c r="AH89" s="256"/>
    </row>
    <row r="90" spans="5:34" ht="26.1" customHeight="1">
      <c r="E90" s="248" t="s">
        <v>1185</v>
      </c>
      <c r="F90" s="239" t="s">
        <v>2019</v>
      </c>
      <c r="G90" s="69" t="str">
        <f t="shared" si="0"/>
        <v>220-80-06745</v>
      </c>
      <c r="H90" s="134" t="s">
        <v>3</v>
      </c>
      <c r="I90" s="239" t="s">
        <v>2103</v>
      </c>
      <c r="J90" s="51" t="s">
        <v>71</v>
      </c>
      <c r="K90" s="239" t="s">
        <v>2107</v>
      </c>
      <c r="L90" s="243">
        <v>41389</v>
      </c>
      <c r="M90" s="240" t="s">
        <v>179</v>
      </c>
      <c r="N90" s="31">
        <v>1000</v>
      </c>
      <c r="O90" s="70" t="s">
        <v>132</v>
      </c>
      <c r="P90" s="71">
        <v>9.2999999999999999E-2</v>
      </c>
      <c r="Q90" s="55" t="s">
        <v>1602</v>
      </c>
      <c r="R90" s="23">
        <v>42691</v>
      </c>
      <c r="S90" s="31">
        <v>1365</v>
      </c>
      <c r="T90" s="31">
        <v>1000</v>
      </c>
      <c r="U90" s="72" t="s">
        <v>134</v>
      </c>
      <c r="V90" s="52">
        <f t="shared" si="1"/>
        <v>3.5671232876712327</v>
      </c>
      <c r="W90" s="73"/>
      <c r="X90" s="174"/>
      <c r="Y90" s="73"/>
      <c r="Z90" s="31"/>
      <c r="AA90" s="31"/>
      <c r="AB90" s="239"/>
      <c r="AC90" s="240"/>
      <c r="AD90" s="240" t="s">
        <v>2058</v>
      </c>
      <c r="AE90" s="240" t="s">
        <v>2122</v>
      </c>
      <c r="AF90" s="240" t="s">
        <v>2069</v>
      </c>
      <c r="AG90" s="239"/>
      <c r="AH90" s="256"/>
    </row>
    <row r="91" spans="5:34" ht="26.1" customHeight="1">
      <c r="E91" s="248" t="s">
        <v>1185</v>
      </c>
      <c r="F91" s="239" t="s">
        <v>2019</v>
      </c>
      <c r="G91" s="69" t="str">
        <f t="shared" si="0"/>
        <v>220-80-06745</v>
      </c>
      <c r="H91" s="134" t="s">
        <v>3</v>
      </c>
      <c r="I91" s="239" t="s">
        <v>2166</v>
      </c>
      <c r="J91" s="51" t="s">
        <v>71</v>
      </c>
      <c r="K91" s="239" t="s">
        <v>2107</v>
      </c>
      <c r="L91" s="243">
        <v>41458</v>
      </c>
      <c r="M91" s="240" t="s">
        <v>179</v>
      </c>
      <c r="N91" s="31">
        <v>3000</v>
      </c>
      <c r="O91" s="70" t="s">
        <v>132</v>
      </c>
      <c r="P91" s="71">
        <v>9.0999999999999998E-2</v>
      </c>
      <c r="Q91" s="55" t="s">
        <v>1602</v>
      </c>
      <c r="R91" s="23">
        <v>42716</v>
      </c>
      <c r="S91" s="31">
        <v>3725</v>
      </c>
      <c r="T91" s="31">
        <v>3000</v>
      </c>
      <c r="U91" s="72" t="s">
        <v>1617</v>
      </c>
      <c r="V91" s="52">
        <f t="shared" si="1"/>
        <v>3.4465753424657533</v>
      </c>
      <c r="W91" s="73"/>
      <c r="X91" s="174"/>
      <c r="Y91" s="73"/>
      <c r="Z91" s="31"/>
      <c r="AA91" s="31"/>
      <c r="AB91" s="239"/>
      <c r="AC91" s="240"/>
      <c r="AD91" s="240" t="s">
        <v>2183</v>
      </c>
      <c r="AE91" s="240" t="s">
        <v>2184</v>
      </c>
      <c r="AF91" s="240" t="s">
        <v>2070</v>
      </c>
      <c r="AG91" s="239"/>
      <c r="AH91" s="256"/>
    </row>
    <row r="92" spans="5:34" ht="26.1" customHeight="1">
      <c r="E92" s="248" t="s">
        <v>1185</v>
      </c>
      <c r="F92" s="239" t="s">
        <v>2019</v>
      </c>
      <c r="G92" s="69" t="str">
        <f t="shared" si="0"/>
        <v>220-80-06745</v>
      </c>
      <c r="H92" s="134" t="s">
        <v>3</v>
      </c>
      <c r="I92" s="239" t="s">
        <v>2194</v>
      </c>
      <c r="J92" s="51" t="s">
        <v>71</v>
      </c>
      <c r="K92" s="239" t="s">
        <v>2195</v>
      </c>
      <c r="L92" s="243">
        <v>41645</v>
      </c>
      <c r="M92" s="240" t="s">
        <v>72</v>
      </c>
      <c r="N92" s="31">
        <v>2000</v>
      </c>
      <c r="O92" s="70" t="s">
        <v>132</v>
      </c>
      <c r="P92" s="71">
        <v>3.1859999999999999</v>
      </c>
      <c r="Q92" s="55"/>
      <c r="R92" s="23">
        <v>42374</v>
      </c>
      <c r="S92" s="31">
        <v>15761</v>
      </c>
      <c r="T92" s="31">
        <v>2000</v>
      </c>
      <c r="U92" s="72" t="s">
        <v>114</v>
      </c>
      <c r="V92" s="52">
        <f t="shared" si="1"/>
        <v>1.9972602739726026</v>
      </c>
      <c r="W92" s="73"/>
      <c r="X92" s="174"/>
      <c r="Y92" s="73"/>
      <c r="Z92" s="31"/>
      <c r="AA92" s="31"/>
      <c r="AB92" s="239"/>
      <c r="AC92" s="240"/>
      <c r="AD92" s="240" t="s">
        <v>2205</v>
      </c>
      <c r="AE92" s="240" t="s">
        <v>2206</v>
      </c>
      <c r="AF92" s="240" t="s">
        <v>2206</v>
      </c>
      <c r="AG92" s="239"/>
      <c r="AH92" s="256"/>
    </row>
    <row r="93" spans="5:34" ht="26.1" customHeight="1">
      <c r="E93" s="248" t="s">
        <v>1185</v>
      </c>
      <c r="F93" s="239" t="s">
        <v>2019</v>
      </c>
      <c r="G93" s="69" t="str">
        <f t="shared" si="0"/>
        <v>220-80-06745</v>
      </c>
      <c r="H93" s="134" t="s">
        <v>3</v>
      </c>
      <c r="I93" s="239" t="s">
        <v>2137</v>
      </c>
      <c r="J93" s="51" t="s">
        <v>71</v>
      </c>
      <c r="K93" s="239" t="s">
        <v>2108</v>
      </c>
      <c r="L93" s="243">
        <v>41673</v>
      </c>
      <c r="M93" s="240" t="s">
        <v>133</v>
      </c>
      <c r="N93" s="31">
        <v>2000</v>
      </c>
      <c r="O93" s="70" t="s">
        <v>1192</v>
      </c>
      <c r="P93" s="71"/>
      <c r="Q93" s="55" t="s">
        <v>192</v>
      </c>
      <c r="R93" s="23">
        <v>42545</v>
      </c>
      <c r="S93" s="31">
        <v>7088</v>
      </c>
      <c r="T93" s="31">
        <v>1573</v>
      </c>
      <c r="U93" s="72" t="s">
        <v>134</v>
      </c>
      <c r="V93" s="52">
        <f t="shared" si="1"/>
        <v>2.3890410958904109</v>
      </c>
      <c r="W93" s="73" t="s">
        <v>117</v>
      </c>
      <c r="X93" s="174"/>
      <c r="Y93" s="73" t="s">
        <v>117</v>
      </c>
      <c r="Z93" s="31">
        <v>427</v>
      </c>
      <c r="AA93" s="31">
        <v>427</v>
      </c>
      <c r="AB93" s="239" t="s">
        <v>2125</v>
      </c>
      <c r="AC93" s="240" t="s">
        <v>2070</v>
      </c>
      <c r="AD93" s="240" t="s">
        <v>2070</v>
      </c>
      <c r="AE93" s="240" t="s">
        <v>2070</v>
      </c>
      <c r="AF93" s="240" t="s">
        <v>2070</v>
      </c>
      <c r="AG93" s="239"/>
      <c r="AH93" s="256"/>
    </row>
    <row r="94" spans="5:34" ht="26.1" customHeight="1">
      <c r="E94" s="248" t="s">
        <v>1185</v>
      </c>
      <c r="F94" s="239" t="s">
        <v>2019</v>
      </c>
      <c r="G94" s="69" t="str">
        <f t="shared" si="0"/>
        <v>220-80-06745</v>
      </c>
      <c r="H94" s="134" t="s">
        <v>3</v>
      </c>
      <c r="I94" s="239" t="s">
        <v>2137</v>
      </c>
      <c r="J94" s="51" t="s">
        <v>71</v>
      </c>
      <c r="K94" s="239" t="s">
        <v>2108</v>
      </c>
      <c r="L94" s="243">
        <v>41981</v>
      </c>
      <c r="M94" s="240" t="s">
        <v>133</v>
      </c>
      <c r="N94" s="31">
        <v>3000</v>
      </c>
      <c r="O94" s="70" t="s">
        <v>1193</v>
      </c>
      <c r="P94" s="71"/>
      <c r="Q94" s="55" t="s">
        <v>192</v>
      </c>
      <c r="R94" s="23"/>
      <c r="S94" s="31"/>
      <c r="T94" s="31"/>
      <c r="U94" s="72"/>
      <c r="V94" s="52" t="str">
        <f t="shared" si="1"/>
        <v/>
      </c>
      <c r="W94" s="73" t="s">
        <v>117</v>
      </c>
      <c r="X94" s="174"/>
      <c r="Y94" s="73" t="s">
        <v>117</v>
      </c>
      <c r="Z94" s="31">
        <v>3000</v>
      </c>
      <c r="AA94" s="31">
        <v>3000</v>
      </c>
      <c r="AB94" s="239" t="s">
        <v>2125</v>
      </c>
      <c r="AC94" s="240" t="s">
        <v>2070</v>
      </c>
      <c r="AD94" s="240" t="s">
        <v>2070</v>
      </c>
      <c r="AE94" s="240" t="s">
        <v>2070</v>
      </c>
      <c r="AF94" s="240"/>
      <c r="AG94" s="239"/>
      <c r="AH94" s="256"/>
    </row>
    <row r="95" spans="5:34" ht="26.1" customHeight="1">
      <c r="E95" s="248" t="s">
        <v>1185</v>
      </c>
      <c r="F95" s="239" t="s">
        <v>2019</v>
      </c>
      <c r="G95" s="69" t="str">
        <f t="shared" si="0"/>
        <v>220-80-06745</v>
      </c>
      <c r="H95" s="134" t="s">
        <v>3</v>
      </c>
      <c r="I95" s="239" t="s">
        <v>2103</v>
      </c>
      <c r="J95" s="51" t="s">
        <v>71</v>
      </c>
      <c r="K95" s="239" t="s">
        <v>2105</v>
      </c>
      <c r="L95" s="243">
        <v>42139</v>
      </c>
      <c r="M95" s="240" t="s">
        <v>179</v>
      </c>
      <c r="N95" s="31">
        <v>4000</v>
      </c>
      <c r="O95" s="70" t="s">
        <v>132</v>
      </c>
      <c r="P95" s="71">
        <v>0.17</v>
      </c>
      <c r="Q95" s="55"/>
      <c r="R95" s="23">
        <v>42874</v>
      </c>
      <c r="S95" s="31">
        <v>5409</v>
      </c>
      <c r="T95" s="31">
        <v>4000</v>
      </c>
      <c r="U95" s="72" t="s">
        <v>134</v>
      </c>
      <c r="V95" s="52">
        <f t="shared" si="1"/>
        <v>2.0136986301369864</v>
      </c>
      <c r="W95" s="73"/>
      <c r="X95" s="174"/>
      <c r="Y95" s="73"/>
      <c r="Z95" s="31"/>
      <c r="AA95" s="31"/>
      <c r="AB95" s="239"/>
      <c r="AC95" s="240"/>
      <c r="AD95" s="240" t="s">
        <v>2058</v>
      </c>
      <c r="AE95" s="240" t="s">
        <v>2122</v>
      </c>
      <c r="AF95" s="240" t="s">
        <v>2069</v>
      </c>
      <c r="AG95" s="239"/>
      <c r="AH95" s="256"/>
    </row>
    <row r="96" spans="5:34" ht="26.1" customHeight="1">
      <c r="E96" s="248" t="s">
        <v>1185</v>
      </c>
      <c r="F96" s="239" t="s">
        <v>2019</v>
      </c>
      <c r="G96" s="69" t="str">
        <f t="shared" si="0"/>
        <v>220-80-06745</v>
      </c>
      <c r="H96" s="134" t="s">
        <v>3</v>
      </c>
      <c r="I96" s="239" t="s">
        <v>2196</v>
      </c>
      <c r="J96" s="51" t="s">
        <v>71</v>
      </c>
      <c r="K96" s="239" t="s">
        <v>2133</v>
      </c>
      <c r="L96" s="243">
        <v>42174</v>
      </c>
      <c r="M96" s="240" t="s">
        <v>116</v>
      </c>
      <c r="N96" s="31">
        <v>500</v>
      </c>
      <c r="O96" s="70" t="s">
        <v>132</v>
      </c>
      <c r="P96" s="71">
        <v>-0.879</v>
      </c>
      <c r="Q96" s="55" t="s">
        <v>1602</v>
      </c>
      <c r="R96" s="23">
        <v>42970</v>
      </c>
      <c r="S96" s="31">
        <v>5</v>
      </c>
      <c r="T96" s="31">
        <v>500</v>
      </c>
      <c r="U96" s="72" t="s">
        <v>134</v>
      </c>
      <c r="V96" s="52">
        <f t="shared" si="1"/>
        <v>2.1808219178082191</v>
      </c>
      <c r="W96" s="73"/>
      <c r="X96" s="174"/>
      <c r="Y96" s="73"/>
      <c r="Z96" s="31"/>
      <c r="AA96" s="31"/>
      <c r="AB96" s="239"/>
      <c r="AC96" s="240"/>
      <c r="AD96" s="240" t="s">
        <v>2067</v>
      </c>
      <c r="AE96" s="240" t="s">
        <v>2067</v>
      </c>
      <c r="AF96" s="240" t="s">
        <v>2208</v>
      </c>
      <c r="AG96" s="239" t="s">
        <v>2209</v>
      </c>
      <c r="AH96" s="256"/>
    </row>
    <row r="97" spans="5:34" ht="26.1" customHeight="1">
      <c r="E97" s="293" t="s">
        <v>111</v>
      </c>
      <c r="F97" s="274" t="s">
        <v>2751</v>
      </c>
      <c r="G97" s="69" t="str">
        <f t="shared" si="0"/>
        <v>220-88-05010</v>
      </c>
      <c r="H97" s="294" t="s">
        <v>181</v>
      </c>
      <c r="I97" s="274" t="s">
        <v>2802</v>
      </c>
      <c r="J97" s="295" t="s">
        <v>71</v>
      </c>
      <c r="K97" s="274" t="s">
        <v>2803</v>
      </c>
      <c r="L97" s="265">
        <v>40466</v>
      </c>
      <c r="M97" s="263" t="s">
        <v>72</v>
      </c>
      <c r="N97" s="296">
        <v>500</v>
      </c>
      <c r="O97" s="264" t="s">
        <v>132</v>
      </c>
      <c r="P97" s="297">
        <v>0.108</v>
      </c>
      <c r="Q97" s="298"/>
      <c r="R97" s="299">
        <v>41555</v>
      </c>
      <c r="S97" s="296">
        <v>658</v>
      </c>
      <c r="T97" s="296">
        <v>500</v>
      </c>
      <c r="U97" s="300" t="s">
        <v>114</v>
      </c>
      <c r="V97" s="52">
        <f t="shared" si="1"/>
        <v>2.9835616438356163</v>
      </c>
      <c r="W97" s="301"/>
      <c r="X97" s="302"/>
      <c r="Y97" s="301"/>
      <c r="Z97" s="296"/>
      <c r="AA97" s="296"/>
      <c r="AB97" s="274"/>
      <c r="AC97" s="263"/>
      <c r="AD97" s="263" t="s">
        <v>2804</v>
      </c>
      <c r="AE97" s="263" t="s">
        <v>2805</v>
      </c>
      <c r="AF97" s="263" t="s">
        <v>2806</v>
      </c>
      <c r="AG97" s="274"/>
      <c r="AH97" s="256"/>
    </row>
    <row r="98" spans="5:34" ht="26.1" customHeight="1">
      <c r="E98" s="293" t="s">
        <v>111</v>
      </c>
      <c r="F98" s="274" t="s">
        <v>2751</v>
      </c>
      <c r="G98" s="69" t="str">
        <f t="shared" si="0"/>
        <v>220-88-05010</v>
      </c>
      <c r="H98" s="294" t="s">
        <v>181</v>
      </c>
      <c r="I98" s="274" t="s">
        <v>2802</v>
      </c>
      <c r="J98" s="295" t="s">
        <v>71</v>
      </c>
      <c r="K98" s="274" t="s">
        <v>2803</v>
      </c>
      <c r="L98" s="265">
        <v>40466</v>
      </c>
      <c r="M98" s="263" t="s">
        <v>179</v>
      </c>
      <c r="N98" s="296">
        <v>3000</v>
      </c>
      <c r="O98" s="264" t="s">
        <v>132</v>
      </c>
      <c r="P98" s="297">
        <v>9.1999999999999998E-2</v>
      </c>
      <c r="Q98" s="298"/>
      <c r="R98" s="299">
        <v>41029</v>
      </c>
      <c r="S98" s="296">
        <v>3421</v>
      </c>
      <c r="T98" s="296">
        <v>3000</v>
      </c>
      <c r="U98" s="300" t="s">
        <v>1617</v>
      </c>
      <c r="V98" s="52">
        <f t="shared" si="1"/>
        <v>1.5424657534246575</v>
      </c>
      <c r="W98" s="301"/>
      <c r="X98" s="302"/>
      <c r="Y98" s="301"/>
      <c r="Z98" s="296"/>
      <c r="AA98" s="296"/>
      <c r="AB98" s="274"/>
      <c r="AC98" s="263"/>
      <c r="AD98" s="263" t="s">
        <v>2804</v>
      </c>
      <c r="AE98" s="263" t="s">
        <v>2805</v>
      </c>
      <c r="AF98" s="263" t="s">
        <v>2806</v>
      </c>
      <c r="AG98" s="274"/>
      <c r="AH98" s="256"/>
    </row>
    <row r="99" spans="5:34" ht="26.1" customHeight="1">
      <c r="E99" s="293" t="s">
        <v>111</v>
      </c>
      <c r="F99" s="274" t="s">
        <v>2751</v>
      </c>
      <c r="G99" s="69" t="str">
        <f t="shared" si="0"/>
        <v>220-88-05010</v>
      </c>
      <c r="H99" s="294" t="s">
        <v>181</v>
      </c>
      <c r="I99" s="274" t="s">
        <v>2152</v>
      </c>
      <c r="J99" s="295" t="s">
        <v>71</v>
      </c>
      <c r="K99" s="274" t="s">
        <v>2807</v>
      </c>
      <c r="L99" s="265">
        <v>40541</v>
      </c>
      <c r="M99" s="263" t="s">
        <v>72</v>
      </c>
      <c r="N99" s="296">
        <v>4993</v>
      </c>
      <c r="O99" s="264" t="s">
        <v>132</v>
      </c>
      <c r="P99" s="297">
        <v>0.16</v>
      </c>
      <c r="Q99" s="298" t="s">
        <v>1602</v>
      </c>
      <c r="R99" s="299">
        <v>42265</v>
      </c>
      <c r="S99" s="296">
        <v>7682</v>
      </c>
      <c r="T99" s="296">
        <v>4993</v>
      </c>
      <c r="U99" s="300" t="s">
        <v>1186</v>
      </c>
      <c r="V99" s="52">
        <f t="shared" si="1"/>
        <v>4.7232876712328764</v>
      </c>
      <c r="W99" s="301"/>
      <c r="X99" s="302"/>
      <c r="Y99" s="301"/>
      <c r="Z99" s="296"/>
      <c r="AA99" s="296"/>
      <c r="AB99" s="274"/>
      <c r="AC99" s="263"/>
      <c r="AD99" s="263" t="s">
        <v>2804</v>
      </c>
      <c r="AE99" s="263" t="s">
        <v>2808</v>
      </c>
      <c r="AF99" s="263" t="s">
        <v>2806</v>
      </c>
      <c r="AG99" s="274"/>
      <c r="AH99" s="256"/>
    </row>
    <row r="100" spans="5:34" ht="26.1" customHeight="1">
      <c r="E100" s="293" t="s">
        <v>111</v>
      </c>
      <c r="F100" s="274" t="s">
        <v>2751</v>
      </c>
      <c r="G100" s="69" t="str">
        <f t="shared" si="0"/>
        <v>220-88-05010</v>
      </c>
      <c r="H100" s="294" t="s">
        <v>181</v>
      </c>
      <c r="I100" s="274" t="s">
        <v>2152</v>
      </c>
      <c r="J100" s="295" t="s">
        <v>71</v>
      </c>
      <c r="K100" s="274" t="s">
        <v>2807</v>
      </c>
      <c r="L100" s="265">
        <v>40589</v>
      </c>
      <c r="M100" s="263" t="s">
        <v>133</v>
      </c>
      <c r="N100" s="296">
        <v>1592</v>
      </c>
      <c r="O100" s="264" t="s">
        <v>132</v>
      </c>
      <c r="P100" s="297">
        <v>0.41899999999999998</v>
      </c>
      <c r="Q100" s="298" t="s">
        <v>1602</v>
      </c>
      <c r="R100" s="299">
        <v>42265</v>
      </c>
      <c r="S100" s="296">
        <v>4145</v>
      </c>
      <c r="T100" s="296">
        <v>1592</v>
      </c>
      <c r="U100" s="300" t="s">
        <v>1186</v>
      </c>
      <c r="V100" s="52">
        <f t="shared" si="1"/>
        <v>4.5917808219178085</v>
      </c>
      <c r="W100" s="301"/>
      <c r="X100" s="302"/>
      <c r="Y100" s="301"/>
      <c r="Z100" s="296"/>
      <c r="AA100" s="296"/>
      <c r="AB100" s="274"/>
      <c r="AC100" s="263"/>
      <c r="AD100" s="263" t="s">
        <v>2804</v>
      </c>
      <c r="AE100" s="263" t="s">
        <v>2808</v>
      </c>
      <c r="AF100" s="263" t="s">
        <v>2806</v>
      </c>
      <c r="AG100" s="274"/>
      <c r="AH100" s="256"/>
    </row>
    <row r="101" spans="5:34" ht="26.1" customHeight="1">
      <c r="E101" s="293" t="s">
        <v>111</v>
      </c>
      <c r="F101" s="274" t="s">
        <v>2751</v>
      </c>
      <c r="G101" s="69" t="str">
        <f t="shared" si="0"/>
        <v>220-88-05010</v>
      </c>
      <c r="H101" s="294" t="s">
        <v>181</v>
      </c>
      <c r="I101" s="274" t="s">
        <v>2134</v>
      </c>
      <c r="J101" s="295" t="s">
        <v>71</v>
      </c>
      <c r="K101" s="274" t="s">
        <v>2809</v>
      </c>
      <c r="L101" s="265">
        <v>40667</v>
      </c>
      <c r="M101" s="263" t="s">
        <v>72</v>
      </c>
      <c r="N101" s="296">
        <v>4315</v>
      </c>
      <c r="O101" s="264" t="s">
        <v>1192</v>
      </c>
      <c r="P101" s="297"/>
      <c r="Q101" s="298" t="s">
        <v>1602</v>
      </c>
      <c r="R101" s="299">
        <v>42107</v>
      </c>
      <c r="S101" s="296">
        <v>27</v>
      </c>
      <c r="T101" s="296">
        <v>0</v>
      </c>
      <c r="U101" s="300" t="s">
        <v>137</v>
      </c>
      <c r="V101" s="52">
        <f t="shared" si="1"/>
        <v>3.9452054794520546</v>
      </c>
      <c r="W101" s="301" t="s">
        <v>117</v>
      </c>
      <c r="X101" s="302"/>
      <c r="Y101" s="301" t="s">
        <v>117</v>
      </c>
      <c r="Z101" s="296">
        <v>4315</v>
      </c>
      <c r="AA101" s="296">
        <v>4315</v>
      </c>
      <c r="AB101" s="239" t="s">
        <v>2125</v>
      </c>
      <c r="AC101" s="263" t="s">
        <v>2069</v>
      </c>
      <c r="AD101" s="263" t="s">
        <v>2142</v>
      </c>
      <c r="AE101" s="263" t="s">
        <v>2143</v>
      </c>
      <c r="AF101" s="263" t="s">
        <v>2993</v>
      </c>
      <c r="AG101" s="274" t="s">
        <v>2810</v>
      </c>
      <c r="AH101" s="256"/>
    </row>
    <row r="102" spans="5:34" ht="26.1" customHeight="1">
      <c r="E102" s="293" t="s">
        <v>111</v>
      </c>
      <c r="F102" s="274" t="s">
        <v>2751</v>
      </c>
      <c r="G102" s="69" t="str">
        <f t="shared" si="0"/>
        <v>220-88-05010</v>
      </c>
      <c r="H102" s="294" t="s">
        <v>181</v>
      </c>
      <c r="I102" s="274" t="s">
        <v>2802</v>
      </c>
      <c r="J102" s="295" t="s">
        <v>71</v>
      </c>
      <c r="K102" s="274" t="s">
        <v>2803</v>
      </c>
      <c r="L102" s="265">
        <v>41558</v>
      </c>
      <c r="M102" s="263" t="s">
        <v>72</v>
      </c>
      <c r="N102" s="296">
        <v>1500</v>
      </c>
      <c r="O102" s="264" t="s">
        <v>132</v>
      </c>
      <c r="P102" s="297">
        <v>1.782</v>
      </c>
      <c r="Q102" s="298"/>
      <c r="R102" s="299">
        <v>42340</v>
      </c>
      <c r="S102" s="296">
        <v>3275</v>
      </c>
      <c r="T102" s="296">
        <v>1500</v>
      </c>
      <c r="U102" s="300" t="s">
        <v>114</v>
      </c>
      <c r="V102" s="52">
        <f t="shared" si="1"/>
        <v>2.1424657534246574</v>
      </c>
      <c r="W102" s="301"/>
      <c r="X102" s="302"/>
      <c r="Y102" s="301"/>
      <c r="Z102" s="296"/>
      <c r="AA102" s="296"/>
      <c r="AB102" s="274"/>
      <c r="AC102" s="263"/>
      <c r="AD102" s="263" t="s">
        <v>2060</v>
      </c>
      <c r="AE102" s="263" t="s">
        <v>2069</v>
      </c>
      <c r="AF102" s="263" t="s">
        <v>2806</v>
      </c>
      <c r="AG102" s="274"/>
      <c r="AH102" s="256"/>
    </row>
    <row r="103" spans="5:34" ht="26.1" customHeight="1">
      <c r="E103" s="293" t="s">
        <v>111</v>
      </c>
      <c r="F103" s="274" t="s">
        <v>2751</v>
      </c>
      <c r="G103" s="69" t="str">
        <f t="shared" si="0"/>
        <v>220-88-05010</v>
      </c>
      <c r="H103" s="294" t="s">
        <v>181</v>
      </c>
      <c r="I103" s="274" t="s">
        <v>2811</v>
      </c>
      <c r="J103" s="295" t="s">
        <v>71</v>
      </c>
      <c r="K103" s="274" t="s">
        <v>2812</v>
      </c>
      <c r="L103" s="265">
        <v>42223</v>
      </c>
      <c r="M103" s="263" t="s">
        <v>116</v>
      </c>
      <c r="N103" s="296">
        <v>200</v>
      </c>
      <c r="O103" s="264" t="s">
        <v>132</v>
      </c>
      <c r="P103" s="297">
        <v>0.02</v>
      </c>
      <c r="Q103" s="298"/>
      <c r="R103" s="299">
        <v>42733</v>
      </c>
      <c r="S103" s="296">
        <v>206</v>
      </c>
      <c r="T103" s="296">
        <v>200</v>
      </c>
      <c r="U103" s="300" t="s">
        <v>1617</v>
      </c>
      <c r="V103" s="52">
        <f t="shared" si="1"/>
        <v>1.3972602739726028</v>
      </c>
      <c r="W103" s="301"/>
      <c r="X103" s="302"/>
      <c r="Y103" s="301"/>
      <c r="Z103" s="296"/>
      <c r="AA103" s="296"/>
      <c r="AB103" s="274"/>
      <c r="AC103" s="263"/>
      <c r="AD103" s="263" t="s">
        <v>2272</v>
      </c>
      <c r="AE103" s="263" t="s">
        <v>2070</v>
      </c>
      <c r="AF103" s="263" t="s">
        <v>2070</v>
      </c>
      <c r="AG103" s="274"/>
      <c r="AH103" s="256"/>
    </row>
    <row r="104" spans="5:34" ht="26.1" customHeight="1">
      <c r="E104" s="293" t="s">
        <v>111</v>
      </c>
      <c r="F104" s="274" t="s">
        <v>2751</v>
      </c>
      <c r="G104" s="69" t="str">
        <f t="shared" si="0"/>
        <v>220-88-05010</v>
      </c>
      <c r="H104" s="294" t="s">
        <v>181</v>
      </c>
      <c r="I104" s="274" t="s">
        <v>2811</v>
      </c>
      <c r="J104" s="295" t="s">
        <v>71</v>
      </c>
      <c r="K104" s="274" t="s">
        <v>2812</v>
      </c>
      <c r="L104" s="265">
        <v>42733</v>
      </c>
      <c r="M104" s="263" t="s">
        <v>133</v>
      </c>
      <c r="N104" s="296">
        <v>200</v>
      </c>
      <c r="O104" s="264" t="s">
        <v>1193</v>
      </c>
      <c r="P104" s="297"/>
      <c r="Q104" s="298"/>
      <c r="R104" s="299"/>
      <c r="S104" s="296">
        <v>0</v>
      </c>
      <c r="T104" s="296"/>
      <c r="U104" s="300"/>
      <c r="V104" s="52" t="str">
        <f t="shared" si="1"/>
        <v/>
      </c>
      <c r="W104" s="301" t="s">
        <v>117</v>
      </c>
      <c r="X104" s="302"/>
      <c r="Y104" s="301" t="s">
        <v>117</v>
      </c>
      <c r="Z104" s="296">
        <v>200</v>
      </c>
      <c r="AA104" s="296">
        <v>200</v>
      </c>
      <c r="AB104" s="239" t="s">
        <v>2125</v>
      </c>
      <c r="AC104" s="263" t="s">
        <v>2069</v>
      </c>
      <c r="AD104" s="263" t="s">
        <v>2272</v>
      </c>
      <c r="AE104" s="263" t="s">
        <v>2069</v>
      </c>
      <c r="AF104" s="263"/>
      <c r="AG104" s="274"/>
      <c r="AH104" s="256"/>
    </row>
    <row r="105" spans="5:34" ht="26.1" customHeight="1">
      <c r="E105" s="293" t="s">
        <v>111</v>
      </c>
      <c r="F105" s="274" t="s">
        <v>2758</v>
      </c>
      <c r="G105" s="69" t="str">
        <f t="shared" si="0"/>
        <v>220-88-09239</v>
      </c>
      <c r="H105" s="294" t="s">
        <v>181</v>
      </c>
      <c r="I105" s="274" t="s">
        <v>2813</v>
      </c>
      <c r="J105" s="295" t="s">
        <v>71</v>
      </c>
      <c r="K105" s="274" t="s">
        <v>2136</v>
      </c>
      <c r="L105" s="265">
        <v>40543</v>
      </c>
      <c r="M105" s="263" t="s">
        <v>116</v>
      </c>
      <c r="N105" s="296">
        <v>6595</v>
      </c>
      <c r="O105" s="264" t="s">
        <v>132</v>
      </c>
      <c r="P105" s="297">
        <v>0.14599999999999999</v>
      </c>
      <c r="Q105" s="298"/>
      <c r="R105" s="299">
        <v>41264</v>
      </c>
      <c r="S105" s="296">
        <v>8655</v>
      </c>
      <c r="T105" s="296">
        <v>6595</v>
      </c>
      <c r="U105" s="300" t="s">
        <v>1617</v>
      </c>
      <c r="V105" s="52">
        <f t="shared" si="1"/>
        <v>1.9753424657534246</v>
      </c>
      <c r="W105" s="301"/>
      <c r="X105" s="302"/>
      <c r="Y105" s="301"/>
      <c r="Z105" s="296"/>
      <c r="AA105" s="296"/>
      <c r="AB105" s="274"/>
      <c r="AC105" s="263"/>
      <c r="AD105" s="263" t="s">
        <v>2058</v>
      </c>
      <c r="AE105" s="263" t="s">
        <v>2110</v>
      </c>
      <c r="AF105" s="263" t="s">
        <v>2117</v>
      </c>
      <c r="AG105" s="274"/>
      <c r="AH105" s="256"/>
    </row>
    <row r="106" spans="5:34" ht="26.1" customHeight="1">
      <c r="E106" s="293" t="s">
        <v>111</v>
      </c>
      <c r="F106" s="274" t="s">
        <v>2758</v>
      </c>
      <c r="G106" s="69" t="str">
        <f t="shared" ref="G106:G169" si="2">IF(ISBLANK($F106),"",VLOOKUP($F106,제안사_펀드현황,3,FALSE))</f>
        <v>220-88-09239</v>
      </c>
      <c r="H106" s="294" t="s">
        <v>181</v>
      </c>
      <c r="I106" s="274" t="s">
        <v>2813</v>
      </c>
      <c r="J106" s="295" t="s">
        <v>71</v>
      </c>
      <c r="K106" s="274" t="s">
        <v>2136</v>
      </c>
      <c r="L106" s="265">
        <v>40543</v>
      </c>
      <c r="M106" s="263" t="s">
        <v>179</v>
      </c>
      <c r="N106" s="296">
        <v>6562</v>
      </c>
      <c r="O106" s="264" t="s">
        <v>132</v>
      </c>
      <c r="P106" s="297">
        <v>0.154</v>
      </c>
      <c r="Q106" s="298"/>
      <c r="R106" s="299">
        <v>41264</v>
      </c>
      <c r="S106" s="296">
        <v>8606</v>
      </c>
      <c r="T106" s="296">
        <v>6562</v>
      </c>
      <c r="U106" s="300" t="s">
        <v>1617</v>
      </c>
      <c r="V106" s="52">
        <f t="shared" ref="V106:V169" si="3">IF(ISBLANK(R106),"",DATEDIF(L106,R106,"d")/365)</f>
        <v>1.9753424657534246</v>
      </c>
      <c r="W106" s="301"/>
      <c r="X106" s="302"/>
      <c r="Y106" s="301"/>
      <c r="Z106" s="296"/>
      <c r="AA106" s="296"/>
      <c r="AB106" s="274"/>
      <c r="AC106" s="263"/>
      <c r="AD106" s="263" t="s">
        <v>2058</v>
      </c>
      <c r="AE106" s="263" t="s">
        <v>2110</v>
      </c>
      <c r="AF106" s="263" t="s">
        <v>2117</v>
      </c>
      <c r="AG106" s="274"/>
      <c r="AH106" s="256"/>
    </row>
    <row r="107" spans="5:34" ht="26.1" customHeight="1">
      <c r="E107" s="293" t="s">
        <v>111</v>
      </c>
      <c r="F107" s="274" t="s">
        <v>2758</v>
      </c>
      <c r="G107" s="69" t="str">
        <f t="shared" si="2"/>
        <v>220-88-09239</v>
      </c>
      <c r="H107" s="294" t="s">
        <v>181</v>
      </c>
      <c r="I107" s="274" t="s">
        <v>2792</v>
      </c>
      <c r="J107" s="295" t="s">
        <v>71</v>
      </c>
      <c r="K107" s="274" t="s">
        <v>2793</v>
      </c>
      <c r="L107" s="265">
        <v>40535</v>
      </c>
      <c r="M107" s="263" t="s">
        <v>133</v>
      </c>
      <c r="N107" s="296">
        <v>7614</v>
      </c>
      <c r="O107" s="264" t="s">
        <v>132</v>
      </c>
      <c r="P107" s="297">
        <v>0.59399999999999997</v>
      </c>
      <c r="Q107" s="298"/>
      <c r="R107" s="299">
        <v>41943</v>
      </c>
      <c r="S107" s="296">
        <v>41762</v>
      </c>
      <c r="T107" s="296">
        <v>7614</v>
      </c>
      <c r="U107" s="300" t="s">
        <v>134</v>
      </c>
      <c r="V107" s="52">
        <f t="shared" si="3"/>
        <v>3.8575342465753426</v>
      </c>
      <c r="W107" s="301"/>
      <c r="X107" s="302"/>
      <c r="Y107" s="301"/>
      <c r="Z107" s="296"/>
      <c r="AA107" s="296"/>
      <c r="AB107" s="274"/>
      <c r="AC107" s="263"/>
      <c r="AD107" s="263" t="s">
        <v>2058</v>
      </c>
      <c r="AE107" s="263" t="s">
        <v>2110</v>
      </c>
      <c r="AF107" s="263" t="s">
        <v>2117</v>
      </c>
      <c r="AG107" s="274"/>
      <c r="AH107" s="256"/>
    </row>
    <row r="108" spans="5:34" ht="26.1" customHeight="1">
      <c r="E108" s="293" t="s">
        <v>111</v>
      </c>
      <c r="F108" s="274" t="s">
        <v>2758</v>
      </c>
      <c r="G108" s="69" t="str">
        <f t="shared" si="2"/>
        <v>220-88-09239</v>
      </c>
      <c r="H108" s="294" t="s">
        <v>181</v>
      </c>
      <c r="I108" s="274" t="s">
        <v>2814</v>
      </c>
      <c r="J108" s="295" t="s">
        <v>71</v>
      </c>
      <c r="K108" s="274" t="s">
        <v>137</v>
      </c>
      <c r="L108" s="265">
        <v>40543</v>
      </c>
      <c r="M108" s="263" t="s">
        <v>133</v>
      </c>
      <c r="N108" s="296">
        <v>21493</v>
      </c>
      <c r="O108" s="264" t="s">
        <v>132</v>
      </c>
      <c r="P108" s="297">
        <v>0.11</v>
      </c>
      <c r="Q108" s="298"/>
      <c r="R108" s="299">
        <v>40903</v>
      </c>
      <c r="S108" s="296">
        <v>23885</v>
      </c>
      <c r="T108" s="296">
        <v>21493</v>
      </c>
      <c r="U108" s="300" t="s">
        <v>134</v>
      </c>
      <c r="V108" s="52">
        <f t="shared" si="3"/>
        <v>0.98630136986301364</v>
      </c>
      <c r="W108" s="301"/>
      <c r="X108" s="302"/>
      <c r="Y108" s="301"/>
      <c r="Z108" s="296"/>
      <c r="AA108" s="296"/>
      <c r="AB108" s="274"/>
      <c r="AC108" s="263"/>
      <c r="AD108" s="263" t="s">
        <v>2058</v>
      </c>
      <c r="AE108" s="263" t="s">
        <v>2110</v>
      </c>
      <c r="AF108" s="263" t="s">
        <v>2117</v>
      </c>
      <c r="AG108" s="274"/>
      <c r="AH108" s="256"/>
    </row>
    <row r="109" spans="5:34" ht="26.1" customHeight="1">
      <c r="E109" s="293" t="s">
        <v>111</v>
      </c>
      <c r="F109" s="274" t="s">
        <v>2758</v>
      </c>
      <c r="G109" s="69" t="str">
        <f t="shared" si="2"/>
        <v>220-88-09239</v>
      </c>
      <c r="H109" s="294" t="s">
        <v>181</v>
      </c>
      <c r="I109" s="274" t="s">
        <v>2792</v>
      </c>
      <c r="J109" s="295" t="s">
        <v>71</v>
      </c>
      <c r="K109" s="274" t="s">
        <v>2136</v>
      </c>
      <c r="L109" s="265">
        <v>41502</v>
      </c>
      <c r="M109" s="263" t="s">
        <v>72</v>
      </c>
      <c r="N109" s="296">
        <v>5501</v>
      </c>
      <c r="O109" s="264" t="s">
        <v>1192</v>
      </c>
      <c r="P109" s="297"/>
      <c r="Q109" s="298"/>
      <c r="R109" s="299">
        <v>42733</v>
      </c>
      <c r="S109" s="296">
        <v>6611</v>
      </c>
      <c r="T109" s="296">
        <v>0</v>
      </c>
      <c r="U109" s="300" t="s">
        <v>137</v>
      </c>
      <c r="V109" s="52">
        <f t="shared" si="3"/>
        <v>3.3726027397260272</v>
      </c>
      <c r="W109" s="301" t="s">
        <v>117</v>
      </c>
      <c r="X109" s="302"/>
      <c r="Y109" s="301" t="s">
        <v>131</v>
      </c>
      <c r="Z109" s="296">
        <v>5501</v>
      </c>
      <c r="AA109" s="296">
        <v>17059</v>
      </c>
      <c r="AB109" s="274" t="s">
        <v>2815</v>
      </c>
      <c r="AC109" s="263" t="s">
        <v>2068</v>
      </c>
      <c r="AD109" s="263" t="s">
        <v>2117</v>
      </c>
      <c r="AE109" s="263" t="s">
        <v>2068</v>
      </c>
      <c r="AF109" s="263" t="s">
        <v>2992</v>
      </c>
      <c r="AG109" s="274" t="s">
        <v>2816</v>
      </c>
      <c r="AH109" s="256"/>
    </row>
    <row r="110" spans="5:34" ht="26.1" customHeight="1">
      <c r="E110" s="248" t="s">
        <v>1185</v>
      </c>
      <c r="F110" s="239" t="s">
        <v>2020</v>
      </c>
      <c r="G110" s="69" t="str">
        <f t="shared" si="2"/>
        <v>220-80-07370</v>
      </c>
      <c r="H110" s="134" t="s">
        <v>180</v>
      </c>
      <c r="I110" s="239" t="s">
        <v>2155</v>
      </c>
      <c r="J110" s="51" t="s">
        <v>71</v>
      </c>
      <c r="K110" s="239" t="s">
        <v>2136</v>
      </c>
      <c r="L110" s="243">
        <v>41026</v>
      </c>
      <c r="M110" s="240" t="s">
        <v>72</v>
      </c>
      <c r="N110" s="31">
        <v>3383</v>
      </c>
      <c r="O110" s="70" t="s">
        <v>132</v>
      </c>
      <c r="P110" s="71">
        <v>0.61599999999999999</v>
      </c>
      <c r="Q110" s="55" t="s">
        <v>1602</v>
      </c>
      <c r="R110" s="23">
        <v>41456</v>
      </c>
      <c r="S110" s="31">
        <v>5446</v>
      </c>
      <c r="T110" s="31">
        <v>3383</v>
      </c>
      <c r="U110" s="72" t="s">
        <v>114</v>
      </c>
      <c r="V110" s="52">
        <f t="shared" si="3"/>
        <v>1.178082191780822</v>
      </c>
      <c r="W110" s="73"/>
      <c r="X110" s="174"/>
      <c r="Y110" s="73"/>
      <c r="Z110" s="31"/>
      <c r="AA110" s="31"/>
      <c r="AB110" s="239"/>
      <c r="AC110" s="240"/>
      <c r="AD110" s="240" t="s">
        <v>2146</v>
      </c>
      <c r="AE110" s="240" t="s">
        <v>2170</v>
      </c>
      <c r="AF110" s="240" t="s">
        <v>2171</v>
      </c>
      <c r="AG110" s="239"/>
      <c r="AH110" s="256"/>
    </row>
    <row r="111" spans="5:34" ht="26.1" customHeight="1">
      <c r="E111" s="248" t="s">
        <v>1185</v>
      </c>
      <c r="F111" s="239" t="s">
        <v>2020</v>
      </c>
      <c r="G111" s="69" t="str">
        <f t="shared" si="2"/>
        <v>220-80-07370</v>
      </c>
      <c r="H111" s="134" t="s">
        <v>180</v>
      </c>
      <c r="I111" s="239" t="s">
        <v>2156</v>
      </c>
      <c r="J111" s="51" t="s">
        <v>71</v>
      </c>
      <c r="K111" s="239" t="s">
        <v>2105</v>
      </c>
      <c r="L111" s="243">
        <v>41089</v>
      </c>
      <c r="M111" s="240" t="s">
        <v>133</v>
      </c>
      <c r="N111" s="31">
        <v>2513</v>
      </c>
      <c r="O111" s="70" t="s">
        <v>132</v>
      </c>
      <c r="P111" s="71">
        <v>-0.106</v>
      </c>
      <c r="Q111" s="55"/>
      <c r="R111" s="23">
        <v>42545</v>
      </c>
      <c r="S111" s="31">
        <v>1632</v>
      </c>
      <c r="T111" s="31">
        <v>2513</v>
      </c>
      <c r="U111" s="72" t="s">
        <v>134</v>
      </c>
      <c r="V111" s="52">
        <f t="shared" si="3"/>
        <v>3.989041095890411</v>
      </c>
      <c r="W111" s="73"/>
      <c r="X111" s="174"/>
      <c r="Y111" s="73"/>
      <c r="Z111" s="31"/>
      <c r="AA111" s="31"/>
      <c r="AB111" s="239"/>
      <c r="AC111" s="240"/>
      <c r="AD111" s="240" t="s">
        <v>2172</v>
      </c>
      <c r="AE111" s="240" t="s">
        <v>2119</v>
      </c>
      <c r="AF111" s="240" t="s">
        <v>2069</v>
      </c>
      <c r="AG111" s="239"/>
      <c r="AH111" s="256"/>
    </row>
    <row r="112" spans="5:34" ht="26.1" customHeight="1">
      <c r="E112" s="248" t="s">
        <v>1185</v>
      </c>
      <c r="F112" s="239" t="s">
        <v>2020</v>
      </c>
      <c r="G112" s="69" t="str">
        <f t="shared" si="2"/>
        <v>220-80-07370</v>
      </c>
      <c r="H112" s="134" t="s">
        <v>180</v>
      </c>
      <c r="I112" s="239" t="s">
        <v>2157</v>
      </c>
      <c r="J112" s="51" t="s">
        <v>71</v>
      </c>
      <c r="K112" s="239" t="s">
        <v>2106</v>
      </c>
      <c r="L112" s="243">
        <v>41089</v>
      </c>
      <c r="M112" s="240" t="s">
        <v>133</v>
      </c>
      <c r="N112" s="31">
        <v>2107</v>
      </c>
      <c r="O112" s="70" t="s">
        <v>132</v>
      </c>
      <c r="P112" s="71">
        <v>0.17499999999999999</v>
      </c>
      <c r="Q112" s="55"/>
      <c r="R112" s="23">
        <v>42057</v>
      </c>
      <c r="S112" s="31">
        <v>3202</v>
      </c>
      <c r="T112" s="31">
        <v>2107</v>
      </c>
      <c r="U112" s="72" t="s">
        <v>114</v>
      </c>
      <c r="V112" s="52">
        <f t="shared" si="3"/>
        <v>2.6520547945205482</v>
      </c>
      <c r="W112" s="73"/>
      <c r="X112" s="174"/>
      <c r="Y112" s="73"/>
      <c r="Z112" s="31"/>
      <c r="AA112" s="31"/>
      <c r="AB112" s="239"/>
      <c r="AC112" s="240"/>
      <c r="AD112" s="240" t="s">
        <v>2114</v>
      </c>
      <c r="AE112" s="240" t="s">
        <v>2173</v>
      </c>
      <c r="AF112" s="240" t="s">
        <v>2174</v>
      </c>
      <c r="AG112" s="239"/>
      <c r="AH112" s="256"/>
    </row>
    <row r="113" spans="5:34" ht="26.1" customHeight="1">
      <c r="E113" s="248" t="s">
        <v>1185</v>
      </c>
      <c r="F113" s="239" t="s">
        <v>2020</v>
      </c>
      <c r="G113" s="69" t="str">
        <f t="shared" si="2"/>
        <v>220-80-07370</v>
      </c>
      <c r="H113" s="134" t="s">
        <v>180</v>
      </c>
      <c r="I113" s="239" t="s">
        <v>2158</v>
      </c>
      <c r="J113" s="51" t="s">
        <v>71</v>
      </c>
      <c r="K113" s="239" t="s">
        <v>2105</v>
      </c>
      <c r="L113" s="243">
        <v>41089</v>
      </c>
      <c r="M113" s="240" t="s">
        <v>72</v>
      </c>
      <c r="N113" s="31">
        <v>2842</v>
      </c>
      <c r="O113" s="70" t="s">
        <v>132</v>
      </c>
      <c r="P113" s="71">
        <v>1E-3</v>
      </c>
      <c r="Q113" s="55"/>
      <c r="R113" s="23">
        <v>42332</v>
      </c>
      <c r="S113" s="31">
        <v>2846</v>
      </c>
      <c r="T113" s="31">
        <v>2842</v>
      </c>
      <c r="U113" s="72" t="s">
        <v>114</v>
      </c>
      <c r="V113" s="52">
        <f t="shared" si="3"/>
        <v>3.4054794520547946</v>
      </c>
      <c r="W113" s="73"/>
      <c r="X113" s="174"/>
      <c r="Y113" s="73"/>
      <c r="Z113" s="31"/>
      <c r="AA113" s="31"/>
      <c r="AB113" s="239"/>
      <c r="AC113" s="240"/>
      <c r="AD113" s="240" t="s">
        <v>2175</v>
      </c>
      <c r="AE113" s="240" t="s">
        <v>2066</v>
      </c>
      <c r="AF113" s="240" t="s">
        <v>2175</v>
      </c>
      <c r="AG113" s="239"/>
      <c r="AH113" s="256"/>
    </row>
    <row r="114" spans="5:34" ht="26.1" customHeight="1">
      <c r="E114" s="248" t="s">
        <v>1185</v>
      </c>
      <c r="F114" s="239" t="s">
        <v>2020</v>
      </c>
      <c r="G114" s="69" t="str">
        <f t="shared" si="2"/>
        <v>220-80-07370</v>
      </c>
      <c r="H114" s="134" t="s">
        <v>180</v>
      </c>
      <c r="I114" s="239" t="s">
        <v>2159</v>
      </c>
      <c r="J114" s="51" t="s">
        <v>71</v>
      </c>
      <c r="K114" s="239" t="s">
        <v>2105</v>
      </c>
      <c r="L114" s="243">
        <v>41100</v>
      </c>
      <c r="M114" s="240" t="s">
        <v>72</v>
      </c>
      <c r="N114" s="31">
        <v>2635</v>
      </c>
      <c r="O114" s="70" t="s">
        <v>132</v>
      </c>
      <c r="P114" s="71">
        <v>3.5000000000000003E-2</v>
      </c>
      <c r="Q114" s="55"/>
      <c r="R114" s="23">
        <v>41992</v>
      </c>
      <c r="S114" s="31">
        <v>2865</v>
      </c>
      <c r="T114" s="31">
        <v>2635</v>
      </c>
      <c r="U114" s="72" t="s">
        <v>134</v>
      </c>
      <c r="V114" s="52">
        <f t="shared" si="3"/>
        <v>2.4438356164383563</v>
      </c>
      <c r="W114" s="73"/>
      <c r="X114" s="174"/>
      <c r="Y114" s="73"/>
      <c r="Z114" s="31"/>
      <c r="AA114" s="31"/>
      <c r="AB114" s="239"/>
      <c r="AC114" s="240"/>
      <c r="AD114" s="240" t="s">
        <v>2175</v>
      </c>
      <c r="AE114" s="240" t="s">
        <v>2066</v>
      </c>
      <c r="AF114" s="240" t="s">
        <v>2175</v>
      </c>
      <c r="AG114" s="239"/>
      <c r="AH114" s="256"/>
    </row>
    <row r="115" spans="5:34" ht="26.1" customHeight="1">
      <c r="E115" s="248" t="s">
        <v>1185</v>
      </c>
      <c r="F115" s="239" t="s">
        <v>2020</v>
      </c>
      <c r="G115" s="69" t="str">
        <f t="shared" si="2"/>
        <v>220-80-07370</v>
      </c>
      <c r="H115" s="134" t="s">
        <v>180</v>
      </c>
      <c r="I115" s="239" t="s">
        <v>2693</v>
      </c>
      <c r="J115" s="51" t="s">
        <v>71</v>
      </c>
      <c r="K115" s="239" t="s">
        <v>2107</v>
      </c>
      <c r="L115" s="243">
        <v>41115</v>
      </c>
      <c r="M115" s="240" t="s">
        <v>179</v>
      </c>
      <c r="N115" s="31">
        <v>5000</v>
      </c>
      <c r="O115" s="70" t="s">
        <v>132</v>
      </c>
      <c r="P115" s="71">
        <v>9.1999999999999998E-2</v>
      </c>
      <c r="Q115" s="55" t="s">
        <v>192</v>
      </c>
      <c r="R115" s="23">
        <v>42824</v>
      </c>
      <c r="S115" s="31">
        <v>7170</v>
      </c>
      <c r="T115" s="31">
        <v>5000</v>
      </c>
      <c r="U115" s="72" t="s">
        <v>1617</v>
      </c>
      <c r="V115" s="52">
        <f t="shared" si="3"/>
        <v>4.6821917808219178</v>
      </c>
      <c r="W115" s="73"/>
      <c r="X115" s="174"/>
      <c r="Y115" s="73"/>
      <c r="Z115" s="31"/>
      <c r="AA115" s="31"/>
      <c r="AB115" s="239"/>
      <c r="AC115" s="240"/>
      <c r="AD115" s="240" t="s">
        <v>2172</v>
      </c>
      <c r="AE115" s="240" t="s">
        <v>2119</v>
      </c>
      <c r="AF115" s="240" t="s">
        <v>2119</v>
      </c>
      <c r="AG115" s="239"/>
      <c r="AH115" s="256"/>
    </row>
    <row r="116" spans="5:34" ht="26.1" customHeight="1">
      <c r="E116" s="248" t="s">
        <v>1185</v>
      </c>
      <c r="F116" s="239" t="s">
        <v>2020</v>
      </c>
      <c r="G116" s="69" t="str">
        <f t="shared" si="2"/>
        <v>220-80-07370</v>
      </c>
      <c r="H116" s="134" t="s">
        <v>180</v>
      </c>
      <c r="I116" s="239" t="s">
        <v>2103</v>
      </c>
      <c r="J116" s="51" t="s">
        <v>71</v>
      </c>
      <c r="K116" s="239" t="s">
        <v>2107</v>
      </c>
      <c r="L116" s="243">
        <v>41270</v>
      </c>
      <c r="M116" s="240" t="s">
        <v>133</v>
      </c>
      <c r="N116" s="31">
        <v>347</v>
      </c>
      <c r="O116" s="70" t="s">
        <v>132</v>
      </c>
      <c r="P116" s="71">
        <v>7.1999999999999995E-2</v>
      </c>
      <c r="Q116" s="55" t="s">
        <v>1602</v>
      </c>
      <c r="R116" s="23">
        <v>42587</v>
      </c>
      <c r="S116" s="31">
        <v>446</v>
      </c>
      <c r="T116" s="31">
        <v>347</v>
      </c>
      <c r="U116" s="72" t="s">
        <v>134</v>
      </c>
      <c r="V116" s="52">
        <f t="shared" si="3"/>
        <v>3.6082191780821917</v>
      </c>
      <c r="W116" s="73"/>
      <c r="X116" s="174"/>
      <c r="Y116" s="73"/>
      <c r="Z116" s="31"/>
      <c r="AA116" s="31"/>
      <c r="AB116" s="239"/>
      <c r="AC116" s="240"/>
      <c r="AD116" s="240" t="s">
        <v>2058</v>
      </c>
      <c r="AE116" s="240" t="s">
        <v>2122</v>
      </c>
      <c r="AF116" s="240" t="s">
        <v>2069</v>
      </c>
      <c r="AG116" s="239"/>
      <c r="AH116" s="256"/>
    </row>
    <row r="117" spans="5:34" ht="26.1" customHeight="1">
      <c r="E117" s="248" t="s">
        <v>1185</v>
      </c>
      <c r="F117" s="239" t="s">
        <v>2020</v>
      </c>
      <c r="G117" s="69" t="str">
        <f t="shared" si="2"/>
        <v>220-80-07370</v>
      </c>
      <c r="H117" s="134" t="s">
        <v>180</v>
      </c>
      <c r="I117" s="239" t="s">
        <v>2160</v>
      </c>
      <c r="J117" s="51" t="s">
        <v>71</v>
      </c>
      <c r="K117" s="239" t="s">
        <v>2108</v>
      </c>
      <c r="L117" s="243">
        <v>41337</v>
      </c>
      <c r="M117" s="240" t="s">
        <v>72</v>
      </c>
      <c r="N117" s="31">
        <v>900</v>
      </c>
      <c r="O117" s="70" t="s">
        <v>132</v>
      </c>
      <c r="P117" s="71">
        <v>0.28199999999999997</v>
      </c>
      <c r="Q117" s="55" t="s">
        <v>1602</v>
      </c>
      <c r="R117" s="23">
        <v>42426</v>
      </c>
      <c r="S117" s="31">
        <v>1180</v>
      </c>
      <c r="T117" s="31">
        <v>900</v>
      </c>
      <c r="U117" s="72" t="s">
        <v>114</v>
      </c>
      <c r="V117" s="52">
        <f t="shared" si="3"/>
        <v>2.9835616438356163</v>
      </c>
      <c r="W117" s="73"/>
      <c r="X117" s="174"/>
      <c r="Y117" s="73"/>
      <c r="Z117" s="31"/>
      <c r="AA117" s="31"/>
      <c r="AB117" s="239"/>
      <c r="AC117" s="240"/>
      <c r="AD117" s="240" t="s">
        <v>2176</v>
      </c>
      <c r="AE117" s="240" t="s">
        <v>2173</v>
      </c>
      <c r="AF117" s="240" t="s">
        <v>2177</v>
      </c>
      <c r="AG117" s="239"/>
      <c r="AH117" s="256"/>
    </row>
    <row r="118" spans="5:34" ht="26.1" customHeight="1">
      <c r="E118" s="248" t="s">
        <v>1185</v>
      </c>
      <c r="F118" s="239" t="s">
        <v>2020</v>
      </c>
      <c r="G118" s="69" t="str">
        <f t="shared" si="2"/>
        <v>220-80-07370</v>
      </c>
      <c r="H118" s="134" t="s">
        <v>180</v>
      </c>
      <c r="I118" s="239" t="s">
        <v>2161</v>
      </c>
      <c r="J118" s="51" t="s">
        <v>71</v>
      </c>
      <c r="K118" s="239" t="s">
        <v>2107</v>
      </c>
      <c r="L118" s="243">
        <v>41386</v>
      </c>
      <c r="M118" s="240" t="s">
        <v>72</v>
      </c>
      <c r="N118" s="31">
        <v>1399</v>
      </c>
      <c r="O118" s="70" t="s">
        <v>132</v>
      </c>
      <c r="P118" s="71">
        <v>-0.96599999999999997</v>
      </c>
      <c r="Q118" s="55" t="s">
        <v>192</v>
      </c>
      <c r="R118" s="23">
        <v>42916</v>
      </c>
      <c r="S118" s="31">
        <v>1</v>
      </c>
      <c r="T118" s="31">
        <v>1399</v>
      </c>
      <c r="U118" s="72" t="s">
        <v>134</v>
      </c>
      <c r="V118" s="52">
        <f t="shared" si="3"/>
        <v>4.1917808219178081</v>
      </c>
      <c r="W118" s="73"/>
      <c r="X118" s="174"/>
      <c r="Y118" s="73"/>
      <c r="Z118" s="31"/>
      <c r="AA118" s="31"/>
      <c r="AB118" s="239"/>
      <c r="AC118" s="240"/>
      <c r="AD118" s="240" t="s">
        <v>2178</v>
      </c>
      <c r="AE118" s="240" t="s">
        <v>2124</v>
      </c>
      <c r="AF118" s="240" t="s">
        <v>2187</v>
      </c>
      <c r="AG118" s="239" t="s">
        <v>2179</v>
      </c>
      <c r="AH118" s="256"/>
    </row>
    <row r="119" spans="5:34" ht="26.1" customHeight="1">
      <c r="E119" s="248" t="s">
        <v>1185</v>
      </c>
      <c r="F119" s="239" t="s">
        <v>2020</v>
      </c>
      <c r="G119" s="69" t="str">
        <f t="shared" si="2"/>
        <v>220-80-07370</v>
      </c>
      <c r="H119" s="134" t="s">
        <v>180</v>
      </c>
      <c r="I119" s="239" t="s">
        <v>2161</v>
      </c>
      <c r="J119" s="51" t="s">
        <v>71</v>
      </c>
      <c r="K119" s="239" t="s">
        <v>2107</v>
      </c>
      <c r="L119" s="243">
        <v>41389</v>
      </c>
      <c r="M119" s="240" t="s">
        <v>133</v>
      </c>
      <c r="N119" s="31">
        <v>2600</v>
      </c>
      <c r="O119" s="70" t="s">
        <v>132</v>
      </c>
      <c r="P119" s="71">
        <v>-0.48599999999999999</v>
      </c>
      <c r="Q119" s="55" t="s">
        <v>192</v>
      </c>
      <c r="R119" s="23">
        <v>42916</v>
      </c>
      <c r="S119" s="31">
        <v>162</v>
      </c>
      <c r="T119" s="31">
        <v>2600</v>
      </c>
      <c r="U119" s="72" t="s">
        <v>134</v>
      </c>
      <c r="V119" s="52">
        <f t="shared" si="3"/>
        <v>4.183561643835616</v>
      </c>
      <c r="W119" s="73"/>
      <c r="X119" s="174"/>
      <c r="Y119" s="73"/>
      <c r="Z119" s="31"/>
      <c r="AA119" s="31"/>
      <c r="AB119" s="239"/>
      <c r="AC119" s="240"/>
      <c r="AD119" s="240" t="s">
        <v>2178</v>
      </c>
      <c r="AE119" s="240" t="s">
        <v>2124</v>
      </c>
      <c r="AF119" s="240" t="s">
        <v>2187</v>
      </c>
      <c r="AG119" s="239" t="s">
        <v>2179</v>
      </c>
      <c r="AH119" s="256"/>
    </row>
    <row r="120" spans="5:34" ht="26.1" customHeight="1">
      <c r="E120" s="248" t="s">
        <v>1185</v>
      </c>
      <c r="F120" s="239" t="s">
        <v>2020</v>
      </c>
      <c r="G120" s="69" t="str">
        <f t="shared" si="2"/>
        <v>220-80-07370</v>
      </c>
      <c r="H120" s="134" t="s">
        <v>180</v>
      </c>
      <c r="I120" s="239" t="s">
        <v>2103</v>
      </c>
      <c r="J120" s="51" t="s">
        <v>71</v>
      </c>
      <c r="K120" s="239" t="s">
        <v>2107</v>
      </c>
      <c r="L120" s="243">
        <v>41389</v>
      </c>
      <c r="M120" s="240" t="s">
        <v>179</v>
      </c>
      <c r="N120" s="31">
        <v>1000</v>
      </c>
      <c r="O120" s="70" t="s">
        <v>132</v>
      </c>
      <c r="P120" s="71">
        <v>9.2999999999999999E-2</v>
      </c>
      <c r="Q120" s="55" t="s">
        <v>1602</v>
      </c>
      <c r="R120" s="23">
        <v>42691</v>
      </c>
      <c r="S120" s="31">
        <v>1364</v>
      </c>
      <c r="T120" s="31">
        <v>1000</v>
      </c>
      <c r="U120" s="72" t="s">
        <v>134</v>
      </c>
      <c r="V120" s="52">
        <f t="shared" si="3"/>
        <v>3.5671232876712327</v>
      </c>
      <c r="W120" s="73"/>
      <c r="X120" s="174"/>
      <c r="Y120" s="73"/>
      <c r="Z120" s="31"/>
      <c r="AA120" s="31"/>
      <c r="AB120" s="239"/>
      <c r="AC120" s="240"/>
      <c r="AD120" s="240" t="s">
        <v>2058</v>
      </c>
      <c r="AE120" s="240" t="s">
        <v>2122</v>
      </c>
      <c r="AF120" s="240" t="s">
        <v>2069</v>
      </c>
      <c r="AG120" s="239"/>
      <c r="AH120" s="256"/>
    </row>
    <row r="121" spans="5:34" ht="26.1" customHeight="1">
      <c r="E121" s="248" t="s">
        <v>1185</v>
      </c>
      <c r="F121" s="239" t="s">
        <v>2020</v>
      </c>
      <c r="G121" s="69" t="str">
        <f t="shared" si="2"/>
        <v>220-80-07370</v>
      </c>
      <c r="H121" s="134" t="s">
        <v>180</v>
      </c>
      <c r="I121" s="239" t="s">
        <v>2162</v>
      </c>
      <c r="J121" s="51" t="s">
        <v>71</v>
      </c>
      <c r="K121" s="239" t="s">
        <v>2108</v>
      </c>
      <c r="L121" s="243">
        <v>41414</v>
      </c>
      <c r="M121" s="240" t="s">
        <v>72</v>
      </c>
      <c r="N121" s="31">
        <v>1500</v>
      </c>
      <c r="O121" s="70" t="s">
        <v>132</v>
      </c>
      <c r="P121" s="71">
        <v>-0.67300000000000004</v>
      </c>
      <c r="Q121" s="55"/>
      <c r="R121" s="23">
        <v>42620</v>
      </c>
      <c r="S121" s="31">
        <v>37</v>
      </c>
      <c r="T121" s="31">
        <v>1500</v>
      </c>
      <c r="U121" s="72" t="s">
        <v>134</v>
      </c>
      <c r="V121" s="52">
        <f t="shared" si="3"/>
        <v>3.3041095890410959</v>
      </c>
      <c r="W121" s="73"/>
      <c r="X121" s="174"/>
      <c r="Y121" s="73"/>
      <c r="Z121" s="31"/>
      <c r="AA121" s="31"/>
      <c r="AB121" s="239"/>
      <c r="AC121" s="240"/>
      <c r="AD121" s="240" t="s">
        <v>2180</v>
      </c>
      <c r="AE121" s="240" t="s">
        <v>2181</v>
      </c>
      <c r="AF121" s="240" t="s">
        <v>2067</v>
      </c>
      <c r="AG121" s="239" t="s">
        <v>2182</v>
      </c>
      <c r="AH121" s="256"/>
    </row>
    <row r="122" spans="5:34" ht="26.1" customHeight="1">
      <c r="E122" s="248" t="s">
        <v>1185</v>
      </c>
      <c r="F122" s="239" t="s">
        <v>2020</v>
      </c>
      <c r="G122" s="69" t="str">
        <f t="shared" si="2"/>
        <v>220-80-07370</v>
      </c>
      <c r="H122" s="134" t="s">
        <v>180</v>
      </c>
      <c r="I122" s="239" t="s">
        <v>2163</v>
      </c>
      <c r="J122" s="51" t="s">
        <v>71</v>
      </c>
      <c r="K122" s="239" t="s">
        <v>2105</v>
      </c>
      <c r="L122" s="243">
        <v>41422</v>
      </c>
      <c r="M122" s="240" t="s">
        <v>72</v>
      </c>
      <c r="N122" s="31">
        <v>600</v>
      </c>
      <c r="O122" s="70" t="s">
        <v>1193</v>
      </c>
      <c r="P122" s="71"/>
      <c r="Q122" s="55"/>
      <c r="R122" s="23"/>
      <c r="S122" s="31"/>
      <c r="T122" s="31"/>
      <c r="U122" s="72"/>
      <c r="V122" s="52" t="str">
        <f t="shared" si="3"/>
        <v/>
      </c>
      <c r="W122" s="73" t="s">
        <v>117</v>
      </c>
      <c r="X122" s="174"/>
      <c r="Y122" s="73" t="s">
        <v>117</v>
      </c>
      <c r="Z122" s="31">
        <v>600</v>
      </c>
      <c r="AA122" s="31">
        <v>600</v>
      </c>
      <c r="AB122" s="239" t="s">
        <v>2125</v>
      </c>
      <c r="AC122" s="240" t="s">
        <v>2066</v>
      </c>
      <c r="AD122" s="240" t="s">
        <v>2066</v>
      </c>
      <c r="AE122" s="240" t="s">
        <v>2066</v>
      </c>
      <c r="AF122" s="240"/>
      <c r="AG122" s="239"/>
      <c r="AH122" s="256"/>
    </row>
    <row r="123" spans="5:34" ht="26.1" customHeight="1">
      <c r="E123" s="248" t="s">
        <v>1185</v>
      </c>
      <c r="F123" s="239" t="s">
        <v>2020</v>
      </c>
      <c r="G123" s="69" t="str">
        <f t="shared" si="2"/>
        <v>220-80-07370</v>
      </c>
      <c r="H123" s="134" t="s">
        <v>180</v>
      </c>
      <c r="I123" s="239" t="s">
        <v>2163</v>
      </c>
      <c r="J123" s="51" t="s">
        <v>71</v>
      </c>
      <c r="K123" s="239" t="s">
        <v>2105</v>
      </c>
      <c r="L123" s="243">
        <v>41422</v>
      </c>
      <c r="M123" s="240" t="s">
        <v>133</v>
      </c>
      <c r="N123" s="31">
        <v>1000</v>
      </c>
      <c r="O123" s="70" t="s">
        <v>132</v>
      </c>
      <c r="P123" s="71">
        <v>7.0000000000000007E-2</v>
      </c>
      <c r="Q123" s="55"/>
      <c r="R123" s="23">
        <v>42741</v>
      </c>
      <c r="S123" s="31">
        <v>1173</v>
      </c>
      <c r="T123" s="31">
        <v>1000</v>
      </c>
      <c r="U123" s="72" t="s">
        <v>1617</v>
      </c>
      <c r="V123" s="52">
        <f t="shared" si="3"/>
        <v>3.6136986301369864</v>
      </c>
      <c r="W123" s="73"/>
      <c r="X123" s="174"/>
      <c r="Y123" s="73"/>
      <c r="Z123" s="31"/>
      <c r="AA123" s="31"/>
      <c r="AB123" s="239"/>
      <c r="AC123" s="240"/>
      <c r="AD123" s="240" t="s">
        <v>2066</v>
      </c>
      <c r="AE123" s="240" t="s">
        <v>2066</v>
      </c>
      <c r="AF123" s="240" t="s">
        <v>2066</v>
      </c>
      <c r="AG123" s="239"/>
      <c r="AH123" s="256"/>
    </row>
    <row r="124" spans="5:34" ht="26.1" customHeight="1">
      <c r="E124" s="248" t="s">
        <v>1185</v>
      </c>
      <c r="F124" s="239" t="s">
        <v>2020</v>
      </c>
      <c r="G124" s="69" t="str">
        <f t="shared" si="2"/>
        <v>220-80-07370</v>
      </c>
      <c r="H124" s="134" t="s">
        <v>180</v>
      </c>
      <c r="I124" s="239" t="s">
        <v>2164</v>
      </c>
      <c r="J124" s="51" t="s">
        <v>71</v>
      </c>
      <c r="K124" s="239" t="s">
        <v>2105</v>
      </c>
      <c r="L124" s="243">
        <v>41446</v>
      </c>
      <c r="M124" s="240" t="s">
        <v>72</v>
      </c>
      <c r="N124" s="31">
        <v>2400</v>
      </c>
      <c r="O124" s="70" t="s">
        <v>132</v>
      </c>
      <c r="P124" s="71">
        <v>7.0000000000000001E-3</v>
      </c>
      <c r="Q124" s="55"/>
      <c r="R124" s="23">
        <v>42549</v>
      </c>
      <c r="S124" s="31">
        <v>2448</v>
      </c>
      <c r="T124" s="31">
        <v>2400</v>
      </c>
      <c r="U124" s="72" t="s">
        <v>134</v>
      </c>
      <c r="V124" s="52">
        <f t="shared" si="3"/>
        <v>3.021917808219178</v>
      </c>
      <c r="W124" s="73"/>
      <c r="X124" s="174"/>
      <c r="Y124" s="73"/>
      <c r="Z124" s="31"/>
      <c r="AA124" s="31"/>
      <c r="AB124" s="239"/>
      <c r="AC124" s="240"/>
      <c r="AD124" s="240" t="s">
        <v>2066</v>
      </c>
      <c r="AE124" s="240" t="s">
        <v>2066</v>
      </c>
      <c r="AF124" s="240" t="s">
        <v>2066</v>
      </c>
      <c r="AG124" s="239"/>
      <c r="AH124" s="256"/>
    </row>
    <row r="125" spans="5:34" ht="26.1" customHeight="1">
      <c r="E125" s="248" t="s">
        <v>1185</v>
      </c>
      <c r="F125" s="239" t="s">
        <v>2020</v>
      </c>
      <c r="G125" s="69" t="str">
        <f t="shared" si="2"/>
        <v>220-80-07370</v>
      </c>
      <c r="H125" s="134" t="s">
        <v>180</v>
      </c>
      <c r="I125" s="239" t="s">
        <v>2165</v>
      </c>
      <c r="J125" s="51" t="s">
        <v>71</v>
      </c>
      <c r="K125" s="239" t="s">
        <v>2136</v>
      </c>
      <c r="L125" s="243">
        <v>41452</v>
      </c>
      <c r="M125" s="240" t="s">
        <v>116</v>
      </c>
      <c r="N125" s="31">
        <v>1000</v>
      </c>
      <c r="O125" s="70" t="s">
        <v>132</v>
      </c>
      <c r="P125" s="71">
        <v>8.1000000000000003E-2</v>
      </c>
      <c r="Q125" s="55"/>
      <c r="R125" s="23">
        <v>42601</v>
      </c>
      <c r="S125" s="31">
        <v>1274</v>
      </c>
      <c r="T125" s="31">
        <v>1000</v>
      </c>
      <c r="U125" s="72" t="s">
        <v>1617</v>
      </c>
      <c r="V125" s="52">
        <f t="shared" si="3"/>
        <v>3.1479452054794521</v>
      </c>
      <c r="W125" s="73"/>
      <c r="X125" s="174"/>
      <c r="Y125" s="73"/>
      <c r="Z125" s="31"/>
      <c r="AA125" s="31"/>
      <c r="AB125" s="239"/>
      <c r="AC125" s="240"/>
      <c r="AD125" s="240" t="s">
        <v>2146</v>
      </c>
      <c r="AE125" s="240" t="s">
        <v>2066</v>
      </c>
      <c r="AF125" s="240" t="s">
        <v>2058</v>
      </c>
      <c r="AG125" s="239"/>
      <c r="AH125" s="256"/>
    </row>
    <row r="126" spans="5:34" ht="26.1" customHeight="1">
      <c r="E126" s="248" t="s">
        <v>1185</v>
      </c>
      <c r="F126" s="239" t="s">
        <v>2020</v>
      </c>
      <c r="G126" s="69" t="str">
        <f t="shared" si="2"/>
        <v>220-80-07370</v>
      </c>
      <c r="H126" s="134" t="s">
        <v>180</v>
      </c>
      <c r="I126" s="239" t="s">
        <v>2166</v>
      </c>
      <c r="J126" s="51" t="s">
        <v>71</v>
      </c>
      <c r="K126" s="239" t="s">
        <v>2107</v>
      </c>
      <c r="L126" s="243">
        <v>41458</v>
      </c>
      <c r="M126" s="240" t="s">
        <v>179</v>
      </c>
      <c r="N126" s="31">
        <v>5000</v>
      </c>
      <c r="O126" s="70" t="s">
        <v>132</v>
      </c>
      <c r="P126" s="71">
        <v>9.0999999999999998E-2</v>
      </c>
      <c r="Q126" s="55" t="s">
        <v>1602</v>
      </c>
      <c r="R126" s="23">
        <v>42689</v>
      </c>
      <c r="S126" s="31">
        <v>6209</v>
      </c>
      <c r="T126" s="31">
        <v>5000</v>
      </c>
      <c r="U126" s="72" t="s">
        <v>1617</v>
      </c>
      <c r="V126" s="52">
        <f t="shared" si="3"/>
        <v>3.3726027397260272</v>
      </c>
      <c r="W126" s="73"/>
      <c r="X126" s="174"/>
      <c r="Y126" s="73"/>
      <c r="Z126" s="31"/>
      <c r="AA126" s="31"/>
      <c r="AB126" s="239"/>
      <c r="AC126" s="240"/>
      <c r="AD126" s="240" t="s">
        <v>2183</v>
      </c>
      <c r="AE126" s="240" t="s">
        <v>2184</v>
      </c>
      <c r="AF126" s="240" t="s">
        <v>2070</v>
      </c>
      <c r="AG126" s="239"/>
      <c r="AH126" s="256"/>
    </row>
    <row r="127" spans="5:34" ht="26.1" customHeight="1">
      <c r="E127" s="248" t="s">
        <v>1185</v>
      </c>
      <c r="F127" s="239" t="s">
        <v>2020</v>
      </c>
      <c r="G127" s="69" t="str">
        <f t="shared" si="2"/>
        <v>220-80-07370</v>
      </c>
      <c r="H127" s="134" t="s">
        <v>180</v>
      </c>
      <c r="I127" s="239" t="s">
        <v>2167</v>
      </c>
      <c r="J127" s="51" t="s">
        <v>71</v>
      </c>
      <c r="K127" s="239" t="s">
        <v>2107</v>
      </c>
      <c r="L127" s="243">
        <v>41694</v>
      </c>
      <c r="M127" s="240" t="s">
        <v>72</v>
      </c>
      <c r="N127" s="31">
        <v>5616</v>
      </c>
      <c r="O127" s="70" t="s">
        <v>132</v>
      </c>
      <c r="P127" s="71">
        <v>0.98599999999999999</v>
      </c>
      <c r="Q127" s="55"/>
      <c r="R127" s="23">
        <v>42353</v>
      </c>
      <c r="S127" s="31">
        <v>17653</v>
      </c>
      <c r="T127" s="31">
        <v>5616</v>
      </c>
      <c r="U127" s="72" t="s">
        <v>114</v>
      </c>
      <c r="V127" s="52">
        <f t="shared" si="3"/>
        <v>1.8054794520547945</v>
      </c>
      <c r="W127" s="73"/>
      <c r="X127" s="174"/>
      <c r="Y127" s="73"/>
      <c r="Z127" s="31"/>
      <c r="AA127" s="31"/>
      <c r="AB127" s="239"/>
      <c r="AC127" s="240"/>
      <c r="AD127" s="240" t="s">
        <v>2175</v>
      </c>
      <c r="AE127" s="240" t="s">
        <v>2066</v>
      </c>
      <c r="AF127" s="240" t="s">
        <v>2175</v>
      </c>
      <c r="AG127" s="239"/>
      <c r="AH127" s="256"/>
    </row>
    <row r="128" spans="5:34" ht="26.1" customHeight="1">
      <c r="E128" s="248" t="s">
        <v>1185</v>
      </c>
      <c r="F128" s="239" t="s">
        <v>2020</v>
      </c>
      <c r="G128" s="69" t="str">
        <f t="shared" si="2"/>
        <v>220-80-07370</v>
      </c>
      <c r="H128" s="134" t="s">
        <v>180</v>
      </c>
      <c r="I128" s="239" t="s">
        <v>2168</v>
      </c>
      <c r="J128" s="51" t="s">
        <v>71</v>
      </c>
      <c r="K128" s="239" t="s">
        <v>2106</v>
      </c>
      <c r="L128" s="243">
        <v>41712</v>
      </c>
      <c r="M128" s="240" t="s">
        <v>133</v>
      </c>
      <c r="N128" s="31">
        <v>2544</v>
      </c>
      <c r="O128" s="70" t="s">
        <v>132</v>
      </c>
      <c r="P128" s="71">
        <v>-0.127</v>
      </c>
      <c r="Q128" s="55"/>
      <c r="R128" s="23">
        <v>42361</v>
      </c>
      <c r="S128" s="31">
        <v>2000</v>
      </c>
      <c r="T128" s="31">
        <v>2544</v>
      </c>
      <c r="U128" s="72" t="s">
        <v>134</v>
      </c>
      <c r="V128" s="52">
        <f t="shared" si="3"/>
        <v>1.7780821917808218</v>
      </c>
      <c r="W128" s="73"/>
      <c r="X128" s="174"/>
      <c r="Y128" s="73"/>
      <c r="Z128" s="31"/>
      <c r="AA128" s="31"/>
      <c r="AB128" s="239"/>
      <c r="AC128" s="240"/>
      <c r="AD128" s="240" t="s">
        <v>2066</v>
      </c>
      <c r="AE128" s="240" t="s">
        <v>2066</v>
      </c>
      <c r="AF128" s="240" t="s">
        <v>2066</v>
      </c>
      <c r="AG128" s="239"/>
      <c r="AH128" s="256"/>
    </row>
    <row r="129" spans="5:34" ht="26.1" customHeight="1">
      <c r="E129" s="248" t="s">
        <v>1185</v>
      </c>
      <c r="F129" s="239" t="s">
        <v>2020</v>
      </c>
      <c r="G129" s="69" t="str">
        <f t="shared" si="2"/>
        <v>220-80-07370</v>
      </c>
      <c r="H129" s="134" t="s">
        <v>180</v>
      </c>
      <c r="I129" s="239" t="s">
        <v>2169</v>
      </c>
      <c r="J129" s="51" t="s">
        <v>71</v>
      </c>
      <c r="K129" s="239" t="s">
        <v>2106</v>
      </c>
      <c r="L129" s="243">
        <v>41768</v>
      </c>
      <c r="M129" s="240" t="s">
        <v>116</v>
      </c>
      <c r="N129" s="31">
        <v>2683</v>
      </c>
      <c r="O129" s="70" t="s">
        <v>1192</v>
      </c>
      <c r="P129" s="71"/>
      <c r="Q129" s="55"/>
      <c r="R129" s="23">
        <v>42353</v>
      </c>
      <c r="S129" s="31">
        <v>640</v>
      </c>
      <c r="T129" s="31">
        <v>536</v>
      </c>
      <c r="U129" s="72" t="s">
        <v>134</v>
      </c>
      <c r="V129" s="52">
        <f t="shared" si="3"/>
        <v>1.6027397260273972</v>
      </c>
      <c r="W129" s="73" t="s">
        <v>117</v>
      </c>
      <c r="X129" s="174"/>
      <c r="Y129" s="73" t="s">
        <v>117</v>
      </c>
      <c r="Z129" s="31">
        <v>2147</v>
      </c>
      <c r="AA129" s="31">
        <v>2147</v>
      </c>
      <c r="AB129" s="239" t="s">
        <v>2125</v>
      </c>
      <c r="AC129" s="240" t="s">
        <v>2069</v>
      </c>
      <c r="AD129" s="240" t="s">
        <v>2065</v>
      </c>
      <c r="AE129" s="240" t="s">
        <v>2185</v>
      </c>
      <c r="AF129" s="240" t="s">
        <v>2185</v>
      </c>
      <c r="AG129" s="239" t="s">
        <v>2186</v>
      </c>
      <c r="AH129" s="256"/>
    </row>
    <row r="130" spans="5:34" ht="26.1" customHeight="1">
      <c r="E130" s="293" t="s">
        <v>111</v>
      </c>
      <c r="F130" s="274" t="s">
        <v>2761</v>
      </c>
      <c r="G130" s="69" t="str">
        <f t="shared" si="2"/>
        <v>220-88-28411</v>
      </c>
      <c r="H130" s="294" t="s">
        <v>181</v>
      </c>
      <c r="I130" s="274" t="s">
        <v>2814</v>
      </c>
      <c r="J130" s="295" t="s">
        <v>71</v>
      </c>
      <c r="K130" s="274" t="s">
        <v>2817</v>
      </c>
      <c r="L130" s="265">
        <v>40904</v>
      </c>
      <c r="M130" s="263" t="s">
        <v>72</v>
      </c>
      <c r="N130" s="296">
        <v>43875</v>
      </c>
      <c r="O130" s="264" t="s">
        <v>1192</v>
      </c>
      <c r="P130" s="297"/>
      <c r="Q130" s="298"/>
      <c r="R130" s="299">
        <v>42971</v>
      </c>
      <c r="S130" s="296">
        <v>61070</v>
      </c>
      <c r="T130" s="296">
        <v>27573</v>
      </c>
      <c r="U130" s="300" t="s">
        <v>137</v>
      </c>
      <c r="V130" s="52">
        <f t="shared" si="3"/>
        <v>5.6630136986301371</v>
      </c>
      <c r="W130" s="301" t="s">
        <v>117</v>
      </c>
      <c r="X130" s="302"/>
      <c r="Y130" s="301" t="s">
        <v>117</v>
      </c>
      <c r="Z130" s="296">
        <v>16302</v>
      </c>
      <c r="AA130" s="296">
        <v>16302</v>
      </c>
      <c r="AB130" s="239" t="s">
        <v>2125</v>
      </c>
      <c r="AC130" s="263" t="s">
        <v>2068</v>
      </c>
      <c r="AD130" s="263" t="s">
        <v>2115</v>
      </c>
      <c r="AE130" s="263" t="s">
        <v>2116</v>
      </c>
      <c r="AF130" s="263" t="s">
        <v>2992</v>
      </c>
      <c r="AG130" s="274" t="s">
        <v>2818</v>
      </c>
      <c r="AH130" s="256"/>
    </row>
    <row r="131" spans="5:34" ht="26.1" customHeight="1">
      <c r="E131" s="293" t="s">
        <v>111</v>
      </c>
      <c r="F131" s="274" t="s">
        <v>2765</v>
      </c>
      <c r="G131" s="69" t="str">
        <f t="shared" si="2"/>
        <v>220-88-37244</v>
      </c>
      <c r="H131" s="294" t="s">
        <v>181</v>
      </c>
      <c r="I131" s="274" t="s">
        <v>2819</v>
      </c>
      <c r="J131" s="295" t="s">
        <v>135</v>
      </c>
      <c r="K131" s="274" t="s">
        <v>2820</v>
      </c>
      <c r="L131" s="265">
        <v>41054</v>
      </c>
      <c r="M131" s="263" t="s">
        <v>72</v>
      </c>
      <c r="N131" s="296">
        <v>70300</v>
      </c>
      <c r="O131" s="264" t="s">
        <v>1192</v>
      </c>
      <c r="P131" s="297"/>
      <c r="Q131" s="298" t="s">
        <v>192</v>
      </c>
      <c r="R131" s="299">
        <v>42283</v>
      </c>
      <c r="S131" s="296">
        <v>1859</v>
      </c>
      <c r="T131" s="296">
        <v>1809</v>
      </c>
      <c r="U131" s="300" t="s">
        <v>137</v>
      </c>
      <c r="V131" s="52">
        <f t="shared" si="3"/>
        <v>3.3671232876712329</v>
      </c>
      <c r="W131" s="301" t="s">
        <v>117</v>
      </c>
      <c r="X131" s="302"/>
      <c r="Y131" s="301" t="s">
        <v>117</v>
      </c>
      <c r="Z131" s="296">
        <v>68491</v>
      </c>
      <c r="AA131" s="296">
        <v>68491</v>
      </c>
      <c r="AB131" s="239" t="s">
        <v>2125</v>
      </c>
      <c r="AC131" s="263" t="s">
        <v>2068</v>
      </c>
      <c r="AD131" s="263" t="s">
        <v>2821</v>
      </c>
      <c r="AE131" s="263" t="s">
        <v>2116</v>
      </c>
      <c r="AF131" s="263" t="s">
        <v>2992</v>
      </c>
      <c r="AG131" s="274" t="s">
        <v>2822</v>
      </c>
      <c r="AH131" s="256"/>
    </row>
    <row r="132" spans="5:34" ht="26.1" customHeight="1">
      <c r="E132" s="293" t="s">
        <v>111</v>
      </c>
      <c r="F132" s="274" t="s">
        <v>2689</v>
      </c>
      <c r="G132" s="69" t="str">
        <f t="shared" si="2"/>
        <v>220-88-60032</v>
      </c>
      <c r="H132" s="294" t="s">
        <v>181</v>
      </c>
      <c r="I132" s="274" t="s">
        <v>2823</v>
      </c>
      <c r="J132" s="295" t="s">
        <v>71</v>
      </c>
      <c r="K132" s="274" t="s">
        <v>2824</v>
      </c>
      <c r="L132" s="265">
        <v>41472</v>
      </c>
      <c r="M132" s="263" t="s">
        <v>72</v>
      </c>
      <c r="N132" s="296">
        <v>152200</v>
      </c>
      <c r="O132" s="264" t="s">
        <v>132</v>
      </c>
      <c r="P132" s="297">
        <v>0.16700000000000001</v>
      </c>
      <c r="Q132" s="298"/>
      <c r="R132" s="299">
        <v>42984</v>
      </c>
      <c r="S132" s="296">
        <v>264202</v>
      </c>
      <c r="T132" s="296">
        <v>152200</v>
      </c>
      <c r="U132" s="300" t="s">
        <v>137</v>
      </c>
      <c r="V132" s="52">
        <f t="shared" si="3"/>
        <v>4.1424657534246574</v>
      </c>
      <c r="W132" s="301"/>
      <c r="X132" s="302"/>
      <c r="Y132" s="301"/>
      <c r="Z132" s="296"/>
      <c r="AA132" s="296"/>
      <c r="AB132" s="274"/>
      <c r="AC132" s="263"/>
      <c r="AD132" s="263" t="s">
        <v>2825</v>
      </c>
      <c r="AE132" s="263" t="s">
        <v>2826</v>
      </c>
      <c r="AF132" s="263" t="s">
        <v>3006</v>
      </c>
      <c r="AG132" s="274" t="s">
        <v>2827</v>
      </c>
      <c r="AH132" s="256"/>
    </row>
    <row r="133" spans="5:34" ht="26.1" customHeight="1">
      <c r="E133" s="248" t="s">
        <v>1185</v>
      </c>
      <c r="F133" s="239" t="s">
        <v>2021</v>
      </c>
      <c r="G133" s="69" t="str">
        <f t="shared" si="2"/>
        <v>220-80-08608</v>
      </c>
      <c r="H133" s="134" t="s">
        <v>180</v>
      </c>
      <c r="I133" s="239" t="s">
        <v>2211</v>
      </c>
      <c r="J133" s="51" t="s">
        <v>71</v>
      </c>
      <c r="K133" s="239" t="s">
        <v>2136</v>
      </c>
      <c r="L133" s="243">
        <v>41584</v>
      </c>
      <c r="M133" s="240" t="s">
        <v>116</v>
      </c>
      <c r="N133" s="31">
        <v>2500</v>
      </c>
      <c r="O133" s="70" t="s">
        <v>132</v>
      </c>
      <c r="P133" s="71">
        <v>3.47</v>
      </c>
      <c r="Q133" s="55" t="s">
        <v>192</v>
      </c>
      <c r="R133" s="23">
        <v>42194</v>
      </c>
      <c r="S133" s="31">
        <v>28691</v>
      </c>
      <c r="T133" s="31">
        <v>2500</v>
      </c>
      <c r="U133" s="72" t="s">
        <v>114</v>
      </c>
      <c r="V133" s="52">
        <f t="shared" si="3"/>
        <v>1.6712328767123288</v>
      </c>
      <c r="W133" s="73"/>
      <c r="X133" s="174"/>
      <c r="Y133" s="73"/>
      <c r="Z133" s="31"/>
      <c r="AA133" s="31"/>
      <c r="AB133" s="239"/>
      <c r="AC133" s="240"/>
      <c r="AD133" s="240" t="s">
        <v>2066</v>
      </c>
      <c r="AE133" s="240" t="s">
        <v>2066</v>
      </c>
      <c r="AF133" s="240" t="s">
        <v>2066</v>
      </c>
      <c r="AG133" s="239" t="s">
        <v>2240</v>
      </c>
      <c r="AH133" s="256"/>
    </row>
    <row r="134" spans="5:34" ht="26.1" customHeight="1">
      <c r="E134" s="248" t="s">
        <v>1185</v>
      </c>
      <c r="F134" s="239" t="s">
        <v>2021</v>
      </c>
      <c r="G134" s="69" t="str">
        <f t="shared" si="2"/>
        <v>220-80-08608</v>
      </c>
      <c r="H134" s="134" t="s">
        <v>180</v>
      </c>
      <c r="I134" s="239" t="s">
        <v>2212</v>
      </c>
      <c r="J134" s="51" t="s">
        <v>71</v>
      </c>
      <c r="K134" s="239" t="s">
        <v>2136</v>
      </c>
      <c r="L134" s="243">
        <v>41631</v>
      </c>
      <c r="M134" s="240" t="s">
        <v>179</v>
      </c>
      <c r="N134" s="31">
        <v>1500</v>
      </c>
      <c r="O134" s="70" t="s">
        <v>1192</v>
      </c>
      <c r="P134" s="71"/>
      <c r="Q134" s="55" t="s">
        <v>192</v>
      </c>
      <c r="R134" s="23">
        <v>42530</v>
      </c>
      <c r="S134" s="31">
        <v>1463</v>
      </c>
      <c r="T134" s="31">
        <v>750</v>
      </c>
      <c r="U134" s="72" t="s">
        <v>134</v>
      </c>
      <c r="V134" s="52">
        <f t="shared" si="3"/>
        <v>2.463013698630137</v>
      </c>
      <c r="W134" s="73" t="s">
        <v>117</v>
      </c>
      <c r="X134" s="174"/>
      <c r="Y134" s="73" t="s">
        <v>131</v>
      </c>
      <c r="Z134" s="31">
        <v>750</v>
      </c>
      <c r="AA134" s="31">
        <v>750</v>
      </c>
      <c r="AB134" s="239" t="s">
        <v>2260</v>
      </c>
      <c r="AC134" s="240" t="s">
        <v>2071</v>
      </c>
      <c r="AD134" s="240" t="s">
        <v>2241</v>
      </c>
      <c r="AE134" s="240" t="s">
        <v>2242</v>
      </c>
      <c r="AF134" s="240" t="s">
        <v>2071</v>
      </c>
      <c r="AG134" s="239" t="s">
        <v>2243</v>
      </c>
      <c r="AH134" s="256"/>
    </row>
    <row r="135" spans="5:34" ht="26.1" customHeight="1">
      <c r="E135" s="248" t="s">
        <v>1185</v>
      </c>
      <c r="F135" s="239" t="s">
        <v>2021</v>
      </c>
      <c r="G135" s="69" t="str">
        <f t="shared" si="2"/>
        <v>220-80-08608</v>
      </c>
      <c r="H135" s="134" t="s">
        <v>180</v>
      </c>
      <c r="I135" s="239" t="s">
        <v>2212</v>
      </c>
      <c r="J135" s="51" t="s">
        <v>71</v>
      </c>
      <c r="K135" s="239" t="s">
        <v>2136</v>
      </c>
      <c r="L135" s="243">
        <v>41631</v>
      </c>
      <c r="M135" s="240" t="s">
        <v>133</v>
      </c>
      <c r="N135" s="31">
        <v>1500</v>
      </c>
      <c r="O135" s="70" t="s">
        <v>132</v>
      </c>
      <c r="P135" s="71">
        <v>0.746</v>
      </c>
      <c r="Q135" s="55" t="s">
        <v>192</v>
      </c>
      <c r="R135" s="23">
        <v>42530</v>
      </c>
      <c r="S135" s="31">
        <v>3713</v>
      </c>
      <c r="T135" s="31">
        <v>1500</v>
      </c>
      <c r="U135" s="72" t="s">
        <v>134</v>
      </c>
      <c r="V135" s="52">
        <f t="shared" si="3"/>
        <v>2.463013698630137</v>
      </c>
      <c r="W135" s="73"/>
      <c r="X135" s="174"/>
      <c r="Y135" s="73"/>
      <c r="Z135" s="31"/>
      <c r="AA135" s="31"/>
      <c r="AB135" s="239"/>
      <c r="AC135" s="240"/>
      <c r="AD135" s="240" t="s">
        <v>2241</v>
      </c>
      <c r="AE135" s="240" t="s">
        <v>2242</v>
      </c>
      <c r="AF135" s="240" t="s">
        <v>2071</v>
      </c>
      <c r="AG135" s="239" t="s">
        <v>2244</v>
      </c>
      <c r="AH135" s="256"/>
    </row>
    <row r="136" spans="5:34" ht="26.1" customHeight="1">
      <c r="E136" s="248" t="s">
        <v>1185</v>
      </c>
      <c r="F136" s="239" t="s">
        <v>2021</v>
      </c>
      <c r="G136" s="69" t="str">
        <f t="shared" si="2"/>
        <v>220-80-08608</v>
      </c>
      <c r="H136" s="134" t="s">
        <v>180</v>
      </c>
      <c r="I136" s="239" t="s">
        <v>2213</v>
      </c>
      <c r="J136" s="51" t="s">
        <v>71</v>
      </c>
      <c r="K136" s="239" t="s">
        <v>2136</v>
      </c>
      <c r="L136" s="243">
        <v>41648</v>
      </c>
      <c r="M136" s="240" t="s">
        <v>133</v>
      </c>
      <c r="N136" s="31">
        <v>2000</v>
      </c>
      <c r="O136" s="70" t="s">
        <v>1192</v>
      </c>
      <c r="P136" s="71"/>
      <c r="Q136" s="55" t="s">
        <v>192</v>
      </c>
      <c r="R136" s="23">
        <v>42437</v>
      </c>
      <c r="S136" s="31">
        <v>1000</v>
      </c>
      <c r="T136" s="31">
        <v>1000</v>
      </c>
      <c r="U136" s="72" t="s">
        <v>134</v>
      </c>
      <c r="V136" s="52">
        <f t="shared" si="3"/>
        <v>2.1616438356164385</v>
      </c>
      <c r="W136" s="73" t="s">
        <v>117</v>
      </c>
      <c r="X136" s="174"/>
      <c r="Y136" s="73" t="s">
        <v>117</v>
      </c>
      <c r="Z136" s="31">
        <v>1000</v>
      </c>
      <c r="AA136" s="31">
        <v>1000</v>
      </c>
      <c r="AB136" s="239" t="s">
        <v>2260</v>
      </c>
      <c r="AC136" s="240" t="s">
        <v>2071</v>
      </c>
      <c r="AD136" s="240" t="s">
        <v>2241</v>
      </c>
      <c r="AE136" s="240" t="s">
        <v>2242</v>
      </c>
      <c r="AF136" s="240" t="s">
        <v>2245</v>
      </c>
      <c r="AG136" s="239"/>
      <c r="AH136" s="256"/>
    </row>
    <row r="137" spans="5:34" ht="26.1" customHeight="1">
      <c r="E137" s="248" t="s">
        <v>1185</v>
      </c>
      <c r="F137" s="239" t="s">
        <v>2021</v>
      </c>
      <c r="G137" s="69" t="str">
        <f t="shared" si="2"/>
        <v>220-80-08608</v>
      </c>
      <c r="H137" s="134" t="s">
        <v>180</v>
      </c>
      <c r="I137" s="239" t="s">
        <v>2214</v>
      </c>
      <c r="J137" s="51" t="s">
        <v>71</v>
      </c>
      <c r="K137" s="239" t="s">
        <v>2108</v>
      </c>
      <c r="L137" s="243">
        <v>41752</v>
      </c>
      <c r="M137" s="240" t="s">
        <v>116</v>
      </c>
      <c r="N137" s="31">
        <v>2000</v>
      </c>
      <c r="O137" s="70" t="s">
        <v>132</v>
      </c>
      <c r="P137" s="71">
        <v>0.08</v>
      </c>
      <c r="Q137" s="55" t="s">
        <v>1602</v>
      </c>
      <c r="R137" s="23">
        <v>42326</v>
      </c>
      <c r="S137" s="31">
        <v>2258</v>
      </c>
      <c r="T137" s="31">
        <v>2000</v>
      </c>
      <c r="U137" s="72" t="s">
        <v>1617</v>
      </c>
      <c r="V137" s="52">
        <f t="shared" si="3"/>
        <v>1.5726027397260274</v>
      </c>
      <c r="W137" s="73"/>
      <c r="X137" s="174"/>
      <c r="Y137" s="73"/>
      <c r="Z137" s="31"/>
      <c r="AA137" s="31"/>
      <c r="AB137" s="239"/>
      <c r="AC137" s="240"/>
      <c r="AD137" s="240" t="s">
        <v>2246</v>
      </c>
      <c r="AE137" s="240" t="s">
        <v>2247</v>
      </c>
      <c r="AF137" s="240" t="s">
        <v>2065</v>
      </c>
      <c r="AG137" s="239"/>
      <c r="AH137" s="256"/>
    </row>
    <row r="138" spans="5:34" ht="26.1" customHeight="1">
      <c r="E138" s="248" t="s">
        <v>1185</v>
      </c>
      <c r="F138" s="239" t="s">
        <v>2021</v>
      </c>
      <c r="G138" s="69" t="str">
        <f t="shared" si="2"/>
        <v>220-80-08608</v>
      </c>
      <c r="H138" s="134" t="s">
        <v>180</v>
      </c>
      <c r="I138" s="239" t="s">
        <v>2215</v>
      </c>
      <c r="J138" s="51" t="s">
        <v>71</v>
      </c>
      <c r="K138" s="239" t="s">
        <v>2108</v>
      </c>
      <c r="L138" s="243">
        <v>41757</v>
      </c>
      <c r="M138" s="240" t="s">
        <v>133</v>
      </c>
      <c r="N138" s="31">
        <v>1000</v>
      </c>
      <c r="O138" s="70" t="s">
        <v>1193</v>
      </c>
      <c r="P138" s="71"/>
      <c r="Q138" s="55"/>
      <c r="R138" s="23"/>
      <c r="S138" s="31"/>
      <c r="T138" s="31"/>
      <c r="U138" s="72"/>
      <c r="V138" s="52" t="str">
        <f t="shared" si="3"/>
        <v/>
      </c>
      <c r="W138" s="73" t="s">
        <v>117</v>
      </c>
      <c r="X138" s="174"/>
      <c r="Y138" s="73" t="s">
        <v>117</v>
      </c>
      <c r="Z138" s="31">
        <v>1000</v>
      </c>
      <c r="AA138" s="31">
        <v>1000</v>
      </c>
      <c r="AB138" s="239" t="s">
        <v>2260</v>
      </c>
      <c r="AC138" s="240" t="s">
        <v>2067</v>
      </c>
      <c r="AD138" s="240" t="s">
        <v>2123</v>
      </c>
      <c r="AE138" s="240" t="s">
        <v>2248</v>
      </c>
      <c r="AF138" s="240"/>
      <c r="AG138" s="239"/>
      <c r="AH138" s="256"/>
    </row>
    <row r="139" spans="5:34" ht="26.1" customHeight="1">
      <c r="E139" s="248" t="s">
        <v>1185</v>
      </c>
      <c r="F139" s="239" t="s">
        <v>2021</v>
      </c>
      <c r="G139" s="69" t="str">
        <f t="shared" si="2"/>
        <v>220-80-08608</v>
      </c>
      <c r="H139" s="134" t="s">
        <v>180</v>
      </c>
      <c r="I139" s="239" t="s">
        <v>2216</v>
      </c>
      <c r="J139" s="51" t="s">
        <v>71</v>
      </c>
      <c r="K139" s="239" t="s">
        <v>2195</v>
      </c>
      <c r="L139" s="243">
        <v>41820</v>
      </c>
      <c r="M139" s="240" t="s">
        <v>116</v>
      </c>
      <c r="N139" s="31">
        <v>3500</v>
      </c>
      <c r="O139" s="70" t="s">
        <v>1192</v>
      </c>
      <c r="P139" s="71"/>
      <c r="Q139" s="55" t="s">
        <v>192</v>
      </c>
      <c r="R139" s="23">
        <v>42977</v>
      </c>
      <c r="S139" s="31">
        <v>13500</v>
      </c>
      <c r="T139" s="31">
        <v>1500</v>
      </c>
      <c r="U139" s="72" t="s">
        <v>134</v>
      </c>
      <c r="V139" s="52">
        <f t="shared" si="3"/>
        <v>3.1698630136986301</v>
      </c>
      <c r="W139" s="73" t="s">
        <v>117</v>
      </c>
      <c r="X139" s="174"/>
      <c r="Y139" s="73" t="s">
        <v>117</v>
      </c>
      <c r="Z139" s="31">
        <v>2000</v>
      </c>
      <c r="AA139" s="31">
        <v>2000</v>
      </c>
      <c r="AB139" s="239" t="s">
        <v>2260</v>
      </c>
      <c r="AC139" s="240" t="s">
        <v>2070</v>
      </c>
      <c r="AD139" s="240" t="s">
        <v>2249</v>
      </c>
      <c r="AE139" s="240" t="s">
        <v>2206</v>
      </c>
      <c r="AF139" s="263" t="s">
        <v>3007</v>
      </c>
      <c r="AG139" s="239" t="s">
        <v>3008</v>
      </c>
      <c r="AH139" s="256"/>
    </row>
    <row r="140" spans="5:34" ht="26.1" customHeight="1">
      <c r="E140" s="248" t="s">
        <v>1185</v>
      </c>
      <c r="F140" s="239" t="s">
        <v>2021</v>
      </c>
      <c r="G140" s="69" t="str">
        <f t="shared" si="2"/>
        <v>220-80-08608</v>
      </c>
      <c r="H140" s="134" t="s">
        <v>180</v>
      </c>
      <c r="I140" s="239" t="s">
        <v>2217</v>
      </c>
      <c r="J140" s="51" t="s">
        <v>135</v>
      </c>
      <c r="K140" s="239" t="s">
        <v>2133</v>
      </c>
      <c r="L140" s="243">
        <v>41863</v>
      </c>
      <c r="M140" s="240" t="s">
        <v>72</v>
      </c>
      <c r="N140" s="31">
        <v>1559</v>
      </c>
      <c r="O140" s="70" t="s">
        <v>1192</v>
      </c>
      <c r="P140" s="71"/>
      <c r="Q140" s="55" t="s">
        <v>1602</v>
      </c>
      <c r="R140" s="23">
        <v>42978</v>
      </c>
      <c r="S140" s="31">
        <v>1065</v>
      </c>
      <c r="T140" s="31">
        <v>780</v>
      </c>
      <c r="U140" s="72" t="s">
        <v>134</v>
      </c>
      <c r="V140" s="52">
        <f t="shared" si="3"/>
        <v>3.0547945205479454</v>
      </c>
      <c r="W140" s="73" t="s">
        <v>117</v>
      </c>
      <c r="X140" s="174"/>
      <c r="Y140" s="73" t="s">
        <v>117</v>
      </c>
      <c r="Z140" s="31">
        <v>779</v>
      </c>
      <c r="AA140" s="31">
        <v>779</v>
      </c>
      <c r="AB140" s="239" t="s">
        <v>2260</v>
      </c>
      <c r="AC140" s="240" t="s">
        <v>2069</v>
      </c>
      <c r="AD140" s="240" t="s">
        <v>2250</v>
      </c>
      <c r="AE140" s="240" t="s">
        <v>2069</v>
      </c>
      <c r="AF140" s="240" t="s">
        <v>2263</v>
      </c>
      <c r="AG140" s="239"/>
      <c r="AH140" s="256"/>
    </row>
    <row r="141" spans="5:34" ht="26.1" customHeight="1">
      <c r="E141" s="248" t="s">
        <v>1185</v>
      </c>
      <c r="F141" s="239" t="s">
        <v>2021</v>
      </c>
      <c r="G141" s="69" t="str">
        <f t="shared" si="2"/>
        <v>220-80-08608</v>
      </c>
      <c r="H141" s="134" t="s">
        <v>180</v>
      </c>
      <c r="I141" s="239" t="s">
        <v>2218</v>
      </c>
      <c r="J141" s="51" t="s">
        <v>71</v>
      </c>
      <c r="K141" s="239" t="s">
        <v>2133</v>
      </c>
      <c r="L141" s="243">
        <v>41886</v>
      </c>
      <c r="M141" s="240" t="s">
        <v>116</v>
      </c>
      <c r="N141" s="31">
        <v>1000</v>
      </c>
      <c r="O141" s="70" t="s">
        <v>1192</v>
      </c>
      <c r="P141" s="71"/>
      <c r="Q141" s="55" t="s">
        <v>1602</v>
      </c>
      <c r="R141" s="23">
        <v>42982</v>
      </c>
      <c r="S141" s="31">
        <v>49</v>
      </c>
      <c r="T141" s="31">
        <v>0</v>
      </c>
      <c r="U141" s="72" t="s">
        <v>137</v>
      </c>
      <c r="V141" s="52">
        <f t="shared" si="3"/>
        <v>3.0027397260273974</v>
      </c>
      <c r="W141" s="73" t="s">
        <v>117</v>
      </c>
      <c r="X141" s="174"/>
      <c r="Y141" s="73" t="s">
        <v>117</v>
      </c>
      <c r="Z141" s="31">
        <v>1000</v>
      </c>
      <c r="AA141" s="31">
        <v>1000</v>
      </c>
      <c r="AB141" s="239" t="s">
        <v>2260</v>
      </c>
      <c r="AC141" s="240" t="s">
        <v>2066</v>
      </c>
      <c r="AD141" s="240" t="s">
        <v>2066</v>
      </c>
      <c r="AE141" s="240" t="s">
        <v>2251</v>
      </c>
      <c r="AF141" s="240" t="s">
        <v>2066</v>
      </c>
      <c r="AG141" s="239" t="s">
        <v>2121</v>
      </c>
      <c r="AH141" s="256"/>
    </row>
    <row r="142" spans="5:34" ht="26.1" customHeight="1">
      <c r="E142" s="248" t="s">
        <v>1185</v>
      </c>
      <c r="F142" s="239" t="s">
        <v>2021</v>
      </c>
      <c r="G142" s="69" t="str">
        <f t="shared" si="2"/>
        <v>220-80-08608</v>
      </c>
      <c r="H142" s="134" t="s">
        <v>180</v>
      </c>
      <c r="I142" s="239" t="s">
        <v>2219</v>
      </c>
      <c r="J142" s="51" t="s">
        <v>71</v>
      </c>
      <c r="K142" s="239" t="s">
        <v>2106</v>
      </c>
      <c r="L142" s="243">
        <v>41985</v>
      </c>
      <c r="M142" s="240" t="s">
        <v>116</v>
      </c>
      <c r="N142" s="31">
        <v>1250</v>
      </c>
      <c r="O142" s="70" t="s">
        <v>1192</v>
      </c>
      <c r="P142" s="71"/>
      <c r="Q142" s="55" t="s">
        <v>1602</v>
      </c>
      <c r="R142" s="23">
        <v>42986</v>
      </c>
      <c r="S142" s="31">
        <v>69</v>
      </c>
      <c r="T142" s="31">
        <v>0</v>
      </c>
      <c r="U142" s="72" t="s">
        <v>137</v>
      </c>
      <c r="V142" s="52">
        <f t="shared" si="3"/>
        <v>2.7424657534246575</v>
      </c>
      <c r="W142" s="73" t="s">
        <v>117</v>
      </c>
      <c r="X142" s="174"/>
      <c r="Y142" s="73" t="s">
        <v>117</v>
      </c>
      <c r="Z142" s="31">
        <v>1250</v>
      </c>
      <c r="AA142" s="31">
        <v>1250</v>
      </c>
      <c r="AB142" s="239" t="s">
        <v>2260</v>
      </c>
      <c r="AC142" s="240" t="s">
        <v>2069</v>
      </c>
      <c r="AD142" s="240" t="s">
        <v>2069</v>
      </c>
      <c r="AE142" s="240" t="s">
        <v>2069</v>
      </c>
      <c r="AF142" s="240" t="s">
        <v>2069</v>
      </c>
      <c r="AG142" s="239" t="s">
        <v>2121</v>
      </c>
      <c r="AH142" s="256"/>
    </row>
    <row r="143" spans="5:34" ht="26.1" customHeight="1">
      <c r="E143" s="248" t="s">
        <v>1185</v>
      </c>
      <c r="F143" s="239" t="s">
        <v>2021</v>
      </c>
      <c r="G143" s="69" t="str">
        <f t="shared" si="2"/>
        <v>220-80-08608</v>
      </c>
      <c r="H143" s="134" t="s">
        <v>180</v>
      </c>
      <c r="I143" s="239" t="s">
        <v>2220</v>
      </c>
      <c r="J143" s="51" t="s">
        <v>71</v>
      </c>
      <c r="K143" s="239" t="s">
        <v>2108</v>
      </c>
      <c r="L143" s="243">
        <v>42048</v>
      </c>
      <c r="M143" s="240" t="s">
        <v>133</v>
      </c>
      <c r="N143" s="31">
        <v>750</v>
      </c>
      <c r="O143" s="70" t="s">
        <v>132</v>
      </c>
      <c r="P143" s="71">
        <v>-1</v>
      </c>
      <c r="Q143" s="55" t="s">
        <v>1602</v>
      </c>
      <c r="R143" s="23">
        <v>42704</v>
      </c>
      <c r="S143" s="31"/>
      <c r="T143" s="31"/>
      <c r="U143" s="72"/>
      <c r="V143" s="52">
        <f t="shared" si="3"/>
        <v>1.7972602739726027</v>
      </c>
      <c r="W143" s="73" t="s">
        <v>131</v>
      </c>
      <c r="X143" s="324">
        <v>750</v>
      </c>
      <c r="Y143" s="73" t="s">
        <v>117</v>
      </c>
      <c r="Z143" s="31">
        <v>0</v>
      </c>
      <c r="AA143" s="31">
        <v>0</v>
      </c>
      <c r="AB143" s="239" t="s">
        <v>2260</v>
      </c>
      <c r="AC143" s="240" t="s">
        <v>2070</v>
      </c>
      <c r="AD143" s="240" t="s">
        <v>2070</v>
      </c>
      <c r="AE143" s="240" t="s">
        <v>2070</v>
      </c>
      <c r="AF143" s="240"/>
      <c r="AG143" s="239" t="s">
        <v>2401</v>
      </c>
      <c r="AH143" s="256"/>
    </row>
    <row r="144" spans="5:34" ht="26.1" customHeight="1">
      <c r="E144" s="248" t="s">
        <v>1185</v>
      </c>
      <c r="F144" s="239" t="s">
        <v>2021</v>
      </c>
      <c r="G144" s="69" t="str">
        <f t="shared" si="2"/>
        <v>220-80-08608</v>
      </c>
      <c r="H144" s="134" t="s">
        <v>180</v>
      </c>
      <c r="I144" s="239" t="s">
        <v>2221</v>
      </c>
      <c r="J144" s="51" t="s">
        <v>71</v>
      </c>
      <c r="K144" s="239" t="s">
        <v>2105</v>
      </c>
      <c r="L144" s="243">
        <v>42052</v>
      </c>
      <c r="M144" s="240" t="s">
        <v>133</v>
      </c>
      <c r="N144" s="31">
        <v>2000</v>
      </c>
      <c r="O144" s="70" t="s">
        <v>1192</v>
      </c>
      <c r="P144" s="71"/>
      <c r="Q144" s="55"/>
      <c r="R144" s="23">
        <v>42520</v>
      </c>
      <c r="S144" s="31">
        <v>1300</v>
      </c>
      <c r="T144" s="31">
        <v>1000</v>
      </c>
      <c r="U144" s="72" t="s">
        <v>134</v>
      </c>
      <c r="V144" s="52">
        <f t="shared" si="3"/>
        <v>1.2821917808219179</v>
      </c>
      <c r="W144" s="73" t="s">
        <v>117</v>
      </c>
      <c r="X144" s="174"/>
      <c r="Y144" s="73" t="s">
        <v>117</v>
      </c>
      <c r="Z144" s="31">
        <v>1000</v>
      </c>
      <c r="AA144" s="31">
        <v>1000</v>
      </c>
      <c r="AB144" s="239" t="s">
        <v>2260</v>
      </c>
      <c r="AC144" s="240" t="s">
        <v>2067</v>
      </c>
      <c r="AD144" s="240" t="s">
        <v>2249</v>
      </c>
      <c r="AE144" s="240" t="s">
        <v>2252</v>
      </c>
      <c r="AF144" s="240" t="s">
        <v>2067</v>
      </c>
      <c r="AG144" s="239"/>
      <c r="AH144" s="256"/>
    </row>
    <row r="145" spans="5:34" ht="26.1" customHeight="1">
      <c r="E145" s="248" t="s">
        <v>1185</v>
      </c>
      <c r="F145" s="239" t="s">
        <v>2021</v>
      </c>
      <c r="G145" s="69" t="str">
        <f t="shared" si="2"/>
        <v>220-80-08608</v>
      </c>
      <c r="H145" s="134" t="s">
        <v>180</v>
      </c>
      <c r="I145" s="239" t="s">
        <v>2222</v>
      </c>
      <c r="J145" s="51" t="s">
        <v>135</v>
      </c>
      <c r="K145" s="239" t="s">
        <v>2108</v>
      </c>
      <c r="L145" s="243">
        <v>42052</v>
      </c>
      <c r="M145" s="240" t="s">
        <v>133</v>
      </c>
      <c r="N145" s="31">
        <v>500</v>
      </c>
      <c r="O145" s="70" t="s">
        <v>1193</v>
      </c>
      <c r="P145" s="71"/>
      <c r="Q145" s="55" t="s">
        <v>1602</v>
      </c>
      <c r="R145" s="23"/>
      <c r="S145" s="31"/>
      <c r="T145" s="31"/>
      <c r="U145" s="72"/>
      <c r="V145" s="52" t="str">
        <f t="shared" si="3"/>
        <v/>
      </c>
      <c r="W145" s="73" t="s">
        <v>117</v>
      </c>
      <c r="X145" s="174"/>
      <c r="Y145" s="73" t="s">
        <v>117</v>
      </c>
      <c r="Z145" s="31">
        <v>500</v>
      </c>
      <c r="AA145" s="31">
        <v>500</v>
      </c>
      <c r="AB145" s="239" t="s">
        <v>2260</v>
      </c>
      <c r="AC145" s="240" t="s">
        <v>2067</v>
      </c>
      <c r="AD145" s="240" t="s">
        <v>2249</v>
      </c>
      <c r="AE145" s="240" t="s">
        <v>2252</v>
      </c>
      <c r="AF145" s="240"/>
      <c r="AG145" s="239"/>
      <c r="AH145" s="256"/>
    </row>
    <row r="146" spans="5:34" ht="26.1" customHeight="1">
      <c r="E146" s="248" t="s">
        <v>1185</v>
      </c>
      <c r="F146" s="239" t="s">
        <v>2021</v>
      </c>
      <c r="G146" s="69" t="str">
        <f t="shared" si="2"/>
        <v>220-80-08608</v>
      </c>
      <c r="H146" s="134" t="s">
        <v>180</v>
      </c>
      <c r="I146" s="239" t="s">
        <v>2223</v>
      </c>
      <c r="J146" s="51" t="s">
        <v>71</v>
      </c>
      <c r="K146" s="239" t="s">
        <v>2136</v>
      </c>
      <c r="L146" s="243">
        <v>42130</v>
      </c>
      <c r="M146" s="240" t="s">
        <v>116</v>
      </c>
      <c r="N146" s="31">
        <v>4300</v>
      </c>
      <c r="O146" s="70" t="s">
        <v>1192</v>
      </c>
      <c r="P146" s="71"/>
      <c r="Q146" s="55" t="s">
        <v>1602</v>
      </c>
      <c r="R146" s="23">
        <v>42956</v>
      </c>
      <c r="S146" s="31">
        <v>629</v>
      </c>
      <c r="T146" s="31">
        <v>640</v>
      </c>
      <c r="U146" s="72" t="s">
        <v>114</v>
      </c>
      <c r="V146" s="52">
        <f t="shared" si="3"/>
        <v>2.2630136986301368</v>
      </c>
      <c r="W146" s="73" t="s">
        <v>117</v>
      </c>
      <c r="X146" s="174"/>
      <c r="Y146" s="73" t="s">
        <v>117</v>
      </c>
      <c r="Z146" s="31">
        <v>3660</v>
      </c>
      <c r="AA146" s="31">
        <v>3596</v>
      </c>
      <c r="AB146" s="239" t="s">
        <v>2606</v>
      </c>
      <c r="AC146" s="240" t="s">
        <v>2071</v>
      </c>
      <c r="AD146" s="240" t="s">
        <v>2139</v>
      </c>
      <c r="AE146" s="240" t="s">
        <v>2253</v>
      </c>
      <c r="AF146" s="240" t="s">
        <v>2261</v>
      </c>
      <c r="AG146" s="239" t="s">
        <v>2262</v>
      </c>
      <c r="AH146" s="256"/>
    </row>
    <row r="147" spans="5:34" ht="26.1" customHeight="1">
      <c r="E147" s="248" t="s">
        <v>1185</v>
      </c>
      <c r="F147" s="239" t="s">
        <v>2021</v>
      </c>
      <c r="G147" s="69" t="str">
        <f t="shared" si="2"/>
        <v>220-80-08608</v>
      </c>
      <c r="H147" s="134" t="s">
        <v>180</v>
      </c>
      <c r="I147" s="239" t="s">
        <v>2224</v>
      </c>
      <c r="J147" s="51" t="s">
        <v>71</v>
      </c>
      <c r="K147" s="239" t="s">
        <v>2136</v>
      </c>
      <c r="L147" s="243">
        <v>42167</v>
      </c>
      <c r="M147" s="240" t="s">
        <v>116</v>
      </c>
      <c r="N147" s="31">
        <v>3000</v>
      </c>
      <c r="O147" s="70" t="s">
        <v>1193</v>
      </c>
      <c r="P147" s="71"/>
      <c r="Q147" s="55" t="s">
        <v>192</v>
      </c>
      <c r="R147" s="23"/>
      <c r="S147" s="31"/>
      <c r="T147" s="31"/>
      <c r="U147" s="72"/>
      <c r="V147" s="52" t="str">
        <f t="shared" si="3"/>
        <v/>
      </c>
      <c r="W147" s="73" t="s">
        <v>117</v>
      </c>
      <c r="X147" s="174"/>
      <c r="Y147" s="73" t="s">
        <v>117</v>
      </c>
      <c r="Z147" s="31">
        <v>3000</v>
      </c>
      <c r="AA147" s="31">
        <v>3000</v>
      </c>
      <c r="AB147" s="239" t="s">
        <v>2260</v>
      </c>
      <c r="AC147" s="240" t="s">
        <v>2066</v>
      </c>
      <c r="AD147" s="240" t="s">
        <v>2066</v>
      </c>
      <c r="AE147" s="240" t="s">
        <v>2066</v>
      </c>
      <c r="AF147" s="240"/>
      <c r="AG147" s="239"/>
      <c r="AH147" s="256"/>
    </row>
    <row r="148" spans="5:34" ht="26.1" customHeight="1">
      <c r="E148" s="248" t="s">
        <v>1185</v>
      </c>
      <c r="F148" s="239" t="s">
        <v>2021</v>
      </c>
      <c r="G148" s="69" t="str">
        <f t="shared" si="2"/>
        <v>220-80-08608</v>
      </c>
      <c r="H148" s="134" t="s">
        <v>180</v>
      </c>
      <c r="I148" s="239" t="s">
        <v>2225</v>
      </c>
      <c r="J148" s="51" t="s">
        <v>71</v>
      </c>
      <c r="K148" s="239" t="s">
        <v>2133</v>
      </c>
      <c r="L148" s="243">
        <v>42185</v>
      </c>
      <c r="M148" s="240" t="s">
        <v>72</v>
      </c>
      <c r="N148" s="31">
        <v>776</v>
      </c>
      <c r="O148" s="70" t="s">
        <v>1193</v>
      </c>
      <c r="P148" s="71"/>
      <c r="Q148" s="55" t="s">
        <v>1602</v>
      </c>
      <c r="R148" s="23"/>
      <c r="S148" s="31"/>
      <c r="T148" s="31"/>
      <c r="U148" s="72"/>
      <c r="V148" s="52" t="str">
        <f t="shared" si="3"/>
        <v/>
      </c>
      <c r="W148" s="73" t="s">
        <v>117</v>
      </c>
      <c r="X148" s="174"/>
      <c r="Y148" s="73" t="s">
        <v>117</v>
      </c>
      <c r="Z148" s="31">
        <v>776</v>
      </c>
      <c r="AA148" s="31">
        <v>776</v>
      </c>
      <c r="AB148" s="239" t="s">
        <v>2260</v>
      </c>
      <c r="AC148" s="240" t="s">
        <v>2069</v>
      </c>
      <c r="AD148" s="240" t="s">
        <v>2069</v>
      </c>
      <c r="AE148" s="240" t="s">
        <v>2069</v>
      </c>
      <c r="AF148" s="240"/>
      <c r="AG148" s="239"/>
      <c r="AH148" s="256"/>
    </row>
    <row r="149" spans="5:34" ht="26.1" customHeight="1">
      <c r="E149" s="248" t="s">
        <v>1185</v>
      </c>
      <c r="F149" s="239" t="s">
        <v>2021</v>
      </c>
      <c r="G149" s="69" t="str">
        <f t="shared" si="2"/>
        <v>220-80-08608</v>
      </c>
      <c r="H149" s="134" t="s">
        <v>180</v>
      </c>
      <c r="I149" s="239" t="s">
        <v>2225</v>
      </c>
      <c r="J149" s="51" t="s">
        <v>71</v>
      </c>
      <c r="K149" s="239" t="s">
        <v>2133</v>
      </c>
      <c r="L149" s="243">
        <v>42191</v>
      </c>
      <c r="M149" s="240" t="s">
        <v>179</v>
      </c>
      <c r="N149" s="31">
        <v>556</v>
      </c>
      <c r="O149" s="70" t="s">
        <v>1192</v>
      </c>
      <c r="P149" s="71"/>
      <c r="Q149" s="55" t="s">
        <v>1602</v>
      </c>
      <c r="R149" s="23">
        <v>42922</v>
      </c>
      <c r="S149" s="31">
        <v>29</v>
      </c>
      <c r="T149" s="31">
        <v>0</v>
      </c>
      <c r="U149" s="72" t="s">
        <v>137</v>
      </c>
      <c r="V149" s="52">
        <f t="shared" si="3"/>
        <v>2.0027397260273974</v>
      </c>
      <c r="W149" s="73" t="s">
        <v>117</v>
      </c>
      <c r="X149" s="174"/>
      <c r="Y149" s="73" t="s">
        <v>117</v>
      </c>
      <c r="Z149" s="31">
        <v>556</v>
      </c>
      <c r="AA149" s="31">
        <v>556</v>
      </c>
      <c r="AB149" s="239" t="s">
        <v>2260</v>
      </c>
      <c r="AC149" s="240" t="s">
        <v>2069</v>
      </c>
      <c r="AD149" s="240" t="s">
        <v>2069</v>
      </c>
      <c r="AE149" s="240" t="s">
        <v>2069</v>
      </c>
      <c r="AF149" s="240" t="s">
        <v>2069</v>
      </c>
      <c r="AG149" s="239" t="s">
        <v>2254</v>
      </c>
      <c r="AH149" s="256"/>
    </row>
    <row r="150" spans="5:34" ht="26.1" customHeight="1">
      <c r="E150" s="248" t="s">
        <v>1185</v>
      </c>
      <c r="F150" s="239" t="s">
        <v>2021</v>
      </c>
      <c r="G150" s="69" t="str">
        <f t="shared" si="2"/>
        <v>220-80-08608</v>
      </c>
      <c r="H150" s="134" t="s">
        <v>180</v>
      </c>
      <c r="I150" s="239" t="s">
        <v>2226</v>
      </c>
      <c r="J150" s="51" t="s">
        <v>71</v>
      </c>
      <c r="K150" s="239" t="s">
        <v>2133</v>
      </c>
      <c r="L150" s="243">
        <v>42247</v>
      </c>
      <c r="M150" s="240" t="s">
        <v>133</v>
      </c>
      <c r="N150" s="31">
        <v>1000</v>
      </c>
      <c r="O150" s="70" t="s">
        <v>1193</v>
      </c>
      <c r="P150" s="71"/>
      <c r="Q150" s="55" t="s">
        <v>1602</v>
      </c>
      <c r="R150" s="23"/>
      <c r="S150" s="31"/>
      <c r="T150" s="31"/>
      <c r="U150" s="72"/>
      <c r="V150" s="52" t="str">
        <f t="shared" si="3"/>
        <v/>
      </c>
      <c r="W150" s="73" t="s">
        <v>117</v>
      </c>
      <c r="X150" s="174"/>
      <c r="Y150" s="73" t="s">
        <v>117</v>
      </c>
      <c r="Z150" s="31">
        <v>1000</v>
      </c>
      <c r="AA150" s="31">
        <v>1000</v>
      </c>
      <c r="AB150" s="239" t="s">
        <v>2260</v>
      </c>
      <c r="AC150" s="240" t="s">
        <v>2069</v>
      </c>
      <c r="AD150" s="240" t="s">
        <v>2250</v>
      </c>
      <c r="AE150" s="240" t="s">
        <v>2069</v>
      </c>
      <c r="AF150" s="240"/>
      <c r="AG150" s="239"/>
      <c r="AH150" s="256"/>
    </row>
    <row r="151" spans="5:34" ht="26.1" customHeight="1">
      <c r="E151" s="248" t="s">
        <v>1185</v>
      </c>
      <c r="F151" s="239" t="s">
        <v>2021</v>
      </c>
      <c r="G151" s="69" t="str">
        <f t="shared" si="2"/>
        <v>220-80-08608</v>
      </c>
      <c r="H151" s="134" t="s">
        <v>180</v>
      </c>
      <c r="I151" s="239" t="s">
        <v>2227</v>
      </c>
      <c r="J151" s="51" t="s">
        <v>71</v>
      </c>
      <c r="K151" s="239" t="s">
        <v>2228</v>
      </c>
      <c r="L151" s="243">
        <v>42255</v>
      </c>
      <c r="M151" s="240" t="s">
        <v>133</v>
      </c>
      <c r="N151" s="31">
        <v>3333</v>
      </c>
      <c r="O151" s="70" t="s">
        <v>1193</v>
      </c>
      <c r="P151" s="71"/>
      <c r="Q151" s="55" t="s">
        <v>1602</v>
      </c>
      <c r="R151" s="23"/>
      <c r="S151" s="31"/>
      <c r="T151" s="31"/>
      <c r="U151" s="72"/>
      <c r="V151" s="52" t="str">
        <f t="shared" si="3"/>
        <v/>
      </c>
      <c r="W151" s="73" t="s">
        <v>117</v>
      </c>
      <c r="X151" s="174"/>
      <c r="Y151" s="73" t="s">
        <v>117</v>
      </c>
      <c r="Z151" s="31">
        <v>3333</v>
      </c>
      <c r="AA151" s="31">
        <v>3333</v>
      </c>
      <c r="AB151" s="239" t="s">
        <v>2260</v>
      </c>
      <c r="AC151" s="240" t="s">
        <v>2070</v>
      </c>
      <c r="AD151" s="240" t="s">
        <v>2255</v>
      </c>
      <c r="AE151" s="240" t="s">
        <v>2070</v>
      </c>
      <c r="AF151" s="240"/>
      <c r="AG151" s="239"/>
      <c r="AH151" s="256"/>
    </row>
    <row r="152" spans="5:34" ht="26.1" customHeight="1">
      <c r="E152" s="248" t="s">
        <v>1185</v>
      </c>
      <c r="F152" s="239" t="s">
        <v>2021</v>
      </c>
      <c r="G152" s="69" t="str">
        <f t="shared" si="2"/>
        <v>220-80-08608</v>
      </c>
      <c r="H152" s="134" t="s">
        <v>180</v>
      </c>
      <c r="I152" s="239" t="s">
        <v>2220</v>
      </c>
      <c r="J152" s="51" t="s">
        <v>71</v>
      </c>
      <c r="K152" s="239" t="s">
        <v>2108</v>
      </c>
      <c r="L152" s="243">
        <v>42272</v>
      </c>
      <c r="M152" s="240" t="s">
        <v>116</v>
      </c>
      <c r="N152" s="31">
        <v>150</v>
      </c>
      <c r="O152" s="70" t="s">
        <v>132</v>
      </c>
      <c r="P152" s="71">
        <v>-1</v>
      </c>
      <c r="Q152" s="55" t="s">
        <v>1602</v>
      </c>
      <c r="R152" s="23">
        <v>42704</v>
      </c>
      <c r="S152" s="31"/>
      <c r="T152" s="31"/>
      <c r="U152" s="72"/>
      <c r="V152" s="52">
        <f t="shared" si="3"/>
        <v>1.1835616438356165</v>
      </c>
      <c r="W152" s="73" t="s">
        <v>131</v>
      </c>
      <c r="X152" s="324">
        <v>150</v>
      </c>
      <c r="Y152" s="73" t="s">
        <v>117</v>
      </c>
      <c r="Z152" s="31">
        <v>0</v>
      </c>
      <c r="AA152" s="31">
        <v>0</v>
      </c>
      <c r="AB152" s="239" t="s">
        <v>2260</v>
      </c>
      <c r="AC152" s="240" t="s">
        <v>2070</v>
      </c>
      <c r="AD152" s="240" t="s">
        <v>2070</v>
      </c>
      <c r="AE152" s="240" t="s">
        <v>2070</v>
      </c>
      <c r="AF152" s="240"/>
      <c r="AG152" s="239" t="s">
        <v>2401</v>
      </c>
      <c r="AH152" s="256"/>
    </row>
    <row r="153" spans="5:34" ht="26.1" customHeight="1">
      <c r="E153" s="248" t="s">
        <v>1185</v>
      </c>
      <c r="F153" s="239" t="s">
        <v>2021</v>
      </c>
      <c r="G153" s="69" t="str">
        <f t="shared" si="2"/>
        <v>220-80-08608</v>
      </c>
      <c r="H153" s="134" t="s">
        <v>180</v>
      </c>
      <c r="I153" s="239" t="s">
        <v>2229</v>
      </c>
      <c r="J153" s="51" t="s">
        <v>71</v>
      </c>
      <c r="K153" s="239" t="s">
        <v>2136</v>
      </c>
      <c r="L153" s="243">
        <v>42374</v>
      </c>
      <c r="M153" s="240" t="s">
        <v>133</v>
      </c>
      <c r="N153" s="31">
        <v>1001</v>
      </c>
      <c r="O153" s="70" t="s">
        <v>132</v>
      </c>
      <c r="P153" s="71">
        <v>-1</v>
      </c>
      <c r="Q153" s="55" t="s">
        <v>1602</v>
      </c>
      <c r="R153" s="23">
        <v>42769</v>
      </c>
      <c r="S153" s="31"/>
      <c r="T153" s="31"/>
      <c r="U153" s="72"/>
      <c r="V153" s="52">
        <f t="shared" si="3"/>
        <v>1.0821917808219179</v>
      </c>
      <c r="W153" s="73" t="s">
        <v>131</v>
      </c>
      <c r="X153" s="324">
        <v>1001</v>
      </c>
      <c r="Y153" s="73" t="s">
        <v>117</v>
      </c>
      <c r="Z153" s="31">
        <v>0</v>
      </c>
      <c r="AA153" s="31">
        <v>0</v>
      </c>
      <c r="AB153" s="239" t="s">
        <v>2260</v>
      </c>
      <c r="AC153" s="240" t="s">
        <v>2071</v>
      </c>
      <c r="AD153" s="240" t="s">
        <v>2253</v>
      </c>
      <c r="AE153" s="240" t="s">
        <v>2071</v>
      </c>
      <c r="AF153" s="240"/>
      <c r="AG153" s="239" t="s">
        <v>2276</v>
      </c>
      <c r="AH153" s="256"/>
    </row>
    <row r="154" spans="5:34" ht="26.1" customHeight="1">
      <c r="E154" s="248" t="s">
        <v>1185</v>
      </c>
      <c r="F154" s="239" t="s">
        <v>2021</v>
      </c>
      <c r="G154" s="69" t="str">
        <f t="shared" si="2"/>
        <v>220-80-08608</v>
      </c>
      <c r="H154" s="134" t="s">
        <v>180</v>
      </c>
      <c r="I154" s="239" t="s">
        <v>2230</v>
      </c>
      <c r="J154" s="51" t="s">
        <v>71</v>
      </c>
      <c r="K154" s="239" t="s">
        <v>2105</v>
      </c>
      <c r="L154" s="243">
        <v>42391</v>
      </c>
      <c r="M154" s="240" t="s">
        <v>133</v>
      </c>
      <c r="N154" s="31">
        <v>1500</v>
      </c>
      <c r="O154" s="70" t="s">
        <v>1193</v>
      </c>
      <c r="P154" s="71"/>
      <c r="Q154" s="55"/>
      <c r="R154" s="23"/>
      <c r="S154" s="31"/>
      <c r="T154" s="31"/>
      <c r="U154" s="72"/>
      <c r="V154" s="52" t="str">
        <f t="shared" si="3"/>
        <v/>
      </c>
      <c r="W154" s="73" t="s">
        <v>117</v>
      </c>
      <c r="X154" s="174"/>
      <c r="Y154" s="73" t="s">
        <v>117</v>
      </c>
      <c r="Z154" s="31">
        <v>1500</v>
      </c>
      <c r="AA154" s="31">
        <v>1500</v>
      </c>
      <c r="AB154" s="239" t="s">
        <v>2260</v>
      </c>
      <c r="AC154" s="240" t="s">
        <v>2069</v>
      </c>
      <c r="AD154" s="240" t="s">
        <v>2069</v>
      </c>
      <c r="AE154" s="240" t="s">
        <v>2069</v>
      </c>
      <c r="AF154" s="240"/>
      <c r="AG154" s="239"/>
      <c r="AH154" s="256"/>
    </row>
    <row r="155" spans="5:34" ht="26.1" customHeight="1">
      <c r="E155" s="248" t="s">
        <v>1185</v>
      </c>
      <c r="F155" s="239" t="s">
        <v>2021</v>
      </c>
      <c r="G155" s="69" t="str">
        <f t="shared" si="2"/>
        <v>220-80-08608</v>
      </c>
      <c r="H155" s="134" t="s">
        <v>180</v>
      </c>
      <c r="I155" s="239" t="s">
        <v>2230</v>
      </c>
      <c r="J155" s="51" t="s">
        <v>71</v>
      </c>
      <c r="K155" s="239" t="s">
        <v>2105</v>
      </c>
      <c r="L155" s="243">
        <v>42391</v>
      </c>
      <c r="M155" s="240" t="s">
        <v>116</v>
      </c>
      <c r="N155" s="31">
        <v>1500</v>
      </c>
      <c r="O155" s="70" t="s">
        <v>1192</v>
      </c>
      <c r="P155" s="71"/>
      <c r="Q155" s="55"/>
      <c r="R155" s="23">
        <v>42940</v>
      </c>
      <c r="S155" s="31">
        <v>23</v>
      </c>
      <c r="T155" s="31">
        <v>0</v>
      </c>
      <c r="U155" s="72" t="s">
        <v>137</v>
      </c>
      <c r="V155" s="52">
        <f t="shared" si="3"/>
        <v>1.5041095890410958</v>
      </c>
      <c r="W155" s="73" t="s">
        <v>117</v>
      </c>
      <c r="X155" s="174"/>
      <c r="Y155" s="73" t="s">
        <v>117</v>
      </c>
      <c r="Z155" s="31">
        <v>1500</v>
      </c>
      <c r="AA155" s="31">
        <v>1500</v>
      </c>
      <c r="AB155" s="239" t="s">
        <v>2260</v>
      </c>
      <c r="AC155" s="240" t="s">
        <v>2069</v>
      </c>
      <c r="AD155" s="240" t="s">
        <v>2069</v>
      </c>
      <c r="AE155" s="240" t="s">
        <v>2069</v>
      </c>
      <c r="AF155" s="240" t="s">
        <v>2263</v>
      </c>
      <c r="AG155" s="239" t="s">
        <v>2121</v>
      </c>
      <c r="AH155" s="256"/>
    </row>
    <row r="156" spans="5:34" ht="26.1" customHeight="1">
      <c r="E156" s="248" t="s">
        <v>1185</v>
      </c>
      <c r="F156" s="239" t="s">
        <v>2021</v>
      </c>
      <c r="G156" s="69" t="str">
        <f t="shared" si="2"/>
        <v>220-80-08608</v>
      </c>
      <c r="H156" s="134" t="s">
        <v>180</v>
      </c>
      <c r="I156" s="239" t="s">
        <v>2231</v>
      </c>
      <c r="J156" s="51" t="s">
        <v>135</v>
      </c>
      <c r="K156" s="239" t="s">
        <v>2105</v>
      </c>
      <c r="L156" s="243">
        <v>42452</v>
      </c>
      <c r="M156" s="240" t="s">
        <v>116</v>
      </c>
      <c r="N156" s="31">
        <v>2500</v>
      </c>
      <c r="O156" s="70" t="s">
        <v>1192</v>
      </c>
      <c r="P156" s="71"/>
      <c r="Q156" s="55" t="s">
        <v>1602</v>
      </c>
      <c r="R156" s="23">
        <v>42817</v>
      </c>
      <c r="S156" s="31">
        <v>50</v>
      </c>
      <c r="T156" s="31">
        <v>0</v>
      </c>
      <c r="U156" s="72" t="s">
        <v>137</v>
      </c>
      <c r="V156" s="52">
        <f t="shared" si="3"/>
        <v>1</v>
      </c>
      <c r="W156" s="73" t="s">
        <v>117</v>
      </c>
      <c r="X156" s="174"/>
      <c r="Y156" s="73" t="s">
        <v>117</v>
      </c>
      <c r="Z156" s="31">
        <v>2500</v>
      </c>
      <c r="AA156" s="31">
        <v>2500</v>
      </c>
      <c r="AB156" s="239" t="s">
        <v>2260</v>
      </c>
      <c r="AC156" s="240" t="s">
        <v>2256</v>
      </c>
      <c r="AD156" s="240" t="s">
        <v>2256</v>
      </c>
      <c r="AE156" s="240" t="s">
        <v>2256</v>
      </c>
      <c r="AF156" s="240" t="s">
        <v>2256</v>
      </c>
      <c r="AG156" s="239" t="s">
        <v>2121</v>
      </c>
      <c r="AH156" s="256"/>
    </row>
    <row r="157" spans="5:34" ht="26.1" customHeight="1">
      <c r="E157" s="248" t="s">
        <v>1185</v>
      </c>
      <c r="F157" s="239" t="s">
        <v>2021</v>
      </c>
      <c r="G157" s="69" t="str">
        <f t="shared" si="2"/>
        <v>220-80-08608</v>
      </c>
      <c r="H157" s="134" t="s">
        <v>180</v>
      </c>
      <c r="I157" s="239" t="s">
        <v>2232</v>
      </c>
      <c r="J157" s="51" t="s">
        <v>135</v>
      </c>
      <c r="K157" s="239" t="s">
        <v>2136</v>
      </c>
      <c r="L157" s="243">
        <v>42488</v>
      </c>
      <c r="M157" s="240" t="s">
        <v>133</v>
      </c>
      <c r="N157" s="31">
        <v>869</v>
      </c>
      <c r="O157" s="70" t="s">
        <v>1193</v>
      </c>
      <c r="P157" s="71"/>
      <c r="Q157" s="55" t="s">
        <v>1602</v>
      </c>
      <c r="R157" s="23"/>
      <c r="S157" s="31"/>
      <c r="T157" s="31"/>
      <c r="U157" s="72"/>
      <c r="V157" s="52" t="str">
        <f t="shared" si="3"/>
        <v/>
      </c>
      <c r="W157" s="73" t="s">
        <v>117</v>
      </c>
      <c r="X157" s="174"/>
      <c r="Y157" s="73" t="s">
        <v>117</v>
      </c>
      <c r="Z157" s="31">
        <v>869</v>
      </c>
      <c r="AA157" s="31">
        <v>869</v>
      </c>
      <c r="AB157" s="239" t="s">
        <v>2260</v>
      </c>
      <c r="AC157" s="240" t="s">
        <v>2071</v>
      </c>
      <c r="AD157" s="240" t="s">
        <v>2257</v>
      </c>
      <c r="AE157" s="240" t="s">
        <v>2071</v>
      </c>
      <c r="AF157" s="240"/>
      <c r="AG157" s="239"/>
      <c r="AH157" s="256"/>
    </row>
    <row r="158" spans="5:34" ht="26.1" customHeight="1">
      <c r="E158" s="248" t="s">
        <v>1185</v>
      </c>
      <c r="F158" s="239" t="s">
        <v>2021</v>
      </c>
      <c r="G158" s="69" t="str">
        <f t="shared" si="2"/>
        <v>220-80-08608</v>
      </c>
      <c r="H158" s="134" t="s">
        <v>180</v>
      </c>
      <c r="I158" s="239" t="s">
        <v>2233</v>
      </c>
      <c r="J158" s="51" t="s">
        <v>71</v>
      </c>
      <c r="K158" s="239" t="s">
        <v>2133</v>
      </c>
      <c r="L158" s="243">
        <v>42503</v>
      </c>
      <c r="M158" s="240" t="s">
        <v>133</v>
      </c>
      <c r="N158" s="31">
        <v>500</v>
      </c>
      <c r="O158" s="70" t="s">
        <v>1193</v>
      </c>
      <c r="P158" s="71"/>
      <c r="Q158" s="55" t="s">
        <v>1602</v>
      </c>
      <c r="R158" s="23"/>
      <c r="S158" s="31"/>
      <c r="T158" s="31"/>
      <c r="U158" s="72"/>
      <c r="V158" s="52" t="str">
        <f t="shared" si="3"/>
        <v/>
      </c>
      <c r="W158" s="73" t="s">
        <v>117</v>
      </c>
      <c r="X158" s="174"/>
      <c r="Y158" s="73" t="s">
        <v>117</v>
      </c>
      <c r="Z158" s="31">
        <v>500</v>
      </c>
      <c r="AA158" s="31">
        <v>500</v>
      </c>
      <c r="AB158" s="239" t="s">
        <v>2260</v>
      </c>
      <c r="AC158" s="240" t="s">
        <v>2258</v>
      </c>
      <c r="AD158" s="240" t="s">
        <v>2259</v>
      </c>
      <c r="AE158" s="240" t="s">
        <v>2258</v>
      </c>
      <c r="AF158" s="240"/>
      <c r="AG158" s="239"/>
      <c r="AH158" s="256"/>
    </row>
    <row r="159" spans="5:34" ht="26.1" customHeight="1">
      <c r="E159" s="248" t="s">
        <v>1185</v>
      </c>
      <c r="F159" s="239" t="s">
        <v>2021</v>
      </c>
      <c r="G159" s="69" t="str">
        <f t="shared" si="2"/>
        <v>220-80-08608</v>
      </c>
      <c r="H159" s="134" t="s">
        <v>180</v>
      </c>
      <c r="I159" s="239" t="s">
        <v>2234</v>
      </c>
      <c r="J159" s="51" t="s">
        <v>71</v>
      </c>
      <c r="K159" s="239" t="s">
        <v>2133</v>
      </c>
      <c r="L159" s="243">
        <v>42464</v>
      </c>
      <c r="M159" s="240" t="s">
        <v>133</v>
      </c>
      <c r="N159" s="31">
        <v>200</v>
      </c>
      <c r="O159" s="70" t="s">
        <v>1193</v>
      </c>
      <c r="P159" s="71"/>
      <c r="Q159" s="55" t="s">
        <v>1602</v>
      </c>
      <c r="R159" s="23"/>
      <c r="S159" s="31"/>
      <c r="T159" s="31"/>
      <c r="U159" s="72"/>
      <c r="V159" s="52" t="str">
        <f t="shared" si="3"/>
        <v/>
      </c>
      <c r="W159" s="73" t="s">
        <v>117</v>
      </c>
      <c r="X159" s="174"/>
      <c r="Y159" s="73" t="s">
        <v>117</v>
      </c>
      <c r="Z159" s="31">
        <v>200</v>
      </c>
      <c r="AA159" s="31">
        <v>200</v>
      </c>
      <c r="AB159" s="239" t="s">
        <v>2260</v>
      </c>
      <c r="AC159" s="240" t="s">
        <v>2258</v>
      </c>
      <c r="AD159" s="240" t="s">
        <v>2258</v>
      </c>
      <c r="AE159" s="240" t="s">
        <v>2258</v>
      </c>
      <c r="AF159" s="240"/>
      <c r="AG159" s="239"/>
      <c r="AH159" s="256"/>
    </row>
    <row r="160" spans="5:34" ht="26.1" customHeight="1">
      <c r="E160" s="248" t="s">
        <v>1185</v>
      </c>
      <c r="F160" s="239" t="s">
        <v>2021</v>
      </c>
      <c r="G160" s="69" t="str">
        <f t="shared" si="2"/>
        <v>220-80-08608</v>
      </c>
      <c r="H160" s="134" t="s">
        <v>180</v>
      </c>
      <c r="I160" s="239" t="s">
        <v>2235</v>
      </c>
      <c r="J160" s="51" t="s">
        <v>71</v>
      </c>
      <c r="K160" s="239" t="s">
        <v>2105</v>
      </c>
      <c r="L160" s="243">
        <v>42480</v>
      </c>
      <c r="M160" s="240" t="s">
        <v>133</v>
      </c>
      <c r="N160" s="31">
        <v>1000</v>
      </c>
      <c r="O160" s="70" t="s">
        <v>132</v>
      </c>
      <c r="P160" s="71">
        <v>0.45100000000000001</v>
      </c>
      <c r="Q160" s="55" t="s">
        <v>1602</v>
      </c>
      <c r="R160" s="23">
        <v>42663</v>
      </c>
      <c r="S160" s="31">
        <v>1205</v>
      </c>
      <c r="T160" s="31">
        <v>1000</v>
      </c>
      <c r="U160" s="72" t="s">
        <v>1617</v>
      </c>
      <c r="V160" s="52">
        <f t="shared" si="3"/>
        <v>0.50136986301369868</v>
      </c>
      <c r="W160" s="73"/>
      <c r="X160" s="174"/>
      <c r="Y160" s="73"/>
      <c r="Z160" s="31"/>
      <c r="AA160" s="31"/>
      <c r="AB160" s="239"/>
      <c r="AC160" s="240"/>
      <c r="AD160" s="240" t="s">
        <v>2067</v>
      </c>
      <c r="AE160" s="240" t="s">
        <v>2067</v>
      </c>
      <c r="AF160" s="240" t="s">
        <v>2067</v>
      </c>
      <c r="AG160" s="239"/>
      <c r="AH160" s="256"/>
    </row>
    <row r="161" spans="5:34" ht="26.1" customHeight="1">
      <c r="E161" s="248" t="s">
        <v>1185</v>
      </c>
      <c r="F161" s="239" t="s">
        <v>2021</v>
      </c>
      <c r="G161" s="69" t="str">
        <f t="shared" si="2"/>
        <v>220-80-08608</v>
      </c>
      <c r="H161" s="134" t="s">
        <v>180</v>
      </c>
      <c r="I161" s="239" t="s">
        <v>2235</v>
      </c>
      <c r="J161" s="51" t="s">
        <v>71</v>
      </c>
      <c r="K161" s="239" t="s">
        <v>2105</v>
      </c>
      <c r="L161" s="243">
        <v>42480</v>
      </c>
      <c r="M161" s="240" t="s">
        <v>72</v>
      </c>
      <c r="N161" s="31">
        <v>750</v>
      </c>
      <c r="O161" s="70" t="s">
        <v>132</v>
      </c>
      <c r="P161" s="71">
        <v>1.2549999999999999</v>
      </c>
      <c r="Q161" s="55" t="s">
        <v>1602</v>
      </c>
      <c r="R161" s="23">
        <v>42662</v>
      </c>
      <c r="S161" s="31">
        <v>1125</v>
      </c>
      <c r="T161" s="31">
        <v>750</v>
      </c>
      <c r="U161" s="72" t="s">
        <v>134</v>
      </c>
      <c r="V161" s="52">
        <f t="shared" si="3"/>
        <v>0.49863013698630138</v>
      </c>
      <c r="W161" s="73"/>
      <c r="X161" s="174"/>
      <c r="Y161" s="73"/>
      <c r="Z161" s="31"/>
      <c r="AA161" s="31"/>
      <c r="AB161" s="239"/>
      <c r="AC161" s="240"/>
      <c r="AD161" s="240" t="s">
        <v>2067</v>
      </c>
      <c r="AE161" s="240" t="s">
        <v>2067</v>
      </c>
      <c r="AF161" s="240" t="s">
        <v>2067</v>
      </c>
      <c r="AG161" s="239"/>
      <c r="AH161" s="256"/>
    </row>
    <row r="162" spans="5:34" ht="26.1" customHeight="1">
      <c r="E162" s="248" t="s">
        <v>1185</v>
      </c>
      <c r="F162" s="239" t="s">
        <v>2021</v>
      </c>
      <c r="G162" s="69" t="str">
        <f t="shared" si="2"/>
        <v>220-80-08608</v>
      </c>
      <c r="H162" s="134" t="s">
        <v>180</v>
      </c>
      <c r="I162" s="239" t="s">
        <v>2236</v>
      </c>
      <c r="J162" s="51" t="s">
        <v>71</v>
      </c>
      <c r="K162" s="239" t="s">
        <v>2237</v>
      </c>
      <c r="L162" s="243">
        <v>42437</v>
      </c>
      <c r="M162" s="240" t="s">
        <v>2238</v>
      </c>
      <c r="N162" s="31">
        <v>4000</v>
      </c>
      <c r="O162" s="70" t="s">
        <v>1193</v>
      </c>
      <c r="P162" s="71"/>
      <c r="Q162" s="55"/>
      <c r="R162" s="23"/>
      <c r="S162" s="31"/>
      <c r="T162" s="31"/>
      <c r="U162" s="72"/>
      <c r="V162" s="52" t="str">
        <f t="shared" si="3"/>
        <v/>
      </c>
      <c r="W162" s="73" t="s">
        <v>117</v>
      </c>
      <c r="X162" s="174"/>
      <c r="Y162" s="73" t="s">
        <v>117</v>
      </c>
      <c r="Z162" s="31">
        <v>4000</v>
      </c>
      <c r="AA162" s="31">
        <v>4000</v>
      </c>
      <c r="AB162" s="239" t="s">
        <v>2260</v>
      </c>
      <c r="AC162" s="240" t="s">
        <v>2069</v>
      </c>
      <c r="AD162" s="240" t="s">
        <v>2069</v>
      </c>
      <c r="AE162" s="240" t="s">
        <v>2069</v>
      </c>
      <c r="AF162" s="240"/>
      <c r="AG162" s="239"/>
      <c r="AH162" s="256"/>
    </row>
    <row r="163" spans="5:34" ht="26.1" customHeight="1">
      <c r="E163" s="248" t="s">
        <v>1185</v>
      </c>
      <c r="F163" s="239" t="s">
        <v>2021</v>
      </c>
      <c r="G163" s="69" t="str">
        <f t="shared" si="2"/>
        <v>220-80-08608</v>
      </c>
      <c r="H163" s="134" t="s">
        <v>180</v>
      </c>
      <c r="I163" s="239" t="s">
        <v>2239</v>
      </c>
      <c r="J163" s="51" t="s">
        <v>71</v>
      </c>
      <c r="K163" s="239" t="s">
        <v>2133</v>
      </c>
      <c r="L163" s="243">
        <v>42678</v>
      </c>
      <c r="M163" s="240" t="s">
        <v>133</v>
      </c>
      <c r="N163" s="31">
        <v>1500</v>
      </c>
      <c r="O163" s="70" t="s">
        <v>1193</v>
      </c>
      <c r="P163" s="71"/>
      <c r="Q163" s="55"/>
      <c r="R163" s="23"/>
      <c r="S163" s="31"/>
      <c r="T163" s="31"/>
      <c r="U163" s="72"/>
      <c r="V163" s="52" t="str">
        <f t="shared" si="3"/>
        <v/>
      </c>
      <c r="W163" s="73" t="s">
        <v>117</v>
      </c>
      <c r="X163" s="174"/>
      <c r="Y163" s="73" t="s">
        <v>117</v>
      </c>
      <c r="Z163" s="31">
        <v>1500</v>
      </c>
      <c r="AA163" s="31">
        <v>1500</v>
      </c>
      <c r="AB163" s="239" t="s">
        <v>2260</v>
      </c>
      <c r="AC163" s="240" t="s">
        <v>2258</v>
      </c>
      <c r="AD163" s="240" t="s">
        <v>2259</v>
      </c>
      <c r="AE163" s="240" t="s">
        <v>2259</v>
      </c>
      <c r="AF163" s="240"/>
      <c r="AG163" s="239"/>
      <c r="AH163" s="256"/>
    </row>
    <row r="164" spans="5:34" ht="26.1" customHeight="1">
      <c r="E164" s="293" t="s">
        <v>111</v>
      </c>
      <c r="F164" s="274" t="s">
        <v>2694</v>
      </c>
      <c r="G164" s="69" t="str">
        <f t="shared" si="2"/>
        <v>220-88-69770</v>
      </c>
      <c r="H164" s="294" t="s">
        <v>181</v>
      </c>
      <c r="I164" s="274" t="s">
        <v>2828</v>
      </c>
      <c r="J164" s="295" t="s">
        <v>71</v>
      </c>
      <c r="K164" s="274" t="s">
        <v>2824</v>
      </c>
      <c r="L164" s="265">
        <v>41710</v>
      </c>
      <c r="M164" s="263" t="s">
        <v>72</v>
      </c>
      <c r="N164" s="296">
        <v>40000</v>
      </c>
      <c r="O164" s="264" t="s">
        <v>132</v>
      </c>
      <c r="P164" s="297">
        <v>0.32200000000000001</v>
      </c>
      <c r="Q164" s="298" t="s">
        <v>1602</v>
      </c>
      <c r="R164" s="299">
        <v>42503</v>
      </c>
      <c r="S164" s="296">
        <v>71321</v>
      </c>
      <c r="T164" s="296">
        <v>40000</v>
      </c>
      <c r="U164" s="300" t="s">
        <v>137</v>
      </c>
      <c r="V164" s="52">
        <f t="shared" si="3"/>
        <v>2.1726027397260275</v>
      </c>
      <c r="W164" s="301"/>
      <c r="X164" s="302"/>
      <c r="Y164" s="301"/>
      <c r="Z164" s="296"/>
      <c r="AA164" s="296"/>
      <c r="AB164" s="274"/>
      <c r="AC164" s="263"/>
      <c r="AD164" s="263" t="s">
        <v>2825</v>
      </c>
      <c r="AE164" s="263" t="s">
        <v>2829</v>
      </c>
      <c r="AF164" s="263" t="s">
        <v>2830</v>
      </c>
      <c r="AG164" s="274" t="s">
        <v>2831</v>
      </c>
      <c r="AH164" s="256"/>
    </row>
    <row r="165" spans="5:34" ht="26.1" customHeight="1">
      <c r="E165" s="293" t="s">
        <v>111</v>
      </c>
      <c r="F165" s="274" t="s">
        <v>2698</v>
      </c>
      <c r="G165" s="69" t="str">
        <f t="shared" si="2"/>
        <v>220-88-69784</v>
      </c>
      <c r="H165" s="294" t="s">
        <v>181</v>
      </c>
      <c r="I165" s="274" t="s">
        <v>2828</v>
      </c>
      <c r="J165" s="295" t="s">
        <v>71</v>
      </c>
      <c r="K165" s="274" t="s">
        <v>2824</v>
      </c>
      <c r="L165" s="265">
        <v>41710</v>
      </c>
      <c r="M165" s="263" t="s">
        <v>72</v>
      </c>
      <c r="N165" s="296">
        <v>40000</v>
      </c>
      <c r="O165" s="264" t="s">
        <v>132</v>
      </c>
      <c r="P165" s="297">
        <v>0.32200000000000001</v>
      </c>
      <c r="Q165" s="298" t="s">
        <v>1602</v>
      </c>
      <c r="R165" s="299">
        <v>42503</v>
      </c>
      <c r="S165" s="296">
        <v>71321</v>
      </c>
      <c r="T165" s="296">
        <v>40000</v>
      </c>
      <c r="U165" s="300" t="s">
        <v>134</v>
      </c>
      <c r="V165" s="52">
        <f t="shared" si="3"/>
        <v>2.1726027397260275</v>
      </c>
      <c r="W165" s="301"/>
      <c r="X165" s="302"/>
      <c r="Y165" s="301"/>
      <c r="Z165" s="296"/>
      <c r="AA165" s="296"/>
      <c r="AB165" s="274"/>
      <c r="AC165" s="263"/>
      <c r="AD165" s="263" t="s">
        <v>2825</v>
      </c>
      <c r="AE165" s="263" t="s">
        <v>2829</v>
      </c>
      <c r="AF165" s="263" t="s">
        <v>2830</v>
      </c>
      <c r="AG165" s="274" t="s">
        <v>2831</v>
      </c>
      <c r="AH165" s="256"/>
    </row>
    <row r="166" spans="5:34" ht="26.1" customHeight="1">
      <c r="E166" s="248" t="s">
        <v>1185</v>
      </c>
      <c r="F166" s="239" t="s">
        <v>2022</v>
      </c>
      <c r="G166" s="69" t="str">
        <f t="shared" si="2"/>
        <v>220-80-08990</v>
      </c>
      <c r="H166" s="134" t="s">
        <v>180</v>
      </c>
      <c r="I166" s="239" t="s">
        <v>2214</v>
      </c>
      <c r="J166" s="51" t="s">
        <v>71</v>
      </c>
      <c r="K166" s="239" t="s">
        <v>2108</v>
      </c>
      <c r="L166" s="243">
        <v>41752</v>
      </c>
      <c r="M166" s="240" t="s">
        <v>116</v>
      </c>
      <c r="N166" s="31">
        <v>5000</v>
      </c>
      <c r="O166" s="70" t="s">
        <v>132</v>
      </c>
      <c r="P166" s="71">
        <v>0.08</v>
      </c>
      <c r="Q166" s="55" t="s">
        <v>1602</v>
      </c>
      <c r="R166" s="23">
        <v>42326</v>
      </c>
      <c r="S166" s="31">
        <v>5644</v>
      </c>
      <c r="T166" s="31">
        <v>5000</v>
      </c>
      <c r="U166" s="72" t="s">
        <v>1617</v>
      </c>
      <c r="V166" s="52">
        <f t="shared" si="3"/>
        <v>1.5726027397260274</v>
      </c>
      <c r="W166" s="73"/>
      <c r="X166" s="174"/>
      <c r="Y166" s="73"/>
      <c r="Z166" s="31"/>
      <c r="AA166" s="31"/>
      <c r="AB166" s="239"/>
      <c r="AC166" s="240"/>
      <c r="AD166" s="240" t="s">
        <v>2246</v>
      </c>
      <c r="AE166" s="240" t="s">
        <v>2247</v>
      </c>
      <c r="AF166" s="240" t="s">
        <v>2065</v>
      </c>
      <c r="AG166" s="239"/>
      <c r="AH166" s="256"/>
    </row>
    <row r="167" spans="5:34" ht="26.1" customHeight="1">
      <c r="E167" s="248" t="s">
        <v>1185</v>
      </c>
      <c r="F167" s="239" t="s">
        <v>2022</v>
      </c>
      <c r="G167" s="69" t="str">
        <f t="shared" si="2"/>
        <v>220-80-08990</v>
      </c>
      <c r="H167" s="134" t="s">
        <v>180</v>
      </c>
      <c r="I167" s="239" t="s">
        <v>2217</v>
      </c>
      <c r="J167" s="51" t="s">
        <v>135</v>
      </c>
      <c r="K167" s="239" t="s">
        <v>2133</v>
      </c>
      <c r="L167" s="243">
        <v>41863</v>
      </c>
      <c r="M167" s="240" t="s">
        <v>72</v>
      </c>
      <c r="N167" s="31">
        <v>1559</v>
      </c>
      <c r="O167" s="70" t="s">
        <v>1192</v>
      </c>
      <c r="P167" s="71"/>
      <c r="Q167" s="55" t="s">
        <v>1602</v>
      </c>
      <c r="R167" s="23">
        <v>42978</v>
      </c>
      <c r="S167" s="31">
        <v>1065</v>
      </c>
      <c r="T167" s="31">
        <v>780</v>
      </c>
      <c r="U167" s="72" t="s">
        <v>134</v>
      </c>
      <c r="V167" s="52">
        <f t="shared" si="3"/>
        <v>3.0547945205479454</v>
      </c>
      <c r="W167" s="73" t="s">
        <v>117</v>
      </c>
      <c r="X167" s="174"/>
      <c r="Y167" s="73" t="s">
        <v>117</v>
      </c>
      <c r="Z167" s="31">
        <v>779</v>
      </c>
      <c r="AA167" s="31">
        <v>779</v>
      </c>
      <c r="AB167" s="239" t="s">
        <v>2260</v>
      </c>
      <c r="AC167" s="240" t="s">
        <v>2069</v>
      </c>
      <c r="AD167" s="240" t="s">
        <v>2250</v>
      </c>
      <c r="AE167" s="240" t="s">
        <v>2069</v>
      </c>
      <c r="AF167" s="240" t="s">
        <v>2263</v>
      </c>
      <c r="AG167" s="239"/>
      <c r="AH167" s="256"/>
    </row>
    <row r="168" spans="5:34" ht="26.1" customHeight="1">
      <c r="E168" s="248" t="s">
        <v>1185</v>
      </c>
      <c r="F168" s="239" t="s">
        <v>2022</v>
      </c>
      <c r="G168" s="69" t="str">
        <f t="shared" si="2"/>
        <v>220-80-08990</v>
      </c>
      <c r="H168" s="134" t="s">
        <v>180</v>
      </c>
      <c r="I168" s="239" t="s">
        <v>2218</v>
      </c>
      <c r="J168" s="51" t="s">
        <v>71</v>
      </c>
      <c r="K168" s="239" t="s">
        <v>2133</v>
      </c>
      <c r="L168" s="243">
        <v>41886</v>
      </c>
      <c r="M168" s="240" t="s">
        <v>116</v>
      </c>
      <c r="N168" s="31">
        <v>1000</v>
      </c>
      <c r="O168" s="70" t="s">
        <v>1192</v>
      </c>
      <c r="P168" s="71"/>
      <c r="Q168" s="55" t="s">
        <v>1602</v>
      </c>
      <c r="R168" s="23">
        <v>42982</v>
      </c>
      <c r="S168" s="31">
        <v>49</v>
      </c>
      <c r="T168" s="31">
        <v>0</v>
      </c>
      <c r="U168" s="72" t="s">
        <v>137</v>
      </c>
      <c r="V168" s="52">
        <f t="shared" si="3"/>
        <v>3.0027397260273974</v>
      </c>
      <c r="W168" s="73" t="s">
        <v>117</v>
      </c>
      <c r="X168" s="174"/>
      <c r="Y168" s="73" t="s">
        <v>117</v>
      </c>
      <c r="Z168" s="31">
        <v>1000</v>
      </c>
      <c r="AA168" s="31">
        <v>1000</v>
      </c>
      <c r="AB168" s="239" t="s">
        <v>2260</v>
      </c>
      <c r="AC168" s="240" t="s">
        <v>2066</v>
      </c>
      <c r="AD168" s="240" t="s">
        <v>2066</v>
      </c>
      <c r="AE168" s="240" t="s">
        <v>2275</v>
      </c>
      <c r="AF168" s="240" t="s">
        <v>2275</v>
      </c>
      <c r="AG168" s="239" t="s">
        <v>2121</v>
      </c>
      <c r="AH168" s="256"/>
    </row>
    <row r="169" spans="5:34" ht="26.1" customHeight="1">
      <c r="E169" s="248" t="s">
        <v>1185</v>
      </c>
      <c r="F169" s="239" t="s">
        <v>2022</v>
      </c>
      <c r="G169" s="69" t="str">
        <f t="shared" si="2"/>
        <v>220-80-08990</v>
      </c>
      <c r="H169" s="134" t="s">
        <v>180</v>
      </c>
      <c r="I169" s="239" t="s">
        <v>2219</v>
      </c>
      <c r="J169" s="51" t="s">
        <v>71</v>
      </c>
      <c r="K169" s="239" t="s">
        <v>2105</v>
      </c>
      <c r="L169" s="243">
        <v>41985</v>
      </c>
      <c r="M169" s="240" t="s">
        <v>116</v>
      </c>
      <c r="N169" s="31">
        <v>1250</v>
      </c>
      <c r="O169" s="70" t="s">
        <v>1192</v>
      </c>
      <c r="P169" s="71"/>
      <c r="Q169" s="55" t="s">
        <v>1602</v>
      </c>
      <c r="R169" s="23">
        <v>42986</v>
      </c>
      <c r="S169" s="31">
        <v>69</v>
      </c>
      <c r="T169" s="31">
        <v>0</v>
      </c>
      <c r="U169" s="72" t="s">
        <v>137</v>
      </c>
      <c r="V169" s="52">
        <f t="shared" si="3"/>
        <v>2.7424657534246575</v>
      </c>
      <c r="W169" s="73" t="s">
        <v>117</v>
      </c>
      <c r="X169" s="174"/>
      <c r="Y169" s="73" t="s">
        <v>117</v>
      </c>
      <c r="Z169" s="31">
        <v>1250</v>
      </c>
      <c r="AA169" s="31">
        <v>1250</v>
      </c>
      <c r="AB169" s="239" t="s">
        <v>2260</v>
      </c>
      <c r="AC169" s="240" t="s">
        <v>2069</v>
      </c>
      <c r="AD169" s="240" t="s">
        <v>2069</v>
      </c>
      <c r="AE169" s="240" t="s">
        <v>2069</v>
      </c>
      <c r="AF169" s="240" t="s">
        <v>2263</v>
      </c>
      <c r="AG169" s="239" t="s">
        <v>2121</v>
      </c>
      <c r="AH169" s="256"/>
    </row>
    <row r="170" spans="5:34" ht="26.1" customHeight="1">
      <c r="E170" s="248" t="s">
        <v>1185</v>
      </c>
      <c r="F170" s="239" t="s">
        <v>2022</v>
      </c>
      <c r="G170" s="69" t="str">
        <f t="shared" ref="G170:G233" si="4">IF(ISBLANK($F170),"",VLOOKUP($F170,제안사_펀드현황,3,FALSE))</f>
        <v>220-80-08990</v>
      </c>
      <c r="H170" s="134" t="s">
        <v>180</v>
      </c>
      <c r="I170" s="239" t="s">
        <v>2220</v>
      </c>
      <c r="J170" s="51" t="s">
        <v>71</v>
      </c>
      <c r="K170" s="239" t="s">
        <v>2108</v>
      </c>
      <c r="L170" s="243">
        <v>42048</v>
      </c>
      <c r="M170" s="240" t="s">
        <v>133</v>
      </c>
      <c r="N170" s="31">
        <v>750</v>
      </c>
      <c r="O170" s="70" t="s">
        <v>132</v>
      </c>
      <c r="P170" s="71">
        <v>-1</v>
      </c>
      <c r="Q170" s="55" t="s">
        <v>1602</v>
      </c>
      <c r="R170" s="23">
        <v>42704</v>
      </c>
      <c r="S170" s="31"/>
      <c r="T170" s="31"/>
      <c r="U170" s="72"/>
      <c r="V170" s="52">
        <f t="shared" ref="V170:V233" si="5">IF(ISBLANK(R170),"",DATEDIF(L170,R170,"d")/365)</f>
        <v>1.7972602739726027</v>
      </c>
      <c r="W170" s="73" t="s">
        <v>131</v>
      </c>
      <c r="X170" s="324">
        <v>750</v>
      </c>
      <c r="Y170" s="73" t="s">
        <v>117</v>
      </c>
      <c r="Z170" s="31">
        <v>0</v>
      </c>
      <c r="AA170" s="31">
        <v>0</v>
      </c>
      <c r="AB170" s="239" t="s">
        <v>2260</v>
      </c>
      <c r="AC170" s="240" t="s">
        <v>2070</v>
      </c>
      <c r="AD170" s="240" t="s">
        <v>2070</v>
      </c>
      <c r="AE170" s="240" t="s">
        <v>2070</v>
      </c>
      <c r="AF170" s="240"/>
      <c r="AG170" s="239" t="s">
        <v>2401</v>
      </c>
      <c r="AH170" s="256"/>
    </row>
    <row r="171" spans="5:34" ht="26.1" customHeight="1">
      <c r="E171" s="248" t="s">
        <v>1185</v>
      </c>
      <c r="F171" s="239" t="s">
        <v>2022</v>
      </c>
      <c r="G171" s="69" t="str">
        <f t="shared" si="4"/>
        <v>220-80-08990</v>
      </c>
      <c r="H171" s="134" t="s">
        <v>180</v>
      </c>
      <c r="I171" s="239" t="s">
        <v>2222</v>
      </c>
      <c r="J171" s="51" t="s">
        <v>135</v>
      </c>
      <c r="K171" s="239" t="s">
        <v>2108</v>
      </c>
      <c r="L171" s="243">
        <v>42052</v>
      </c>
      <c r="M171" s="240" t="s">
        <v>133</v>
      </c>
      <c r="N171" s="31">
        <v>500</v>
      </c>
      <c r="O171" s="70" t="s">
        <v>1193</v>
      </c>
      <c r="P171" s="71"/>
      <c r="Q171" s="55" t="s">
        <v>1602</v>
      </c>
      <c r="R171" s="23"/>
      <c r="S171" s="31"/>
      <c r="T171" s="31"/>
      <c r="U171" s="72"/>
      <c r="V171" s="52" t="str">
        <f t="shared" si="5"/>
        <v/>
      </c>
      <c r="W171" s="73" t="s">
        <v>117</v>
      </c>
      <c r="X171" s="174"/>
      <c r="Y171" s="73" t="s">
        <v>117</v>
      </c>
      <c r="Z171" s="31">
        <v>500</v>
      </c>
      <c r="AA171" s="31">
        <v>500</v>
      </c>
      <c r="AB171" s="239" t="s">
        <v>2260</v>
      </c>
      <c r="AC171" s="240" t="s">
        <v>2067</v>
      </c>
      <c r="AD171" s="240" t="s">
        <v>2249</v>
      </c>
      <c r="AE171" s="240" t="s">
        <v>2252</v>
      </c>
      <c r="AF171" s="240"/>
      <c r="AG171" s="239"/>
      <c r="AH171" s="256"/>
    </row>
    <row r="172" spans="5:34" ht="26.1" customHeight="1">
      <c r="E172" s="248" t="s">
        <v>1185</v>
      </c>
      <c r="F172" s="239" t="s">
        <v>2022</v>
      </c>
      <c r="G172" s="69" t="str">
        <f t="shared" si="4"/>
        <v>220-80-08990</v>
      </c>
      <c r="H172" s="134" t="s">
        <v>180</v>
      </c>
      <c r="I172" s="239" t="s">
        <v>2223</v>
      </c>
      <c r="J172" s="51" t="s">
        <v>71</v>
      </c>
      <c r="K172" s="239" t="s">
        <v>2136</v>
      </c>
      <c r="L172" s="243">
        <v>42130</v>
      </c>
      <c r="M172" s="240" t="s">
        <v>116</v>
      </c>
      <c r="N172" s="31">
        <v>1700</v>
      </c>
      <c r="O172" s="70" t="s">
        <v>1192</v>
      </c>
      <c r="P172" s="71"/>
      <c r="Q172" s="55" t="s">
        <v>1602</v>
      </c>
      <c r="R172" s="23">
        <v>42956</v>
      </c>
      <c r="S172" s="31">
        <v>290</v>
      </c>
      <c r="T172" s="31">
        <v>295</v>
      </c>
      <c r="U172" s="72" t="s">
        <v>114</v>
      </c>
      <c r="V172" s="52">
        <f t="shared" si="5"/>
        <v>2.2630136986301368</v>
      </c>
      <c r="W172" s="73" t="s">
        <v>117</v>
      </c>
      <c r="X172" s="174"/>
      <c r="Y172" s="73" t="s">
        <v>117</v>
      </c>
      <c r="Z172" s="31">
        <v>1405</v>
      </c>
      <c r="AA172" s="31">
        <v>1384</v>
      </c>
      <c r="AB172" s="239" t="s">
        <v>2607</v>
      </c>
      <c r="AC172" s="240" t="s">
        <v>2071</v>
      </c>
      <c r="AD172" s="240" t="s">
        <v>2139</v>
      </c>
      <c r="AE172" s="240" t="s">
        <v>2253</v>
      </c>
      <c r="AF172" s="240" t="s">
        <v>2261</v>
      </c>
      <c r="AG172" s="239" t="s">
        <v>2262</v>
      </c>
      <c r="AH172" s="256"/>
    </row>
    <row r="173" spans="5:34" ht="26.1" customHeight="1">
      <c r="E173" s="248" t="s">
        <v>1185</v>
      </c>
      <c r="F173" s="239" t="s">
        <v>2022</v>
      </c>
      <c r="G173" s="69" t="str">
        <f t="shared" si="4"/>
        <v>220-80-08990</v>
      </c>
      <c r="H173" s="134" t="s">
        <v>180</v>
      </c>
      <c r="I173" s="239" t="s">
        <v>2196</v>
      </c>
      <c r="J173" s="51" t="s">
        <v>71</v>
      </c>
      <c r="K173" s="239" t="s">
        <v>2133</v>
      </c>
      <c r="L173" s="243">
        <v>42174</v>
      </c>
      <c r="M173" s="240" t="s">
        <v>116</v>
      </c>
      <c r="N173" s="31">
        <v>500</v>
      </c>
      <c r="O173" s="70" t="s">
        <v>132</v>
      </c>
      <c r="P173" s="71">
        <v>-0.879</v>
      </c>
      <c r="Q173" s="55" t="s">
        <v>1602</v>
      </c>
      <c r="R173" s="23">
        <v>42970</v>
      </c>
      <c r="S173" s="31">
        <v>5</v>
      </c>
      <c r="T173" s="31">
        <v>500</v>
      </c>
      <c r="U173" s="72" t="s">
        <v>134</v>
      </c>
      <c r="V173" s="52">
        <f t="shared" si="5"/>
        <v>2.1808219178082191</v>
      </c>
      <c r="W173" s="73"/>
      <c r="X173" s="174"/>
      <c r="Y173" s="73"/>
      <c r="Z173" s="31"/>
      <c r="AA173" s="31"/>
      <c r="AB173" s="239"/>
      <c r="AC173" s="240"/>
      <c r="AD173" s="240" t="s">
        <v>2067</v>
      </c>
      <c r="AE173" s="240" t="s">
        <v>2067</v>
      </c>
      <c r="AF173" s="240" t="s">
        <v>2208</v>
      </c>
      <c r="AG173" s="239" t="s">
        <v>2209</v>
      </c>
      <c r="AH173" s="256"/>
    </row>
    <row r="174" spans="5:34" ht="26.1" customHeight="1">
      <c r="E174" s="248" t="s">
        <v>1185</v>
      </c>
      <c r="F174" s="239" t="s">
        <v>2022</v>
      </c>
      <c r="G174" s="69" t="str">
        <f t="shared" si="4"/>
        <v>220-80-08990</v>
      </c>
      <c r="H174" s="134" t="s">
        <v>180</v>
      </c>
      <c r="I174" s="239" t="s">
        <v>2225</v>
      </c>
      <c r="J174" s="51" t="s">
        <v>71</v>
      </c>
      <c r="K174" s="239" t="s">
        <v>2133</v>
      </c>
      <c r="L174" s="243">
        <v>42185</v>
      </c>
      <c r="M174" s="240" t="s">
        <v>72</v>
      </c>
      <c r="N174" s="31">
        <v>777</v>
      </c>
      <c r="O174" s="70" t="s">
        <v>1193</v>
      </c>
      <c r="P174" s="71"/>
      <c r="Q174" s="55" t="s">
        <v>1602</v>
      </c>
      <c r="R174" s="23"/>
      <c r="S174" s="31"/>
      <c r="T174" s="31"/>
      <c r="U174" s="72"/>
      <c r="V174" s="52" t="str">
        <f t="shared" si="5"/>
        <v/>
      </c>
      <c r="W174" s="73" t="s">
        <v>117</v>
      </c>
      <c r="X174" s="174"/>
      <c r="Y174" s="73" t="s">
        <v>117</v>
      </c>
      <c r="Z174" s="31">
        <v>777</v>
      </c>
      <c r="AA174" s="31">
        <v>777</v>
      </c>
      <c r="AB174" s="239" t="s">
        <v>2260</v>
      </c>
      <c r="AC174" s="240" t="s">
        <v>2069</v>
      </c>
      <c r="AD174" s="240" t="s">
        <v>2069</v>
      </c>
      <c r="AE174" s="240" t="s">
        <v>2069</v>
      </c>
      <c r="AF174" s="240"/>
      <c r="AG174" s="239"/>
      <c r="AH174" s="256"/>
    </row>
    <row r="175" spans="5:34" ht="26.1" customHeight="1">
      <c r="E175" s="248" t="s">
        <v>1185</v>
      </c>
      <c r="F175" s="239" t="s">
        <v>2022</v>
      </c>
      <c r="G175" s="69" t="str">
        <f t="shared" si="4"/>
        <v>220-80-08990</v>
      </c>
      <c r="H175" s="134" t="s">
        <v>180</v>
      </c>
      <c r="I175" s="239" t="s">
        <v>2225</v>
      </c>
      <c r="J175" s="51" t="s">
        <v>71</v>
      </c>
      <c r="K175" s="239" t="s">
        <v>2133</v>
      </c>
      <c r="L175" s="243">
        <v>42191</v>
      </c>
      <c r="M175" s="240" t="s">
        <v>179</v>
      </c>
      <c r="N175" s="31">
        <v>556</v>
      </c>
      <c r="O175" s="70" t="s">
        <v>1192</v>
      </c>
      <c r="P175" s="71"/>
      <c r="Q175" s="55" t="s">
        <v>1602</v>
      </c>
      <c r="R175" s="23">
        <v>42921</v>
      </c>
      <c r="S175" s="31">
        <v>29</v>
      </c>
      <c r="T175" s="31">
        <v>0</v>
      </c>
      <c r="U175" s="72" t="s">
        <v>137</v>
      </c>
      <c r="V175" s="52">
        <f t="shared" si="5"/>
        <v>2</v>
      </c>
      <c r="W175" s="73" t="s">
        <v>117</v>
      </c>
      <c r="X175" s="174"/>
      <c r="Y175" s="73" t="s">
        <v>117</v>
      </c>
      <c r="Z175" s="31">
        <v>556</v>
      </c>
      <c r="AA175" s="31">
        <v>556</v>
      </c>
      <c r="AB175" s="239" t="s">
        <v>2260</v>
      </c>
      <c r="AC175" s="240" t="s">
        <v>2069</v>
      </c>
      <c r="AD175" s="240" t="s">
        <v>2069</v>
      </c>
      <c r="AE175" s="240" t="s">
        <v>2069</v>
      </c>
      <c r="AF175" s="240" t="s">
        <v>2263</v>
      </c>
      <c r="AG175" s="239" t="s">
        <v>2254</v>
      </c>
      <c r="AH175" s="256"/>
    </row>
    <row r="176" spans="5:34" ht="26.1" customHeight="1">
      <c r="E176" s="248" t="s">
        <v>1185</v>
      </c>
      <c r="F176" s="239" t="s">
        <v>2022</v>
      </c>
      <c r="G176" s="69" t="str">
        <f t="shared" si="4"/>
        <v>220-80-08990</v>
      </c>
      <c r="H176" s="134" t="s">
        <v>180</v>
      </c>
      <c r="I176" s="239" t="s">
        <v>2264</v>
      </c>
      <c r="J176" s="51" t="s">
        <v>71</v>
      </c>
      <c r="K176" s="239" t="s">
        <v>2108</v>
      </c>
      <c r="L176" s="243">
        <v>42186</v>
      </c>
      <c r="M176" s="240" t="s">
        <v>72</v>
      </c>
      <c r="N176" s="31">
        <v>1000</v>
      </c>
      <c r="O176" s="70" t="s">
        <v>132</v>
      </c>
      <c r="P176" s="71">
        <v>0.52</v>
      </c>
      <c r="Q176" s="55" t="s">
        <v>1602</v>
      </c>
      <c r="R176" s="23">
        <v>42355</v>
      </c>
      <c r="S176" s="31">
        <v>1214</v>
      </c>
      <c r="T176" s="31">
        <v>1000</v>
      </c>
      <c r="U176" s="72" t="s">
        <v>134</v>
      </c>
      <c r="V176" s="52">
        <f t="shared" si="5"/>
        <v>0.46301369863013697</v>
      </c>
      <c r="W176" s="73"/>
      <c r="X176" s="174"/>
      <c r="Y176" s="73"/>
      <c r="Z176" s="31"/>
      <c r="AA176" s="31"/>
      <c r="AB176" s="239"/>
      <c r="AC176" s="240"/>
      <c r="AD176" s="240" t="s">
        <v>2070</v>
      </c>
      <c r="AE176" s="240" t="s">
        <v>2070</v>
      </c>
      <c r="AF176" s="240" t="s">
        <v>2070</v>
      </c>
      <c r="AG176" s="239"/>
      <c r="AH176" s="256"/>
    </row>
    <row r="177" spans="5:34" ht="26.1" customHeight="1">
      <c r="E177" s="248" t="s">
        <v>1185</v>
      </c>
      <c r="F177" s="239" t="s">
        <v>2022</v>
      </c>
      <c r="G177" s="69" t="str">
        <f t="shared" si="4"/>
        <v>220-80-08990</v>
      </c>
      <c r="H177" s="134" t="s">
        <v>180</v>
      </c>
      <c r="I177" s="239" t="s">
        <v>2226</v>
      </c>
      <c r="J177" s="51" t="s">
        <v>71</v>
      </c>
      <c r="K177" s="239" t="s">
        <v>2133</v>
      </c>
      <c r="L177" s="243">
        <v>42247</v>
      </c>
      <c r="M177" s="240" t="s">
        <v>133</v>
      </c>
      <c r="N177" s="31">
        <v>1000</v>
      </c>
      <c r="O177" s="70" t="s">
        <v>1193</v>
      </c>
      <c r="P177" s="71"/>
      <c r="Q177" s="55" t="s">
        <v>1602</v>
      </c>
      <c r="R177" s="23"/>
      <c r="S177" s="31"/>
      <c r="T177" s="31"/>
      <c r="U177" s="72"/>
      <c r="V177" s="52" t="str">
        <f t="shared" si="5"/>
        <v/>
      </c>
      <c r="W177" s="73" t="s">
        <v>117</v>
      </c>
      <c r="X177" s="174"/>
      <c r="Y177" s="73" t="s">
        <v>117</v>
      </c>
      <c r="Z177" s="31">
        <v>1000</v>
      </c>
      <c r="AA177" s="31">
        <v>1000</v>
      </c>
      <c r="AB177" s="239" t="s">
        <v>2260</v>
      </c>
      <c r="AC177" s="240" t="s">
        <v>2069</v>
      </c>
      <c r="AD177" s="240" t="s">
        <v>2250</v>
      </c>
      <c r="AE177" s="240" t="s">
        <v>2069</v>
      </c>
      <c r="AF177" s="240"/>
      <c r="AG177" s="239"/>
      <c r="AH177" s="256"/>
    </row>
    <row r="178" spans="5:34" ht="26.1" customHeight="1">
      <c r="E178" s="248" t="s">
        <v>1185</v>
      </c>
      <c r="F178" s="239" t="s">
        <v>2022</v>
      </c>
      <c r="G178" s="69" t="str">
        <f t="shared" si="4"/>
        <v>220-80-08990</v>
      </c>
      <c r="H178" s="134" t="s">
        <v>180</v>
      </c>
      <c r="I178" s="239" t="s">
        <v>2227</v>
      </c>
      <c r="J178" s="51" t="s">
        <v>71</v>
      </c>
      <c r="K178" s="239" t="s">
        <v>2228</v>
      </c>
      <c r="L178" s="243">
        <v>42255</v>
      </c>
      <c r="M178" s="240" t="s">
        <v>133</v>
      </c>
      <c r="N178" s="31">
        <v>3334</v>
      </c>
      <c r="O178" s="70" t="s">
        <v>1193</v>
      </c>
      <c r="P178" s="71"/>
      <c r="Q178" s="55" t="s">
        <v>1602</v>
      </c>
      <c r="R178" s="23"/>
      <c r="S178" s="31"/>
      <c r="T178" s="31"/>
      <c r="U178" s="72"/>
      <c r="V178" s="52" t="str">
        <f t="shared" si="5"/>
        <v/>
      </c>
      <c r="W178" s="73" t="s">
        <v>117</v>
      </c>
      <c r="X178" s="174"/>
      <c r="Y178" s="73" t="s">
        <v>117</v>
      </c>
      <c r="Z178" s="31">
        <v>3334</v>
      </c>
      <c r="AA178" s="31">
        <v>3334</v>
      </c>
      <c r="AB178" s="239" t="s">
        <v>2260</v>
      </c>
      <c r="AC178" s="240" t="s">
        <v>2070</v>
      </c>
      <c r="AD178" s="240" t="s">
        <v>2255</v>
      </c>
      <c r="AE178" s="240" t="s">
        <v>2070</v>
      </c>
      <c r="AF178" s="240"/>
      <c r="AG178" s="239"/>
      <c r="AH178" s="256"/>
    </row>
    <row r="179" spans="5:34" ht="26.1" customHeight="1">
      <c r="E179" s="248" t="s">
        <v>1185</v>
      </c>
      <c r="F179" s="239" t="s">
        <v>2022</v>
      </c>
      <c r="G179" s="69" t="str">
        <f t="shared" si="4"/>
        <v>220-80-08990</v>
      </c>
      <c r="H179" s="134" t="s">
        <v>180</v>
      </c>
      <c r="I179" s="239" t="s">
        <v>2220</v>
      </c>
      <c r="J179" s="51" t="s">
        <v>71</v>
      </c>
      <c r="K179" s="239" t="s">
        <v>2108</v>
      </c>
      <c r="L179" s="243">
        <v>42272</v>
      </c>
      <c r="M179" s="240" t="s">
        <v>116</v>
      </c>
      <c r="N179" s="31">
        <v>150</v>
      </c>
      <c r="O179" s="70" t="s">
        <v>132</v>
      </c>
      <c r="P179" s="71">
        <v>-1</v>
      </c>
      <c r="Q179" s="55" t="s">
        <v>1602</v>
      </c>
      <c r="R179" s="23">
        <v>42704</v>
      </c>
      <c r="S179" s="31"/>
      <c r="T179" s="31"/>
      <c r="U179" s="72"/>
      <c r="V179" s="52">
        <f t="shared" si="5"/>
        <v>1.1835616438356165</v>
      </c>
      <c r="W179" s="73" t="s">
        <v>131</v>
      </c>
      <c r="X179" s="324">
        <v>150</v>
      </c>
      <c r="Y179" s="73" t="s">
        <v>117</v>
      </c>
      <c r="Z179" s="31">
        <v>0</v>
      </c>
      <c r="AA179" s="31">
        <v>0</v>
      </c>
      <c r="AB179" s="239" t="s">
        <v>2260</v>
      </c>
      <c r="AC179" s="240" t="s">
        <v>2070</v>
      </c>
      <c r="AD179" s="240" t="s">
        <v>2070</v>
      </c>
      <c r="AE179" s="240" t="s">
        <v>2070</v>
      </c>
      <c r="AF179" s="240"/>
      <c r="AG179" s="239" t="s">
        <v>2401</v>
      </c>
      <c r="AH179" s="256"/>
    </row>
    <row r="180" spans="5:34" ht="26.1" customHeight="1">
      <c r="E180" s="248" t="s">
        <v>1185</v>
      </c>
      <c r="F180" s="239" t="s">
        <v>2022</v>
      </c>
      <c r="G180" s="69" t="str">
        <f t="shared" si="4"/>
        <v>220-80-08990</v>
      </c>
      <c r="H180" s="134" t="s">
        <v>180</v>
      </c>
      <c r="I180" s="239" t="s">
        <v>2265</v>
      </c>
      <c r="J180" s="51" t="s">
        <v>71</v>
      </c>
      <c r="K180" s="239" t="s">
        <v>2108</v>
      </c>
      <c r="L180" s="243">
        <v>42291</v>
      </c>
      <c r="M180" s="240" t="s">
        <v>133</v>
      </c>
      <c r="N180" s="31">
        <v>500</v>
      </c>
      <c r="O180" s="70" t="s">
        <v>1193</v>
      </c>
      <c r="P180" s="71"/>
      <c r="Q180" s="55" t="s">
        <v>1602</v>
      </c>
      <c r="R180" s="23"/>
      <c r="S180" s="31"/>
      <c r="T180" s="31"/>
      <c r="U180" s="72"/>
      <c r="V180" s="52" t="str">
        <f t="shared" si="5"/>
        <v/>
      </c>
      <c r="W180" s="73" t="s">
        <v>117</v>
      </c>
      <c r="X180" s="174"/>
      <c r="Y180" s="73" t="s">
        <v>117</v>
      </c>
      <c r="Z180" s="31">
        <v>500</v>
      </c>
      <c r="AA180" s="31">
        <v>500</v>
      </c>
      <c r="AB180" s="239" t="s">
        <v>2260</v>
      </c>
      <c r="AC180" s="240" t="s">
        <v>2067</v>
      </c>
      <c r="AD180" s="240" t="s">
        <v>2067</v>
      </c>
      <c r="AE180" s="240" t="s">
        <v>2067</v>
      </c>
      <c r="AF180" s="240"/>
      <c r="AG180" s="239"/>
      <c r="AH180" s="256"/>
    </row>
    <row r="181" spans="5:34" ht="26.1" customHeight="1">
      <c r="E181" s="248" t="s">
        <v>1185</v>
      </c>
      <c r="F181" s="239" t="s">
        <v>2022</v>
      </c>
      <c r="G181" s="69" t="str">
        <f t="shared" si="4"/>
        <v>220-80-08990</v>
      </c>
      <c r="H181" s="134" t="s">
        <v>180</v>
      </c>
      <c r="I181" s="239" t="s">
        <v>2266</v>
      </c>
      <c r="J181" s="51" t="s">
        <v>71</v>
      </c>
      <c r="K181" s="239" t="s">
        <v>2133</v>
      </c>
      <c r="L181" s="243">
        <v>42327</v>
      </c>
      <c r="M181" s="240" t="s">
        <v>133</v>
      </c>
      <c r="N181" s="31">
        <v>1992</v>
      </c>
      <c r="O181" s="70" t="s">
        <v>1193</v>
      </c>
      <c r="P181" s="71"/>
      <c r="Q181" s="55" t="s">
        <v>1602</v>
      </c>
      <c r="R181" s="23"/>
      <c r="S181" s="31"/>
      <c r="T181" s="31"/>
      <c r="U181" s="72"/>
      <c r="V181" s="52" t="str">
        <f t="shared" si="5"/>
        <v/>
      </c>
      <c r="W181" s="73" t="s">
        <v>117</v>
      </c>
      <c r="X181" s="174"/>
      <c r="Y181" s="73" t="s">
        <v>117</v>
      </c>
      <c r="Z181" s="31">
        <v>1992</v>
      </c>
      <c r="AA181" s="31">
        <v>1992</v>
      </c>
      <c r="AB181" s="239" t="s">
        <v>2260</v>
      </c>
      <c r="AC181" s="240" t="s">
        <v>2067</v>
      </c>
      <c r="AD181" s="240" t="s">
        <v>2067</v>
      </c>
      <c r="AE181" s="240" t="s">
        <v>2067</v>
      </c>
      <c r="AF181" s="240"/>
      <c r="AG181" s="239"/>
      <c r="AH181" s="256"/>
    </row>
    <row r="182" spans="5:34" ht="26.1" customHeight="1">
      <c r="E182" s="248" t="s">
        <v>1185</v>
      </c>
      <c r="F182" s="239" t="s">
        <v>2022</v>
      </c>
      <c r="G182" s="69" t="str">
        <f t="shared" si="4"/>
        <v>220-80-08990</v>
      </c>
      <c r="H182" s="134" t="s">
        <v>180</v>
      </c>
      <c r="I182" s="239" t="s">
        <v>2229</v>
      </c>
      <c r="J182" s="51" t="s">
        <v>71</v>
      </c>
      <c r="K182" s="239" t="s">
        <v>2136</v>
      </c>
      <c r="L182" s="243">
        <v>42374</v>
      </c>
      <c r="M182" s="240" t="s">
        <v>133</v>
      </c>
      <c r="N182" s="31">
        <v>1001</v>
      </c>
      <c r="O182" s="70" t="s">
        <v>132</v>
      </c>
      <c r="P182" s="71">
        <v>-1</v>
      </c>
      <c r="Q182" s="55" t="s">
        <v>1602</v>
      </c>
      <c r="R182" s="23">
        <v>42769</v>
      </c>
      <c r="S182" s="31"/>
      <c r="T182" s="31"/>
      <c r="U182" s="72"/>
      <c r="V182" s="52">
        <f t="shared" si="5"/>
        <v>1.0821917808219179</v>
      </c>
      <c r="W182" s="73" t="s">
        <v>131</v>
      </c>
      <c r="X182" s="324">
        <v>1001</v>
      </c>
      <c r="Y182" s="73" t="s">
        <v>117</v>
      </c>
      <c r="Z182" s="31">
        <v>0</v>
      </c>
      <c r="AA182" s="31">
        <v>0</v>
      </c>
      <c r="AB182" s="239" t="s">
        <v>2260</v>
      </c>
      <c r="AC182" s="240" t="s">
        <v>2071</v>
      </c>
      <c r="AD182" s="240" t="s">
        <v>2253</v>
      </c>
      <c r="AE182" s="240" t="s">
        <v>2071</v>
      </c>
      <c r="AF182" s="240"/>
      <c r="AG182" s="239" t="s">
        <v>2276</v>
      </c>
      <c r="AH182" s="256"/>
    </row>
    <row r="183" spans="5:34" ht="26.1" customHeight="1">
      <c r="E183" s="248" t="s">
        <v>1185</v>
      </c>
      <c r="F183" s="239" t="s">
        <v>2022</v>
      </c>
      <c r="G183" s="69" t="str">
        <f t="shared" si="4"/>
        <v>220-80-08990</v>
      </c>
      <c r="H183" s="134" t="s">
        <v>180</v>
      </c>
      <c r="I183" s="239" t="s">
        <v>2267</v>
      </c>
      <c r="J183" s="51" t="s">
        <v>71</v>
      </c>
      <c r="K183" s="239" t="s">
        <v>2268</v>
      </c>
      <c r="L183" s="243">
        <v>42367</v>
      </c>
      <c r="M183" s="240" t="s">
        <v>133</v>
      </c>
      <c r="N183" s="31">
        <v>1644</v>
      </c>
      <c r="O183" s="70" t="s">
        <v>1192</v>
      </c>
      <c r="P183" s="71"/>
      <c r="Q183" s="55" t="s">
        <v>1602</v>
      </c>
      <c r="R183" s="23">
        <v>42822</v>
      </c>
      <c r="S183" s="31">
        <v>82</v>
      </c>
      <c r="T183" s="31">
        <v>0</v>
      </c>
      <c r="U183" s="72" t="s">
        <v>137</v>
      </c>
      <c r="V183" s="52">
        <f t="shared" si="5"/>
        <v>1.2465753424657535</v>
      </c>
      <c r="W183" s="73" t="s">
        <v>117</v>
      </c>
      <c r="X183" s="174"/>
      <c r="Y183" s="73" t="s">
        <v>117</v>
      </c>
      <c r="Z183" s="31">
        <v>1644</v>
      </c>
      <c r="AA183" s="31">
        <v>1644</v>
      </c>
      <c r="AB183" s="239" t="s">
        <v>2260</v>
      </c>
      <c r="AC183" s="240" t="s">
        <v>2070</v>
      </c>
      <c r="AD183" s="240" t="s">
        <v>2272</v>
      </c>
      <c r="AE183" s="240" t="s">
        <v>2070</v>
      </c>
      <c r="AF183" s="240" t="s">
        <v>2070</v>
      </c>
      <c r="AG183" s="239" t="s">
        <v>2145</v>
      </c>
      <c r="AH183" s="256"/>
    </row>
    <row r="184" spans="5:34" ht="26.1" customHeight="1">
      <c r="E184" s="248" t="s">
        <v>1185</v>
      </c>
      <c r="F184" s="239" t="s">
        <v>2022</v>
      </c>
      <c r="G184" s="69" t="str">
        <f t="shared" si="4"/>
        <v>220-80-08990</v>
      </c>
      <c r="H184" s="134" t="s">
        <v>180</v>
      </c>
      <c r="I184" s="239" t="s">
        <v>2269</v>
      </c>
      <c r="J184" s="51" t="s">
        <v>71</v>
      </c>
      <c r="K184" s="239" t="s">
        <v>2133</v>
      </c>
      <c r="L184" s="243">
        <v>42367</v>
      </c>
      <c r="M184" s="240" t="s">
        <v>133</v>
      </c>
      <c r="N184" s="31">
        <v>262</v>
      </c>
      <c r="O184" s="70" t="s">
        <v>1192</v>
      </c>
      <c r="P184" s="71"/>
      <c r="Q184" s="55" t="s">
        <v>1602</v>
      </c>
      <c r="R184" s="23">
        <v>42818</v>
      </c>
      <c r="S184" s="31">
        <v>13</v>
      </c>
      <c r="T184" s="31">
        <v>0</v>
      </c>
      <c r="U184" s="72" t="s">
        <v>137</v>
      </c>
      <c r="V184" s="52">
        <f t="shared" si="5"/>
        <v>1.2356164383561643</v>
      </c>
      <c r="W184" s="73" t="s">
        <v>117</v>
      </c>
      <c r="X184" s="174"/>
      <c r="Y184" s="73" t="s">
        <v>117</v>
      </c>
      <c r="Z184" s="31">
        <v>262</v>
      </c>
      <c r="AA184" s="31">
        <v>262</v>
      </c>
      <c r="AB184" s="239" t="s">
        <v>2260</v>
      </c>
      <c r="AC184" s="240" t="s">
        <v>2070</v>
      </c>
      <c r="AD184" s="240" t="s">
        <v>2272</v>
      </c>
      <c r="AE184" s="240" t="s">
        <v>2070</v>
      </c>
      <c r="AF184" s="240" t="s">
        <v>2070</v>
      </c>
      <c r="AG184" s="239" t="s">
        <v>2145</v>
      </c>
      <c r="AH184" s="256"/>
    </row>
    <row r="185" spans="5:34" ht="26.1" customHeight="1">
      <c r="E185" s="248" t="s">
        <v>1185</v>
      </c>
      <c r="F185" s="239" t="s">
        <v>2022</v>
      </c>
      <c r="G185" s="69" t="str">
        <f t="shared" si="4"/>
        <v>220-80-08990</v>
      </c>
      <c r="H185" s="134" t="s">
        <v>180</v>
      </c>
      <c r="I185" s="239" t="s">
        <v>2270</v>
      </c>
      <c r="J185" s="51" t="s">
        <v>71</v>
      </c>
      <c r="K185" s="239" t="s">
        <v>2133</v>
      </c>
      <c r="L185" s="243">
        <v>42367</v>
      </c>
      <c r="M185" s="240" t="s">
        <v>133</v>
      </c>
      <c r="N185" s="31">
        <v>92</v>
      </c>
      <c r="O185" s="70" t="s">
        <v>1192</v>
      </c>
      <c r="P185" s="71"/>
      <c r="Q185" s="55" t="s">
        <v>1602</v>
      </c>
      <c r="R185" s="23">
        <v>42818</v>
      </c>
      <c r="S185" s="31">
        <v>6</v>
      </c>
      <c r="T185" s="31">
        <v>1</v>
      </c>
      <c r="U185" s="72" t="s">
        <v>137</v>
      </c>
      <c r="V185" s="52">
        <f t="shared" si="5"/>
        <v>1.2356164383561643</v>
      </c>
      <c r="W185" s="73" t="s">
        <v>117</v>
      </c>
      <c r="X185" s="174"/>
      <c r="Y185" s="73" t="s">
        <v>117</v>
      </c>
      <c r="Z185" s="31">
        <v>91</v>
      </c>
      <c r="AA185" s="31">
        <v>91</v>
      </c>
      <c r="AB185" s="239" t="s">
        <v>2260</v>
      </c>
      <c r="AC185" s="240" t="s">
        <v>2070</v>
      </c>
      <c r="AD185" s="240" t="s">
        <v>2272</v>
      </c>
      <c r="AE185" s="240" t="s">
        <v>2070</v>
      </c>
      <c r="AF185" s="240" t="s">
        <v>2070</v>
      </c>
      <c r="AG185" s="239" t="s">
        <v>2273</v>
      </c>
      <c r="AH185" s="256"/>
    </row>
    <row r="186" spans="5:34" ht="26.1" customHeight="1">
      <c r="E186" s="248" t="s">
        <v>1185</v>
      </c>
      <c r="F186" s="239" t="s">
        <v>2022</v>
      </c>
      <c r="G186" s="69" t="str">
        <f t="shared" si="4"/>
        <v>220-80-08990</v>
      </c>
      <c r="H186" s="134" t="s">
        <v>180</v>
      </c>
      <c r="I186" s="239" t="s">
        <v>2231</v>
      </c>
      <c r="J186" s="51" t="s">
        <v>135</v>
      </c>
      <c r="K186" s="239" t="s">
        <v>2105</v>
      </c>
      <c r="L186" s="243">
        <v>42452</v>
      </c>
      <c r="M186" s="240" t="s">
        <v>116</v>
      </c>
      <c r="N186" s="31">
        <v>2500</v>
      </c>
      <c r="O186" s="70" t="s">
        <v>1192</v>
      </c>
      <c r="P186" s="71"/>
      <c r="Q186" s="55" t="s">
        <v>1602</v>
      </c>
      <c r="R186" s="23">
        <v>42817</v>
      </c>
      <c r="S186" s="31">
        <v>50</v>
      </c>
      <c r="T186" s="31">
        <v>0</v>
      </c>
      <c r="U186" s="72" t="s">
        <v>137</v>
      </c>
      <c r="V186" s="52">
        <f t="shared" si="5"/>
        <v>1</v>
      </c>
      <c r="W186" s="73" t="s">
        <v>117</v>
      </c>
      <c r="X186" s="174"/>
      <c r="Y186" s="73" t="s">
        <v>117</v>
      </c>
      <c r="Z186" s="31">
        <v>2500</v>
      </c>
      <c r="AA186" s="31">
        <v>2500</v>
      </c>
      <c r="AB186" s="239" t="s">
        <v>2260</v>
      </c>
      <c r="AC186" s="240" t="s">
        <v>2256</v>
      </c>
      <c r="AD186" s="240" t="s">
        <v>2256</v>
      </c>
      <c r="AE186" s="240" t="s">
        <v>2256</v>
      </c>
      <c r="AF186" s="240" t="s">
        <v>2256</v>
      </c>
      <c r="AG186" s="239" t="s">
        <v>2121</v>
      </c>
      <c r="AH186" s="256"/>
    </row>
    <row r="187" spans="5:34" ht="26.1" customHeight="1">
      <c r="E187" s="248" t="s">
        <v>1185</v>
      </c>
      <c r="F187" s="239" t="s">
        <v>2022</v>
      </c>
      <c r="G187" s="69" t="str">
        <f t="shared" si="4"/>
        <v>220-80-08990</v>
      </c>
      <c r="H187" s="134" t="s">
        <v>180</v>
      </c>
      <c r="I187" s="239" t="s">
        <v>2232</v>
      </c>
      <c r="J187" s="51" t="s">
        <v>135</v>
      </c>
      <c r="K187" s="239" t="s">
        <v>2136</v>
      </c>
      <c r="L187" s="243">
        <v>42488</v>
      </c>
      <c r="M187" s="240" t="s">
        <v>133</v>
      </c>
      <c r="N187" s="31">
        <v>869</v>
      </c>
      <c r="O187" s="70" t="s">
        <v>1193</v>
      </c>
      <c r="P187" s="71"/>
      <c r="Q187" s="55" t="s">
        <v>1602</v>
      </c>
      <c r="R187" s="23"/>
      <c r="S187" s="31"/>
      <c r="T187" s="31"/>
      <c r="U187" s="72"/>
      <c r="V187" s="52" t="str">
        <f t="shared" si="5"/>
        <v/>
      </c>
      <c r="W187" s="73" t="s">
        <v>117</v>
      </c>
      <c r="X187" s="174"/>
      <c r="Y187" s="73" t="s">
        <v>117</v>
      </c>
      <c r="Z187" s="31">
        <v>869</v>
      </c>
      <c r="AA187" s="31">
        <v>869</v>
      </c>
      <c r="AB187" s="239" t="s">
        <v>2260</v>
      </c>
      <c r="AC187" s="240" t="s">
        <v>2071</v>
      </c>
      <c r="AD187" s="240" t="s">
        <v>2257</v>
      </c>
      <c r="AE187" s="240" t="s">
        <v>2071</v>
      </c>
      <c r="AF187" s="240"/>
      <c r="AG187" s="239"/>
      <c r="AH187" s="256"/>
    </row>
    <row r="188" spans="5:34" ht="26.1" customHeight="1">
      <c r="E188" s="248" t="s">
        <v>1185</v>
      </c>
      <c r="F188" s="239" t="s">
        <v>2022</v>
      </c>
      <c r="G188" s="69" t="str">
        <f t="shared" si="4"/>
        <v>220-80-08990</v>
      </c>
      <c r="H188" s="134" t="s">
        <v>180</v>
      </c>
      <c r="I188" s="239" t="s">
        <v>2233</v>
      </c>
      <c r="J188" s="51" t="s">
        <v>71</v>
      </c>
      <c r="K188" s="239" t="s">
        <v>2133</v>
      </c>
      <c r="L188" s="243">
        <v>42503</v>
      </c>
      <c r="M188" s="240" t="s">
        <v>133</v>
      </c>
      <c r="N188" s="31">
        <v>500</v>
      </c>
      <c r="O188" s="70" t="s">
        <v>1193</v>
      </c>
      <c r="P188" s="71"/>
      <c r="Q188" s="55" t="s">
        <v>1602</v>
      </c>
      <c r="R188" s="23"/>
      <c r="S188" s="31"/>
      <c r="T188" s="31"/>
      <c r="U188" s="72"/>
      <c r="V188" s="52" t="str">
        <f t="shared" si="5"/>
        <v/>
      </c>
      <c r="W188" s="73" t="s">
        <v>117</v>
      </c>
      <c r="X188" s="174"/>
      <c r="Y188" s="73" t="s">
        <v>117</v>
      </c>
      <c r="Z188" s="31">
        <v>500</v>
      </c>
      <c r="AA188" s="31">
        <v>500</v>
      </c>
      <c r="AB188" s="239" t="s">
        <v>2260</v>
      </c>
      <c r="AC188" s="240" t="s">
        <v>2258</v>
      </c>
      <c r="AD188" s="240" t="s">
        <v>2259</v>
      </c>
      <c r="AE188" s="240" t="s">
        <v>2258</v>
      </c>
      <c r="AF188" s="240"/>
      <c r="AG188" s="239"/>
      <c r="AH188" s="256"/>
    </row>
    <row r="189" spans="5:34" ht="26.1" customHeight="1">
      <c r="E189" s="248" t="s">
        <v>1185</v>
      </c>
      <c r="F189" s="239" t="s">
        <v>2022</v>
      </c>
      <c r="G189" s="69" t="str">
        <f t="shared" si="4"/>
        <v>220-80-08990</v>
      </c>
      <c r="H189" s="134" t="s">
        <v>180</v>
      </c>
      <c r="I189" s="239" t="s">
        <v>2234</v>
      </c>
      <c r="J189" s="51" t="s">
        <v>71</v>
      </c>
      <c r="K189" s="239" t="s">
        <v>2133</v>
      </c>
      <c r="L189" s="243">
        <v>42464</v>
      </c>
      <c r="M189" s="240" t="s">
        <v>133</v>
      </c>
      <c r="N189" s="31">
        <v>200</v>
      </c>
      <c r="O189" s="70" t="s">
        <v>1193</v>
      </c>
      <c r="P189" s="71"/>
      <c r="Q189" s="55" t="s">
        <v>1602</v>
      </c>
      <c r="R189" s="23"/>
      <c r="S189" s="31"/>
      <c r="T189" s="31"/>
      <c r="U189" s="72"/>
      <c r="V189" s="52" t="str">
        <f t="shared" si="5"/>
        <v/>
      </c>
      <c r="W189" s="73" t="s">
        <v>117</v>
      </c>
      <c r="X189" s="174"/>
      <c r="Y189" s="73" t="s">
        <v>117</v>
      </c>
      <c r="Z189" s="31">
        <v>200</v>
      </c>
      <c r="AA189" s="31">
        <v>200</v>
      </c>
      <c r="AB189" s="239" t="s">
        <v>2260</v>
      </c>
      <c r="AC189" s="240" t="s">
        <v>2258</v>
      </c>
      <c r="AD189" s="240" t="s">
        <v>2258</v>
      </c>
      <c r="AE189" s="240" t="s">
        <v>2258</v>
      </c>
      <c r="AF189" s="240"/>
      <c r="AG189" s="239"/>
      <c r="AH189" s="256"/>
    </row>
    <row r="190" spans="5:34" ht="26.1" customHeight="1">
      <c r="E190" s="248" t="s">
        <v>1185</v>
      </c>
      <c r="F190" s="239" t="s">
        <v>2022</v>
      </c>
      <c r="G190" s="69" t="str">
        <f t="shared" si="4"/>
        <v>220-80-08990</v>
      </c>
      <c r="H190" s="134" t="s">
        <v>180</v>
      </c>
      <c r="I190" s="239" t="s">
        <v>2235</v>
      </c>
      <c r="J190" s="51" t="s">
        <v>71</v>
      </c>
      <c r="K190" s="239" t="s">
        <v>2105</v>
      </c>
      <c r="L190" s="243">
        <v>42480</v>
      </c>
      <c r="M190" s="240" t="s">
        <v>133</v>
      </c>
      <c r="N190" s="31">
        <v>1000</v>
      </c>
      <c r="O190" s="70" t="s">
        <v>132</v>
      </c>
      <c r="P190" s="71">
        <v>0.45100000000000001</v>
      </c>
      <c r="Q190" s="55" t="s">
        <v>1602</v>
      </c>
      <c r="R190" s="23">
        <v>42663</v>
      </c>
      <c r="S190" s="31">
        <v>1205</v>
      </c>
      <c r="T190" s="31">
        <v>1000</v>
      </c>
      <c r="U190" s="72" t="s">
        <v>1617</v>
      </c>
      <c r="V190" s="52">
        <f t="shared" si="5"/>
        <v>0.50136986301369868</v>
      </c>
      <c r="W190" s="73"/>
      <c r="X190" s="174"/>
      <c r="Y190" s="73"/>
      <c r="Z190" s="31"/>
      <c r="AA190" s="31"/>
      <c r="AB190" s="239"/>
      <c r="AC190" s="240"/>
      <c r="AD190" s="240" t="s">
        <v>2067</v>
      </c>
      <c r="AE190" s="240" t="s">
        <v>2067</v>
      </c>
      <c r="AF190" s="240" t="s">
        <v>2067</v>
      </c>
      <c r="AG190" s="239"/>
      <c r="AH190" s="256"/>
    </row>
    <row r="191" spans="5:34" ht="26.1" customHeight="1">
      <c r="E191" s="248" t="s">
        <v>1185</v>
      </c>
      <c r="F191" s="239" t="s">
        <v>2022</v>
      </c>
      <c r="G191" s="69" t="str">
        <f t="shared" si="4"/>
        <v>220-80-08990</v>
      </c>
      <c r="H191" s="134" t="s">
        <v>180</v>
      </c>
      <c r="I191" s="239" t="s">
        <v>2235</v>
      </c>
      <c r="J191" s="51" t="s">
        <v>71</v>
      </c>
      <c r="K191" s="239" t="s">
        <v>2105</v>
      </c>
      <c r="L191" s="243">
        <v>42480</v>
      </c>
      <c r="M191" s="240" t="s">
        <v>72</v>
      </c>
      <c r="N191" s="31">
        <v>750</v>
      </c>
      <c r="O191" s="70" t="s">
        <v>132</v>
      </c>
      <c r="P191" s="71">
        <v>1.2549999999999999</v>
      </c>
      <c r="Q191" s="55" t="s">
        <v>1602</v>
      </c>
      <c r="R191" s="23">
        <v>42662</v>
      </c>
      <c r="S191" s="31">
        <v>1125</v>
      </c>
      <c r="T191" s="31">
        <v>750</v>
      </c>
      <c r="U191" s="72" t="s">
        <v>134</v>
      </c>
      <c r="V191" s="52">
        <f t="shared" si="5"/>
        <v>0.49863013698630138</v>
      </c>
      <c r="W191" s="73"/>
      <c r="X191" s="174"/>
      <c r="Y191" s="73"/>
      <c r="Z191" s="31"/>
      <c r="AA191" s="31"/>
      <c r="AB191" s="239"/>
      <c r="AC191" s="240"/>
      <c r="AD191" s="240" t="s">
        <v>2067</v>
      </c>
      <c r="AE191" s="240" t="s">
        <v>2067</v>
      </c>
      <c r="AF191" s="240" t="s">
        <v>2067</v>
      </c>
      <c r="AG191" s="239"/>
      <c r="AH191" s="256"/>
    </row>
    <row r="192" spans="5:34" ht="26.1" customHeight="1">
      <c r="E192" s="248" t="s">
        <v>1185</v>
      </c>
      <c r="F192" s="239" t="s">
        <v>2022</v>
      </c>
      <c r="G192" s="69" t="str">
        <f t="shared" si="4"/>
        <v>220-80-08990</v>
      </c>
      <c r="H192" s="134" t="s">
        <v>180</v>
      </c>
      <c r="I192" s="239" t="s">
        <v>2630</v>
      </c>
      <c r="J192" s="51" t="s">
        <v>71</v>
      </c>
      <c r="K192" s="239" t="s">
        <v>2133</v>
      </c>
      <c r="L192" s="243">
        <v>42703</v>
      </c>
      <c r="M192" s="240" t="s">
        <v>133</v>
      </c>
      <c r="N192" s="31">
        <v>700</v>
      </c>
      <c r="O192" s="70" t="s">
        <v>1193</v>
      </c>
      <c r="P192" s="71"/>
      <c r="Q192" s="55" t="s">
        <v>1602</v>
      </c>
      <c r="R192" s="23"/>
      <c r="S192" s="31"/>
      <c r="T192" s="31"/>
      <c r="U192" s="72"/>
      <c r="V192" s="52" t="str">
        <f t="shared" si="5"/>
        <v/>
      </c>
      <c r="W192" s="73" t="s">
        <v>117</v>
      </c>
      <c r="X192" s="174"/>
      <c r="Y192" s="73" t="s">
        <v>117</v>
      </c>
      <c r="Z192" s="31">
        <v>700</v>
      </c>
      <c r="AA192" s="31">
        <v>700</v>
      </c>
      <c r="AB192" s="239" t="s">
        <v>2260</v>
      </c>
      <c r="AC192" s="240" t="s">
        <v>2067</v>
      </c>
      <c r="AD192" s="240" t="s">
        <v>2274</v>
      </c>
      <c r="AE192" s="240" t="s">
        <v>2274</v>
      </c>
      <c r="AF192" s="240"/>
      <c r="AG192" s="239"/>
      <c r="AH192" s="256"/>
    </row>
    <row r="193" spans="5:34" ht="26.1" customHeight="1">
      <c r="E193" s="248" t="s">
        <v>1185</v>
      </c>
      <c r="F193" s="239" t="s">
        <v>2022</v>
      </c>
      <c r="G193" s="69" t="str">
        <f t="shared" si="4"/>
        <v>220-80-08990</v>
      </c>
      <c r="H193" s="134" t="s">
        <v>180</v>
      </c>
      <c r="I193" s="239" t="s">
        <v>2271</v>
      </c>
      <c r="J193" s="51" t="s">
        <v>71</v>
      </c>
      <c r="K193" s="239" t="s">
        <v>2133</v>
      </c>
      <c r="L193" s="243">
        <v>42713</v>
      </c>
      <c r="M193" s="240" t="s">
        <v>133</v>
      </c>
      <c r="N193" s="31">
        <v>700</v>
      </c>
      <c r="O193" s="70" t="s">
        <v>1193</v>
      </c>
      <c r="P193" s="71"/>
      <c r="Q193" s="55" t="s">
        <v>1602</v>
      </c>
      <c r="R193" s="23"/>
      <c r="S193" s="31"/>
      <c r="T193" s="31"/>
      <c r="U193" s="72"/>
      <c r="V193" s="52" t="str">
        <f t="shared" si="5"/>
        <v/>
      </c>
      <c r="W193" s="73" t="s">
        <v>117</v>
      </c>
      <c r="X193" s="174"/>
      <c r="Y193" s="73" t="s">
        <v>117</v>
      </c>
      <c r="Z193" s="31">
        <v>700</v>
      </c>
      <c r="AA193" s="31">
        <v>700</v>
      </c>
      <c r="AB193" s="239" t="s">
        <v>2260</v>
      </c>
      <c r="AC193" s="240" t="s">
        <v>2067</v>
      </c>
      <c r="AD193" s="240" t="s">
        <v>2067</v>
      </c>
      <c r="AE193" s="240" t="s">
        <v>2067</v>
      </c>
      <c r="AF193" s="240"/>
      <c r="AG193" s="239"/>
      <c r="AH193" s="256"/>
    </row>
    <row r="194" spans="5:34" ht="26.1" customHeight="1">
      <c r="E194" s="248" t="s">
        <v>1185</v>
      </c>
      <c r="F194" s="239" t="s">
        <v>2023</v>
      </c>
      <c r="G194" s="69" t="str">
        <f t="shared" si="4"/>
        <v>220-80-08985</v>
      </c>
      <c r="H194" s="134" t="s">
        <v>3</v>
      </c>
      <c r="I194" s="239" t="s">
        <v>2277</v>
      </c>
      <c r="J194" s="51" t="s">
        <v>71</v>
      </c>
      <c r="K194" s="239" t="s">
        <v>137</v>
      </c>
      <c r="L194" s="243">
        <v>41705</v>
      </c>
      <c r="M194" s="240" t="s">
        <v>72</v>
      </c>
      <c r="N194" s="31">
        <v>3061</v>
      </c>
      <c r="O194" s="70" t="s">
        <v>1193</v>
      </c>
      <c r="P194" s="71"/>
      <c r="Q194" s="55"/>
      <c r="R194" s="23"/>
      <c r="S194" s="31"/>
      <c r="T194" s="31"/>
      <c r="U194" s="72"/>
      <c r="V194" s="52" t="str">
        <f t="shared" si="5"/>
        <v/>
      </c>
      <c r="W194" s="73" t="s">
        <v>117</v>
      </c>
      <c r="X194" s="174"/>
      <c r="Y194" s="73" t="s">
        <v>117</v>
      </c>
      <c r="Z194" s="31">
        <v>3061</v>
      </c>
      <c r="AA194" s="31">
        <v>3879</v>
      </c>
      <c r="AB194" s="239" t="s">
        <v>2260</v>
      </c>
      <c r="AC194" s="240" t="s">
        <v>2068</v>
      </c>
      <c r="AD194" s="240" t="s">
        <v>2278</v>
      </c>
      <c r="AE194" s="240" t="s">
        <v>2068</v>
      </c>
      <c r="AF194" s="240"/>
      <c r="AG194" s="239"/>
      <c r="AH194" s="256"/>
    </row>
    <row r="195" spans="5:34" ht="26.1" customHeight="1">
      <c r="E195" s="248" t="s">
        <v>1185</v>
      </c>
      <c r="F195" s="239" t="s">
        <v>2023</v>
      </c>
      <c r="G195" s="69" t="str">
        <f t="shared" si="4"/>
        <v>220-80-08985</v>
      </c>
      <c r="H195" s="134" t="s">
        <v>3</v>
      </c>
      <c r="I195" s="239" t="s">
        <v>2277</v>
      </c>
      <c r="J195" s="51" t="s">
        <v>71</v>
      </c>
      <c r="K195" s="239" t="s">
        <v>137</v>
      </c>
      <c r="L195" s="243">
        <v>41957</v>
      </c>
      <c r="M195" s="240" t="s">
        <v>116</v>
      </c>
      <c r="N195" s="31">
        <v>1200</v>
      </c>
      <c r="O195" s="70" t="s">
        <v>1192</v>
      </c>
      <c r="P195" s="71"/>
      <c r="Q195" s="55"/>
      <c r="R195" s="23">
        <v>42961</v>
      </c>
      <c r="S195" s="31">
        <v>132</v>
      </c>
      <c r="T195" s="31"/>
      <c r="U195" s="72" t="s">
        <v>137</v>
      </c>
      <c r="V195" s="52">
        <f t="shared" si="5"/>
        <v>2.7506849315068491</v>
      </c>
      <c r="W195" s="73" t="s">
        <v>117</v>
      </c>
      <c r="X195" s="174"/>
      <c r="Y195" s="73" t="s">
        <v>117</v>
      </c>
      <c r="Z195" s="31">
        <v>1200</v>
      </c>
      <c r="AA195" s="31">
        <v>1200</v>
      </c>
      <c r="AB195" s="239" t="s">
        <v>2260</v>
      </c>
      <c r="AC195" s="240" t="s">
        <v>2068</v>
      </c>
      <c r="AD195" s="240" t="s">
        <v>2278</v>
      </c>
      <c r="AE195" s="240" t="s">
        <v>2068</v>
      </c>
      <c r="AF195" s="240" t="s">
        <v>2068</v>
      </c>
      <c r="AG195" s="239" t="s">
        <v>2121</v>
      </c>
      <c r="AH195" s="256"/>
    </row>
    <row r="196" spans="5:34" ht="26.1" customHeight="1">
      <c r="E196" s="248" t="s">
        <v>1185</v>
      </c>
      <c r="F196" s="239" t="s">
        <v>2023</v>
      </c>
      <c r="G196" s="69" t="str">
        <f t="shared" si="4"/>
        <v>220-80-08985</v>
      </c>
      <c r="H196" s="134" t="s">
        <v>3</v>
      </c>
      <c r="I196" s="239" t="s">
        <v>2277</v>
      </c>
      <c r="J196" s="51" t="s">
        <v>71</v>
      </c>
      <c r="K196" s="239" t="s">
        <v>137</v>
      </c>
      <c r="L196" s="243">
        <v>42061</v>
      </c>
      <c r="M196" s="240" t="s">
        <v>116</v>
      </c>
      <c r="N196" s="31">
        <v>1600</v>
      </c>
      <c r="O196" s="70" t="s">
        <v>1192</v>
      </c>
      <c r="P196" s="71"/>
      <c r="Q196" s="55"/>
      <c r="R196" s="23">
        <v>42954</v>
      </c>
      <c r="S196" s="31">
        <v>160</v>
      </c>
      <c r="T196" s="31"/>
      <c r="U196" s="72" t="s">
        <v>137</v>
      </c>
      <c r="V196" s="52">
        <f t="shared" si="5"/>
        <v>2.4465753424657533</v>
      </c>
      <c r="W196" s="73" t="s">
        <v>117</v>
      </c>
      <c r="X196" s="174"/>
      <c r="Y196" s="73" t="s">
        <v>117</v>
      </c>
      <c r="Z196" s="31">
        <v>1600</v>
      </c>
      <c r="AA196" s="31">
        <v>1600</v>
      </c>
      <c r="AB196" s="239" t="s">
        <v>2260</v>
      </c>
      <c r="AC196" s="240" t="s">
        <v>2068</v>
      </c>
      <c r="AD196" s="240" t="s">
        <v>2278</v>
      </c>
      <c r="AE196" s="240" t="s">
        <v>2068</v>
      </c>
      <c r="AF196" s="240" t="s">
        <v>2068</v>
      </c>
      <c r="AG196" s="239" t="s">
        <v>2121</v>
      </c>
      <c r="AH196" s="256"/>
    </row>
    <row r="197" spans="5:34" ht="26.1" customHeight="1">
      <c r="E197" s="248" t="s">
        <v>1185</v>
      </c>
      <c r="F197" s="239" t="s">
        <v>2023</v>
      </c>
      <c r="G197" s="69" t="str">
        <f t="shared" si="4"/>
        <v>220-80-08985</v>
      </c>
      <c r="H197" s="134" t="s">
        <v>3</v>
      </c>
      <c r="I197" s="239" t="s">
        <v>2277</v>
      </c>
      <c r="J197" s="51" t="s">
        <v>71</v>
      </c>
      <c r="K197" s="239" t="s">
        <v>137</v>
      </c>
      <c r="L197" s="243">
        <v>42601</v>
      </c>
      <c r="M197" s="240" t="s">
        <v>116</v>
      </c>
      <c r="N197" s="31">
        <v>10000</v>
      </c>
      <c r="O197" s="70" t="s">
        <v>1192</v>
      </c>
      <c r="P197" s="71"/>
      <c r="Q197" s="55"/>
      <c r="R197" s="23">
        <v>42968</v>
      </c>
      <c r="S197" s="31">
        <v>200</v>
      </c>
      <c r="T197" s="31"/>
      <c r="U197" s="72" t="s">
        <v>137</v>
      </c>
      <c r="V197" s="52">
        <f t="shared" si="5"/>
        <v>1.0054794520547945</v>
      </c>
      <c r="W197" s="73" t="s">
        <v>117</v>
      </c>
      <c r="X197" s="174"/>
      <c r="Y197" s="73" t="s">
        <v>117</v>
      </c>
      <c r="Z197" s="31">
        <v>10000</v>
      </c>
      <c r="AA197" s="31">
        <v>10000</v>
      </c>
      <c r="AB197" s="239" t="s">
        <v>2260</v>
      </c>
      <c r="AC197" s="240" t="s">
        <v>2068</v>
      </c>
      <c r="AD197" s="240" t="s">
        <v>2278</v>
      </c>
      <c r="AE197" s="240" t="s">
        <v>2068</v>
      </c>
      <c r="AF197" s="240" t="s">
        <v>2068</v>
      </c>
      <c r="AG197" s="239" t="s">
        <v>2121</v>
      </c>
      <c r="AH197" s="256"/>
    </row>
    <row r="198" spans="5:34" ht="26.1" customHeight="1">
      <c r="E198" s="293" t="s">
        <v>111</v>
      </c>
      <c r="F198" s="274" t="s">
        <v>2705</v>
      </c>
      <c r="G198" s="69" t="str">
        <f t="shared" si="4"/>
        <v>220-88-81041</v>
      </c>
      <c r="H198" s="294" t="s">
        <v>181</v>
      </c>
      <c r="I198" s="274" t="s">
        <v>2881</v>
      </c>
      <c r="J198" s="295" t="s">
        <v>71</v>
      </c>
      <c r="K198" s="274" t="s">
        <v>2882</v>
      </c>
      <c r="L198" s="265">
        <v>41816</v>
      </c>
      <c r="M198" s="263" t="s">
        <v>133</v>
      </c>
      <c r="N198" s="296">
        <v>125000</v>
      </c>
      <c r="O198" s="264" t="s">
        <v>1192</v>
      </c>
      <c r="P198" s="297"/>
      <c r="Q198" s="298" t="s">
        <v>192</v>
      </c>
      <c r="R198" s="299">
        <v>42457</v>
      </c>
      <c r="S198" s="296">
        <v>8202</v>
      </c>
      <c r="T198" s="296">
        <v>0</v>
      </c>
      <c r="U198" s="300" t="s">
        <v>137</v>
      </c>
      <c r="V198" s="52">
        <f t="shared" si="5"/>
        <v>1.7561643835616438</v>
      </c>
      <c r="W198" s="301" t="s">
        <v>117</v>
      </c>
      <c r="X198" s="302"/>
      <c r="Y198" s="301" t="s">
        <v>117</v>
      </c>
      <c r="Z198" s="296">
        <v>125000</v>
      </c>
      <c r="AA198" s="296">
        <v>125000</v>
      </c>
      <c r="AB198" s="274" t="s">
        <v>2894</v>
      </c>
      <c r="AC198" s="263" t="s">
        <v>2068</v>
      </c>
      <c r="AD198" s="263" t="s">
        <v>2278</v>
      </c>
      <c r="AE198" s="263" t="s">
        <v>2068</v>
      </c>
      <c r="AF198" s="263" t="s">
        <v>2068</v>
      </c>
      <c r="AG198" s="274" t="s">
        <v>2883</v>
      </c>
      <c r="AH198" s="256"/>
    </row>
    <row r="199" spans="5:34" ht="26.1" customHeight="1">
      <c r="E199" s="248" t="s">
        <v>1185</v>
      </c>
      <c r="F199" s="239" t="s">
        <v>2024</v>
      </c>
      <c r="G199" s="69" t="str">
        <f t="shared" si="4"/>
        <v>220-80-09193</v>
      </c>
      <c r="H199" s="134" t="s">
        <v>180</v>
      </c>
      <c r="I199" s="239" t="s">
        <v>2279</v>
      </c>
      <c r="J199" s="51" t="s">
        <v>71</v>
      </c>
      <c r="K199" s="239" t="s">
        <v>2105</v>
      </c>
      <c r="L199" s="243">
        <v>41880</v>
      </c>
      <c r="M199" s="240" t="s">
        <v>72</v>
      </c>
      <c r="N199" s="31">
        <v>2350</v>
      </c>
      <c r="O199" s="70" t="s">
        <v>1192</v>
      </c>
      <c r="P199" s="71"/>
      <c r="Q199" s="55"/>
      <c r="R199" s="23">
        <v>42846</v>
      </c>
      <c r="S199" s="31">
        <v>75</v>
      </c>
      <c r="T199" s="31">
        <v>0</v>
      </c>
      <c r="U199" s="72" t="s">
        <v>137</v>
      </c>
      <c r="V199" s="52">
        <f t="shared" si="5"/>
        <v>2.6465753424657534</v>
      </c>
      <c r="W199" s="73" t="s">
        <v>117</v>
      </c>
      <c r="X199" s="174"/>
      <c r="Y199" s="73" t="s">
        <v>117</v>
      </c>
      <c r="Z199" s="31">
        <v>2350</v>
      </c>
      <c r="AA199" s="31">
        <v>2350</v>
      </c>
      <c r="AB199" s="239" t="s">
        <v>2260</v>
      </c>
      <c r="AC199" s="240" t="s">
        <v>2070</v>
      </c>
      <c r="AD199" s="240" t="s">
        <v>2070</v>
      </c>
      <c r="AE199" s="240" t="s">
        <v>2070</v>
      </c>
      <c r="AF199" s="240" t="s">
        <v>2070</v>
      </c>
      <c r="AG199" s="239" t="s">
        <v>2145</v>
      </c>
      <c r="AH199" s="256"/>
    </row>
    <row r="200" spans="5:34" ht="26.1" customHeight="1">
      <c r="E200" s="248" t="s">
        <v>1185</v>
      </c>
      <c r="F200" s="239" t="s">
        <v>2024</v>
      </c>
      <c r="G200" s="69" t="str">
        <f t="shared" si="4"/>
        <v>220-80-09193</v>
      </c>
      <c r="H200" s="134" t="s">
        <v>180</v>
      </c>
      <c r="I200" s="239" t="s">
        <v>2280</v>
      </c>
      <c r="J200" s="51" t="s">
        <v>71</v>
      </c>
      <c r="K200" s="239" t="s">
        <v>2105</v>
      </c>
      <c r="L200" s="243">
        <v>41906</v>
      </c>
      <c r="M200" s="240" t="s">
        <v>116</v>
      </c>
      <c r="N200" s="31">
        <v>4000</v>
      </c>
      <c r="O200" s="70" t="s">
        <v>132</v>
      </c>
      <c r="P200" s="71">
        <v>0.41899999999999998</v>
      </c>
      <c r="Q200" s="55"/>
      <c r="R200" s="23">
        <v>42360</v>
      </c>
      <c r="S200" s="31">
        <v>6022</v>
      </c>
      <c r="T200" s="31">
        <v>4000</v>
      </c>
      <c r="U200" s="72" t="s">
        <v>114</v>
      </c>
      <c r="V200" s="52">
        <f t="shared" si="5"/>
        <v>1.2438356164383562</v>
      </c>
      <c r="W200" s="73"/>
      <c r="X200" s="174"/>
      <c r="Y200" s="73"/>
      <c r="Z200" s="31"/>
      <c r="AA200" s="31"/>
      <c r="AB200" s="239"/>
      <c r="AC200" s="240"/>
      <c r="AD200" s="240" t="s">
        <v>2292</v>
      </c>
      <c r="AE200" s="240" t="s">
        <v>2292</v>
      </c>
      <c r="AF200" s="240" t="s">
        <v>2292</v>
      </c>
      <c r="AG200" s="239"/>
      <c r="AH200" s="256"/>
    </row>
    <row r="201" spans="5:34" ht="26.1" customHeight="1">
      <c r="E201" s="248" t="s">
        <v>1185</v>
      </c>
      <c r="F201" s="239" t="s">
        <v>2024</v>
      </c>
      <c r="G201" s="69" t="str">
        <f t="shared" si="4"/>
        <v>220-80-09193</v>
      </c>
      <c r="H201" s="134" t="s">
        <v>180</v>
      </c>
      <c r="I201" s="239" t="s">
        <v>2281</v>
      </c>
      <c r="J201" s="51" t="s">
        <v>71</v>
      </c>
      <c r="K201" s="239" t="s">
        <v>2136</v>
      </c>
      <c r="L201" s="243">
        <v>42033</v>
      </c>
      <c r="M201" s="240" t="s">
        <v>72</v>
      </c>
      <c r="N201" s="31">
        <v>3035</v>
      </c>
      <c r="O201" s="70" t="s">
        <v>1192</v>
      </c>
      <c r="P201" s="71"/>
      <c r="Q201" s="55"/>
      <c r="R201" s="23">
        <v>42972</v>
      </c>
      <c r="S201" s="31">
        <v>3404</v>
      </c>
      <c r="T201" s="31">
        <v>2285</v>
      </c>
      <c r="U201" s="72" t="s">
        <v>134</v>
      </c>
      <c r="V201" s="52">
        <f t="shared" si="5"/>
        <v>2.5726027397260274</v>
      </c>
      <c r="W201" s="73" t="s">
        <v>117</v>
      </c>
      <c r="X201" s="174"/>
      <c r="Y201" s="73" t="s">
        <v>117</v>
      </c>
      <c r="Z201" s="31">
        <v>750</v>
      </c>
      <c r="AA201" s="31">
        <v>750</v>
      </c>
      <c r="AB201" s="239" t="s">
        <v>2260</v>
      </c>
      <c r="AC201" s="240" t="s">
        <v>2066</v>
      </c>
      <c r="AD201" s="240" t="s">
        <v>2066</v>
      </c>
      <c r="AE201" s="240" t="s">
        <v>2066</v>
      </c>
      <c r="AF201" s="240" t="s">
        <v>2066</v>
      </c>
      <c r="AG201" s="239"/>
      <c r="AH201" s="256"/>
    </row>
    <row r="202" spans="5:34" ht="26.1" customHeight="1">
      <c r="E202" s="248" t="s">
        <v>1185</v>
      </c>
      <c r="F202" s="239" t="s">
        <v>2024</v>
      </c>
      <c r="G202" s="69" t="str">
        <f t="shared" si="4"/>
        <v>220-80-09193</v>
      </c>
      <c r="H202" s="134" t="s">
        <v>180</v>
      </c>
      <c r="I202" s="239" t="s">
        <v>2282</v>
      </c>
      <c r="J202" s="51" t="s">
        <v>71</v>
      </c>
      <c r="K202" s="239" t="s">
        <v>2106</v>
      </c>
      <c r="L202" s="243">
        <v>42074</v>
      </c>
      <c r="M202" s="240" t="s">
        <v>72</v>
      </c>
      <c r="N202" s="31">
        <v>3900</v>
      </c>
      <c r="O202" s="70" t="s">
        <v>1193</v>
      </c>
      <c r="P202" s="71"/>
      <c r="Q202" s="55"/>
      <c r="R202" s="23"/>
      <c r="S202" s="31"/>
      <c r="T202" s="31"/>
      <c r="U202" s="72"/>
      <c r="V202" s="52" t="str">
        <f t="shared" si="5"/>
        <v/>
      </c>
      <c r="W202" s="73" t="s">
        <v>117</v>
      </c>
      <c r="X202" s="174"/>
      <c r="Y202" s="73" t="s">
        <v>131</v>
      </c>
      <c r="Z202" s="31">
        <v>3900</v>
      </c>
      <c r="AA202" s="31">
        <v>3900</v>
      </c>
      <c r="AB202" s="239" t="s">
        <v>2260</v>
      </c>
      <c r="AC202" s="240" t="s">
        <v>2069</v>
      </c>
      <c r="AD202" s="240" t="s">
        <v>2185</v>
      </c>
      <c r="AE202" s="240" t="s">
        <v>2069</v>
      </c>
      <c r="AF202" s="240"/>
      <c r="AG202" s="239" t="s">
        <v>2293</v>
      </c>
      <c r="AH202" s="256"/>
    </row>
    <row r="203" spans="5:34" ht="26.1" customHeight="1">
      <c r="E203" s="248" t="s">
        <v>1185</v>
      </c>
      <c r="F203" s="239" t="s">
        <v>2024</v>
      </c>
      <c r="G203" s="69" t="str">
        <f t="shared" si="4"/>
        <v>220-80-09193</v>
      </c>
      <c r="H203" s="134" t="s">
        <v>180</v>
      </c>
      <c r="I203" s="239" t="s">
        <v>2283</v>
      </c>
      <c r="J203" s="51" t="s">
        <v>71</v>
      </c>
      <c r="K203" s="239" t="s">
        <v>137</v>
      </c>
      <c r="L203" s="243">
        <v>42094</v>
      </c>
      <c r="M203" s="240" t="s">
        <v>72</v>
      </c>
      <c r="N203" s="31">
        <v>4001</v>
      </c>
      <c r="O203" s="70" t="s">
        <v>1192</v>
      </c>
      <c r="P203" s="71"/>
      <c r="Q203" s="55"/>
      <c r="R203" s="23">
        <v>42851</v>
      </c>
      <c r="S203" s="31">
        <v>1303</v>
      </c>
      <c r="T203" s="31">
        <v>1125</v>
      </c>
      <c r="U203" s="72" t="s">
        <v>134</v>
      </c>
      <c r="V203" s="52">
        <f t="shared" si="5"/>
        <v>2.0739726027397261</v>
      </c>
      <c r="W203" s="73" t="s">
        <v>117</v>
      </c>
      <c r="X203" s="174"/>
      <c r="Y203" s="73" t="s">
        <v>117</v>
      </c>
      <c r="Z203" s="31">
        <v>2876</v>
      </c>
      <c r="AA203" s="31">
        <v>2876</v>
      </c>
      <c r="AB203" s="239" t="s">
        <v>2260</v>
      </c>
      <c r="AC203" s="240" t="s">
        <v>2066</v>
      </c>
      <c r="AD203" s="240" t="s">
        <v>2066</v>
      </c>
      <c r="AE203" s="240" t="s">
        <v>2066</v>
      </c>
      <c r="AF203" s="240" t="s">
        <v>2066</v>
      </c>
      <c r="AG203" s="239" t="s">
        <v>2295</v>
      </c>
      <c r="AH203" s="256"/>
    </row>
    <row r="204" spans="5:34" ht="26.1" customHeight="1">
      <c r="E204" s="248" t="s">
        <v>1185</v>
      </c>
      <c r="F204" s="239" t="s">
        <v>2024</v>
      </c>
      <c r="G204" s="69" t="str">
        <f t="shared" si="4"/>
        <v>220-80-09193</v>
      </c>
      <c r="H204" s="134" t="s">
        <v>180</v>
      </c>
      <c r="I204" s="239" t="s">
        <v>2284</v>
      </c>
      <c r="J204" s="51" t="s">
        <v>71</v>
      </c>
      <c r="K204" s="239" t="s">
        <v>2136</v>
      </c>
      <c r="L204" s="243">
        <v>42109</v>
      </c>
      <c r="M204" s="240" t="s">
        <v>72</v>
      </c>
      <c r="N204" s="31">
        <v>1800</v>
      </c>
      <c r="O204" s="70" t="s">
        <v>1192</v>
      </c>
      <c r="P204" s="71"/>
      <c r="Q204" s="55"/>
      <c r="R204" s="23">
        <v>42195</v>
      </c>
      <c r="S204" s="31">
        <v>2600</v>
      </c>
      <c r="T204" s="31">
        <v>900</v>
      </c>
      <c r="U204" s="72" t="s">
        <v>134</v>
      </c>
      <c r="V204" s="52">
        <f t="shared" si="5"/>
        <v>0.23561643835616439</v>
      </c>
      <c r="W204" s="73" t="s">
        <v>117</v>
      </c>
      <c r="X204" s="174"/>
      <c r="Y204" s="73" t="s">
        <v>117</v>
      </c>
      <c r="Z204" s="31">
        <v>900</v>
      </c>
      <c r="AA204" s="31">
        <v>900</v>
      </c>
      <c r="AB204" s="239" t="s">
        <v>2260</v>
      </c>
      <c r="AC204" s="240" t="s">
        <v>2066</v>
      </c>
      <c r="AD204" s="240" t="s">
        <v>2066</v>
      </c>
      <c r="AE204" s="240" t="s">
        <v>2066</v>
      </c>
      <c r="AF204" s="240" t="s">
        <v>2066</v>
      </c>
      <c r="AG204" s="239"/>
      <c r="AH204" s="256"/>
    </row>
    <row r="205" spans="5:34" ht="26.1" customHeight="1">
      <c r="E205" s="248" t="s">
        <v>1185</v>
      </c>
      <c r="F205" s="239" t="s">
        <v>2024</v>
      </c>
      <c r="G205" s="69" t="str">
        <f t="shared" si="4"/>
        <v>220-80-09193</v>
      </c>
      <c r="H205" s="134" t="s">
        <v>180</v>
      </c>
      <c r="I205" s="239" t="s">
        <v>2285</v>
      </c>
      <c r="J205" s="51" t="s">
        <v>71</v>
      </c>
      <c r="K205" s="239" t="s">
        <v>2106</v>
      </c>
      <c r="L205" s="243">
        <v>42110</v>
      </c>
      <c r="M205" s="240" t="s">
        <v>116</v>
      </c>
      <c r="N205" s="31">
        <v>1500</v>
      </c>
      <c r="O205" s="70" t="s">
        <v>1192</v>
      </c>
      <c r="P205" s="71"/>
      <c r="Q205" s="55"/>
      <c r="R205" s="23">
        <v>42507</v>
      </c>
      <c r="S205" s="31">
        <v>489</v>
      </c>
      <c r="T205" s="31">
        <v>450</v>
      </c>
      <c r="U205" s="72" t="s">
        <v>134</v>
      </c>
      <c r="V205" s="52">
        <f t="shared" si="5"/>
        <v>1.0876712328767124</v>
      </c>
      <c r="W205" s="73" t="s">
        <v>117</v>
      </c>
      <c r="X205" s="174"/>
      <c r="Y205" s="73" t="s">
        <v>117</v>
      </c>
      <c r="Z205" s="31">
        <v>1050</v>
      </c>
      <c r="AA205" s="31">
        <v>1050</v>
      </c>
      <c r="AB205" s="239" t="s">
        <v>2260</v>
      </c>
      <c r="AC205" s="240" t="s">
        <v>2067</v>
      </c>
      <c r="AD205" s="240" t="s">
        <v>2067</v>
      </c>
      <c r="AE205" s="240" t="s">
        <v>2067</v>
      </c>
      <c r="AF205" s="240" t="s">
        <v>2067</v>
      </c>
      <c r="AG205" s="239"/>
      <c r="AH205" s="256"/>
    </row>
    <row r="206" spans="5:34" ht="26.1" customHeight="1">
      <c r="E206" s="248" t="s">
        <v>1185</v>
      </c>
      <c r="F206" s="239" t="s">
        <v>2024</v>
      </c>
      <c r="G206" s="69" t="str">
        <f t="shared" si="4"/>
        <v>220-80-09193</v>
      </c>
      <c r="H206" s="134" t="s">
        <v>180</v>
      </c>
      <c r="I206" s="239" t="s">
        <v>2285</v>
      </c>
      <c r="J206" s="51" t="s">
        <v>71</v>
      </c>
      <c r="K206" s="239" t="s">
        <v>2106</v>
      </c>
      <c r="L206" s="243">
        <v>42110</v>
      </c>
      <c r="M206" s="240" t="s">
        <v>72</v>
      </c>
      <c r="N206" s="31">
        <v>447</v>
      </c>
      <c r="O206" s="70" t="s">
        <v>2994</v>
      </c>
      <c r="P206" s="71"/>
      <c r="Q206" s="55"/>
      <c r="R206" s="23">
        <v>42571</v>
      </c>
      <c r="S206" s="31">
        <v>630</v>
      </c>
      <c r="T206" s="31">
        <v>263</v>
      </c>
      <c r="U206" s="72" t="s">
        <v>134</v>
      </c>
      <c r="V206" s="52">
        <f t="shared" si="5"/>
        <v>1.263013698630137</v>
      </c>
      <c r="W206" s="73" t="s">
        <v>117</v>
      </c>
      <c r="X206" s="174"/>
      <c r="Y206" s="73" t="s">
        <v>117</v>
      </c>
      <c r="Z206" s="31">
        <v>184</v>
      </c>
      <c r="AA206" s="31">
        <v>184</v>
      </c>
      <c r="AB206" s="239" t="s">
        <v>2260</v>
      </c>
      <c r="AC206" s="240" t="s">
        <v>2067</v>
      </c>
      <c r="AD206" s="240" t="s">
        <v>2067</v>
      </c>
      <c r="AE206" s="240" t="s">
        <v>2067</v>
      </c>
      <c r="AF206" s="240" t="s">
        <v>2067</v>
      </c>
      <c r="AG206" s="239"/>
      <c r="AH206" s="256"/>
    </row>
    <row r="207" spans="5:34" ht="26.1" customHeight="1">
      <c r="E207" s="248" t="s">
        <v>1185</v>
      </c>
      <c r="F207" s="239" t="s">
        <v>2024</v>
      </c>
      <c r="G207" s="69" t="str">
        <f t="shared" si="4"/>
        <v>220-80-09193</v>
      </c>
      <c r="H207" s="134" t="s">
        <v>180</v>
      </c>
      <c r="I207" s="239" t="s">
        <v>2285</v>
      </c>
      <c r="J207" s="51" t="s">
        <v>71</v>
      </c>
      <c r="K207" s="239" t="s">
        <v>2106</v>
      </c>
      <c r="L207" s="243">
        <v>42110</v>
      </c>
      <c r="M207" s="240" t="s">
        <v>133</v>
      </c>
      <c r="N207" s="31">
        <v>553</v>
      </c>
      <c r="O207" s="70" t="s">
        <v>1193</v>
      </c>
      <c r="P207" s="71"/>
      <c r="Q207" s="55"/>
      <c r="R207" s="23"/>
      <c r="S207" s="31"/>
      <c r="T207" s="31"/>
      <c r="U207" s="72"/>
      <c r="V207" s="52" t="str">
        <f t="shared" si="5"/>
        <v/>
      </c>
      <c r="W207" s="73" t="s">
        <v>117</v>
      </c>
      <c r="X207" s="174"/>
      <c r="Y207" s="73" t="s">
        <v>117</v>
      </c>
      <c r="Z207" s="31">
        <v>553</v>
      </c>
      <c r="AA207" s="31">
        <v>553</v>
      </c>
      <c r="AB207" s="239" t="s">
        <v>2260</v>
      </c>
      <c r="AC207" s="240" t="s">
        <v>2067</v>
      </c>
      <c r="AD207" s="240" t="s">
        <v>2067</v>
      </c>
      <c r="AE207" s="240" t="s">
        <v>2067</v>
      </c>
      <c r="AF207" s="240"/>
      <c r="AG207" s="239"/>
      <c r="AH207" s="256"/>
    </row>
    <row r="208" spans="5:34" ht="26.1" customHeight="1">
      <c r="E208" s="248" t="s">
        <v>1185</v>
      </c>
      <c r="F208" s="239" t="s">
        <v>2024</v>
      </c>
      <c r="G208" s="69" t="str">
        <f t="shared" si="4"/>
        <v>220-80-09193</v>
      </c>
      <c r="H208" s="134" t="s">
        <v>180</v>
      </c>
      <c r="I208" s="239" t="s">
        <v>2223</v>
      </c>
      <c r="J208" s="51" t="s">
        <v>71</v>
      </c>
      <c r="K208" s="239" t="s">
        <v>2136</v>
      </c>
      <c r="L208" s="243">
        <v>42130</v>
      </c>
      <c r="M208" s="240" t="s">
        <v>116</v>
      </c>
      <c r="N208" s="31">
        <v>2000</v>
      </c>
      <c r="O208" s="70" t="s">
        <v>1192</v>
      </c>
      <c r="P208" s="71"/>
      <c r="Q208" s="55" t="s">
        <v>1602</v>
      </c>
      <c r="R208" s="23">
        <v>42956</v>
      </c>
      <c r="S208" s="31">
        <v>370</v>
      </c>
      <c r="T208" s="31">
        <v>376</v>
      </c>
      <c r="U208" s="72" t="s">
        <v>114</v>
      </c>
      <c r="V208" s="52">
        <f t="shared" si="5"/>
        <v>2.2630136986301368</v>
      </c>
      <c r="W208" s="73" t="s">
        <v>117</v>
      </c>
      <c r="X208" s="174"/>
      <c r="Y208" s="73" t="s">
        <v>117</v>
      </c>
      <c r="Z208" s="31">
        <v>1624</v>
      </c>
      <c r="AA208" s="31">
        <v>1602</v>
      </c>
      <c r="AB208" s="239" t="s">
        <v>2608</v>
      </c>
      <c r="AC208" s="240" t="s">
        <v>2071</v>
      </c>
      <c r="AD208" s="240" t="s">
        <v>2139</v>
      </c>
      <c r="AE208" s="240" t="s">
        <v>2253</v>
      </c>
      <c r="AF208" s="240" t="s">
        <v>2261</v>
      </c>
      <c r="AG208" s="239" t="s">
        <v>2262</v>
      </c>
      <c r="AH208" s="256"/>
    </row>
    <row r="209" spans="5:34" ht="26.1" customHeight="1">
      <c r="E209" s="248" t="s">
        <v>1185</v>
      </c>
      <c r="F209" s="239" t="s">
        <v>2024</v>
      </c>
      <c r="G209" s="69" t="str">
        <f t="shared" si="4"/>
        <v>220-80-09193</v>
      </c>
      <c r="H209" s="134" t="s">
        <v>180</v>
      </c>
      <c r="I209" s="239" t="s">
        <v>2286</v>
      </c>
      <c r="J209" s="51" t="s">
        <v>71</v>
      </c>
      <c r="K209" s="239" t="s">
        <v>2106</v>
      </c>
      <c r="L209" s="243">
        <v>42142</v>
      </c>
      <c r="M209" s="240" t="s">
        <v>72</v>
      </c>
      <c r="N209" s="31">
        <v>3000</v>
      </c>
      <c r="O209" s="70" t="s">
        <v>132</v>
      </c>
      <c r="P209" s="71">
        <v>1.571</v>
      </c>
      <c r="Q209" s="55"/>
      <c r="R209" s="23">
        <v>42185</v>
      </c>
      <c r="S209" s="31">
        <v>3353</v>
      </c>
      <c r="T209" s="31">
        <v>3000</v>
      </c>
      <c r="U209" s="72" t="s">
        <v>134</v>
      </c>
      <c r="V209" s="52">
        <f t="shared" si="5"/>
        <v>0.11780821917808219</v>
      </c>
      <c r="W209" s="73"/>
      <c r="X209" s="174"/>
      <c r="Y209" s="73"/>
      <c r="Z209" s="31"/>
      <c r="AA209" s="31"/>
      <c r="AB209" s="239"/>
      <c r="AC209" s="240"/>
      <c r="AD209" s="240" t="s">
        <v>2067</v>
      </c>
      <c r="AE209" s="240" t="s">
        <v>2067</v>
      </c>
      <c r="AF209" s="240" t="s">
        <v>2067</v>
      </c>
      <c r="AG209" s="239"/>
      <c r="AH209" s="256"/>
    </row>
    <row r="210" spans="5:34" ht="26.1" customHeight="1">
      <c r="E210" s="248" t="s">
        <v>1185</v>
      </c>
      <c r="F210" s="239" t="s">
        <v>2024</v>
      </c>
      <c r="G210" s="69" t="str">
        <f t="shared" si="4"/>
        <v>220-80-09193</v>
      </c>
      <c r="H210" s="134" t="s">
        <v>180</v>
      </c>
      <c r="I210" s="239" t="s">
        <v>2225</v>
      </c>
      <c r="J210" s="51" t="s">
        <v>71</v>
      </c>
      <c r="K210" s="239" t="s">
        <v>2133</v>
      </c>
      <c r="L210" s="243">
        <v>42185</v>
      </c>
      <c r="M210" s="240" t="s">
        <v>72</v>
      </c>
      <c r="N210" s="31">
        <v>777</v>
      </c>
      <c r="O210" s="70" t="s">
        <v>1193</v>
      </c>
      <c r="P210" s="71"/>
      <c r="Q210" s="55" t="s">
        <v>1602</v>
      </c>
      <c r="R210" s="23"/>
      <c r="S210" s="31"/>
      <c r="T210" s="31"/>
      <c r="U210" s="72"/>
      <c r="V210" s="52" t="str">
        <f t="shared" si="5"/>
        <v/>
      </c>
      <c r="W210" s="73" t="s">
        <v>117</v>
      </c>
      <c r="X210" s="174"/>
      <c r="Y210" s="73" t="s">
        <v>117</v>
      </c>
      <c r="Z210" s="31">
        <v>777</v>
      </c>
      <c r="AA210" s="31">
        <v>777</v>
      </c>
      <c r="AB210" s="239" t="s">
        <v>2260</v>
      </c>
      <c r="AC210" s="240" t="s">
        <v>2069</v>
      </c>
      <c r="AD210" s="240" t="s">
        <v>2069</v>
      </c>
      <c r="AE210" s="240" t="s">
        <v>2069</v>
      </c>
      <c r="AF210" s="240"/>
      <c r="AG210" s="239"/>
      <c r="AH210" s="256"/>
    </row>
    <row r="211" spans="5:34" ht="26.1" customHeight="1">
      <c r="E211" s="248" t="s">
        <v>1185</v>
      </c>
      <c r="F211" s="239" t="s">
        <v>2024</v>
      </c>
      <c r="G211" s="69" t="str">
        <f t="shared" si="4"/>
        <v>220-80-09193</v>
      </c>
      <c r="H211" s="134" t="s">
        <v>180</v>
      </c>
      <c r="I211" s="239" t="s">
        <v>2225</v>
      </c>
      <c r="J211" s="51" t="s">
        <v>71</v>
      </c>
      <c r="K211" s="239" t="s">
        <v>2133</v>
      </c>
      <c r="L211" s="243">
        <v>42191</v>
      </c>
      <c r="M211" s="240" t="s">
        <v>179</v>
      </c>
      <c r="N211" s="31">
        <v>556</v>
      </c>
      <c r="O211" s="70" t="s">
        <v>1192</v>
      </c>
      <c r="P211" s="71"/>
      <c r="Q211" s="55" t="s">
        <v>1602</v>
      </c>
      <c r="R211" s="23">
        <v>42922</v>
      </c>
      <c r="S211" s="31">
        <v>29</v>
      </c>
      <c r="T211" s="31">
        <v>0</v>
      </c>
      <c r="U211" s="72" t="s">
        <v>137</v>
      </c>
      <c r="V211" s="52">
        <f t="shared" si="5"/>
        <v>2.0027397260273974</v>
      </c>
      <c r="W211" s="73" t="s">
        <v>117</v>
      </c>
      <c r="X211" s="174"/>
      <c r="Y211" s="73" t="s">
        <v>117</v>
      </c>
      <c r="Z211" s="31">
        <v>556</v>
      </c>
      <c r="AA211" s="31">
        <v>556</v>
      </c>
      <c r="AB211" s="239" t="s">
        <v>2260</v>
      </c>
      <c r="AC211" s="240" t="s">
        <v>2069</v>
      </c>
      <c r="AD211" s="240" t="s">
        <v>2069</v>
      </c>
      <c r="AE211" s="240" t="s">
        <v>2069</v>
      </c>
      <c r="AF211" s="240" t="s">
        <v>2069</v>
      </c>
      <c r="AG211" s="239" t="s">
        <v>2254</v>
      </c>
      <c r="AH211" s="256"/>
    </row>
    <row r="212" spans="5:34" ht="26.1" customHeight="1">
      <c r="E212" s="248" t="s">
        <v>1185</v>
      </c>
      <c r="F212" s="239" t="s">
        <v>2024</v>
      </c>
      <c r="G212" s="69" t="str">
        <f t="shared" si="4"/>
        <v>220-80-09193</v>
      </c>
      <c r="H212" s="134" t="s">
        <v>180</v>
      </c>
      <c r="I212" s="239" t="s">
        <v>2264</v>
      </c>
      <c r="J212" s="51" t="s">
        <v>71</v>
      </c>
      <c r="K212" s="239" t="s">
        <v>2108</v>
      </c>
      <c r="L212" s="243">
        <v>42186</v>
      </c>
      <c r="M212" s="240" t="s">
        <v>72</v>
      </c>
      <c r="N212" s="31">
        <v>1000</v>
      </c>
      <c r="O212" s="70" t="s">
        <v>132</v>
      </c>
      <c r="P212" s="71">
        <v>0.52</v>
      </c>
      <c r="Q212" s="55" t="s">
        <v>1602</v>
      </c>
      <c r="R212" s="23">
        <v>42355</v>
      </c>
      <c r="S212" s="31">
        <v>1214</v>
      </c>
      <c r="T212" s="31">
        <v>1000</v>
      </c>
      <c r="U212" s="72" t="s">
        <v>134</v>
      </c>
      <c r="V212" s="52">
        <f t="shared" si="5"/>
        <v>0.46301369863013697</v>
      </c>
      <c r="W212" s="73"/>
      <c r="X212" s="174"/>
      <c r="Y212" s="73"/>
      <c r="Z212" s="31"/>
      <c r="AA212" s="31"/>
      <c r="AB212" s="239"/>
      <c r="AC212" s="240"/>
      <c r="AD212" s="240" t="s">
        <v>2070</v>
      </c>
      <c r="AE212" s="240" t="s">
        <v>2070</v>
      </c>
      <c r="AF212" s="240" t="s">
        <v>2070</v>
      </c>
      <c r="AG212" s="239"/>
      <c r="AH212" s="256"/>
    </row>
    <row r="213" spans="5:34" ht="26.1" customHeight="1">
      <c r="E213" s="248" t="s">
        <v>1185</v>
      </c>
      <c r="F213" s="239" t="s">
        <v>2024</v>
      </c>
      <c r="G213" s="69" t="str">
        <f t="shared" si="4"/>
        <v>220-80-09193</v>
      </c>
      <c r="H213" s="134" t="s">
        <v>180</v>
      </c>
      <c r="I213" s="239" t="s">
        <v>2227</v>
      </c>
      <c r="J213" s="51" t="s">
        <v>71</v>
      </c>
      <c r="K213" s="239" t="s">
        <v>2228</v>
      </c>
      <c r="L213" s="243">
        <v>42255</v>
      </c>
      <c r="M213" s="240" t="s">
        <v>133</v>
      </c>
      <c r="N213" s="31">
        <v>3333</v>
      </c>
      <c r="O213" s="70" t="s">
        <v>1193</v>
      </c>
      <c r="P213" s="71"/>
      <c r="Q213" s="55" t="s">
        <v>1602</v>
      </c>
      <c r="R213" s="23"/>
      <c r="S213" s="31"/>
      <c r="T213" s="31"/>
      <c r="U213" s="72"/>
      <c r="V213" s="52" t="str">
        <f t="shared" si="5"/>
        <v/>
      </c>
      <c r="W213" s="73" t="s">
        <v>117</v>
      </c>
      <c r="X213" s="174"/>
      <c r="Y213" s="73" t="s">
        <v>117</v>
      </c>
      <c r="Z213" s="31">
        <v>3333</v>
      </c>
      <c r="AA213" s="31">
        <v>3333</v>
      </c>
      <c r="AB213" s="239" t="s">
        <v>2260</v>
      </c>
      <c r="AC213" s="240" t="s">
        <v>2070</v>
      </c>
      <c r="AD213" s="240" t="s">
        <v>2255</v>
      </c>
      <c r="AE213" s="240" t="s">
        <v>2070</v>
      </c>
      <c r="AF213" s="240"/>
      <c r="AG213" s="239"/>
      <c r="AH213" s="256"/>
    </row>
    <row r="214" spans="5:34" ht="26.1" customHeight="1">
      <c r="E214" s="248" t="s">
        <v>1185</v>
      </c>
      <c r="F214" s="239" t="s">
        <v>2024</v>
      </c>
      <c r="G214" s="69" t="str">
        <f t="shared" si="4"/>
        <v>220-80-09193</v>
      </c>
      <c r="H214" s="134" t="s">
        <v>180</v>
      </c>
      <c r="I214" s="239" t="s">
        <v>2287</v>
      </c>
      <c r="J214" s="51" t="s">
        <v>71</v>
      </c>
      <c r="K214" s="239" t="s">
        <v>2136</v>
      </c>
      <c r="L214" s="243">
        <v>42290</v>
      </c>
      <c r="M214" s="240" t="s">
        <v>72</v>
      </c>
      <c r="N214" s="31">
        <v>1080</v>
      </c>
      <c r="O214" s="70" t="s">
        <v>1193</v>
      </c>
      <c r="P214" s="71"/>
      <c r="Q214" s="55"/>
      <c r="R214" s="23"/>
      <c r="S214" s="31"/>
      <c r="T214" s="31"/>
      <c r="U214" s="72"/>
      <c r="V214" s="52" t="str">
        <f t="shared" si="5"/>
        <v/>
      </c>
      <c r="W214" s="73" t="s">
        <v>117</v>
      </c>
      <c r="X214" s="174"/>
      <c r="Y214" s="73" t="s">
        <v>117</v>
      </c>
      <c r="Z214" s="31">
        <v>1080</v>
      </c>
      <c r="AA214" s="31">
        <v>1080</v>
      </c>
      <c r="AB214" s="239" t="s">
        <v>2260</v>
      </c>
      <c r="AC214" s="240" t="s">
        <v>2071</v>
      </c>
      <c r="AD214" s="240" t="s">
        <v>2294</v>
      </c>
      <c r="AE214" s="240" t="s">
        <v>2294</v>
      </c>
      <c r="AF214" s="240"/>
      <c r="AG214" s="239"/>
      <c r="AH214" s="256"/>
    </row>
    <row r="215" spans="5:34" ht="26.1" customHeight="1">
      <c r="E215" s="248" t="s">
        <v>1185</v>
      </c>
      <c r="F215" s="239" t="s">
        <v>2024</v>
      </c>
      <c r="G215" s="69" t="str">
        <f t="shared" si="4"/>
        <v>220-80-09193</v>
      </c>
      <c r="H215" s="134" t="s">
        <v>180</v>
      </c>
      <c r="I215" s="239" t="s">
        <v>2265</v>
      </c>
      <c r="J215" s="51" t="s">
        <v>71</v>
      </c>
      <c r="K215" s="239" t="s">
        <v>2108</v>
      </c>
      <c r="L215" s="243">
        <v>42291</v>
      </c>
      <c r="M215" s="240" t="s">
        <v>133</v>
      </c>
      <c r="N215" s="31">
        <v>500</v>
      </c>
      <c r="O215" s="70" t="s">
        <v>1193</v>
      </c>
      <c r="P215" s="71"/>
      <c r="Q215" s="55" t="s">
        <v>1602</v>
      </c>
      <c r="R215" s="23"/>
      <c r="S215" s="31"/>
      <c r="T215" s="31"/>
      <c r="U215" s="72"/>
      <c r="V215" s="52" t="str">
        <f t="shared" si="5"/>
        <v/>
      </c>
      <c r="W215" s="73" t="s">
        <v>117</v>
      </c>
      <c r="X215" s="174"/>
      <c r="Y215" s="73" t="s">
        <v>117</v>
      </c>
      <c r="Z215" s="31">
        <v>500</v>
      </c>
      <c r="AA215" s="31">
        <v>500</v>
      </c>
      <c r="AB215" s="239" t="s">
        <v>2260</v>
      </c>
      <c r="AC215" s="240" t="s">
        <v>2067</v>
      </c>
      <c r="AD215" s="240" t="s">
        <v>2067</v>
      </c>
      <c r="AE215" s="240" t="s">
        <v>2067</v>
      </c>
      <c r="AF215" s="240"/>
      <c r="AG215" s="239"/>
      <c r="AH215" s="256"/>
    </row>
    <row r="216" spans="5:34" ht="26.1" customHeight="1">
      <c r="E216" s="248" t="s">
        <v>1185</v>
      </c>
      <c r="F216" s="239" t="s">
        <v>2024</v>
      </c>
      <c r="G216" s="69" t="str">
        <f t="shared" si="4"/>
        <v>220-80-09193</v>
      </c>
      <c r="H216" s="134" t="s">
        <v>180</v>
      </c>
      <c r="I216" s="239" t="s">
        <v>2284</v>
      </c>
      <c r="J216" s="51" t="s">
        <v>71</v>
      </c>
      <c r="K216" s="239" t="s">
        <v>2136</v>
      </c>
      <c r="L216" s="243">
        <v>42291</v>
      </c>
      <c r="M216" s="240" t="s">
        <v>72</v>
      </c>
      <c r="N216" s="31">
        <v>1787</v>
      </c>
      <c r="O216" s="70" t="s">
        <v>1193</v>
      </c>
      <c r="P216" s="71"/>
      <c r="Q216" s="55"/>
      <c r="R216" s="23"/>
      <c r="S216" s="31"/>
      <c r="T216" s="31"/>
      <c r="U216" s="72"/>
      <c r="V216" s="52" t="str">
        <f t="shared" si="5"/>
        <v/>
      </c>
      <c r="W216" s="73" t="s">
        <v>117</v>
      </c>
      <c r="X216" s="174"/>
      <c r="Y216" s="73" t="s">
        <v>117</v>
      </c>
      <c r="Z216" s="31">
        <v>1787</v>
      </c>
      <c r="AA216" s="31">
        <v>1787</v>
      </c>
      <c r="AB216" s="239" t="s">
        <v>2260</v>
      </c>
      <c r="AC216" s="240" t="s">
        <v>2066</v>
      </c>
      <c r="AD216" s="240" t="s">
        <v>2066</v>
      </c>
      <c r="AE216" s="240" t="s">
        <v>2066</v>
      </c>
      <c r="AF216" s="240"/>
      <c r="AG216" s="239"/>
      <c r="AH216" s="256"/>
    </row>
    <row r="217" spans="5:34" ht="26.1" customHeight="1">
      <c r="E217" s="248" t="s">
        <v>1185</v>
      </c>
      <c r="F217" s="239" t="s">
        <v>2024</v>
      </c>
      <c r="G217" s="69" t="str">
        <f t="shared" si="4"/>
        <v>220-80-09193</v>
      </c>
      <c r="H217" s="134" t="s">
        <v>180</v>
      </c>
      <c r="I217" s="239" t="s">
        <v>2288</v>
      </c>
      <c r="J217" s="51" t="s">
        <v>71</v>
      </c>
      <c r="K217" s="239" t="s">
        <v>2108</v>
      </c>
      <c r="L217" s="243">
        <v>42362</v>
      </c>
      <c r="M217" s="240" t="s">
        <v>133</v>
      </c>
      <c r="N217" s="31">
        <v>2055</v>
      </c>
      <c r="O217" s="70" t="s">
        <v>1192</v>
      </c>
      <c r="P217" s="71"/>
      <c r="Q217" s="55"/>
      <c r="R217" s="23">
        <v>42494</v>
      </c>
      <c r="S217" s="31">
        <v>2650</v>
      </c>
      <c r="T217" s="31">
        <v>685</v>
      </c>
      <c r="U217" s="72" t="s">
        <v>134</v>
      </c>
      <c r="V217" s="52">
        <f t="shared" si="5"/>
        <v>0.36164383561643837</v>
      </c>
      <c r="W217" s="73" t="s">
        <v>117</v>
      </c>
      <c r="X217" s="174"/>
      <c r="Y217" s="73" t="s">
        <v>131</v>
      </c>
      <c r="Z217" s="31">
        <v>1370</v>
      </c>
      <c r="AA217" s="31">
        <v>11880</v>
      </c>
      <c r="AB217" s="239" t="s">
        <v>2397</v>
      </c>
      <c r="AC217" s="240" t="s">
        <v>2066</v>
      </c>
      <c r="AD217" s="240" t="s">
        <v>2066</v>
      </c>
      <c r="AE217" s="240" t="s">
        <v>2066</v>
      </c>
      <c r="AF217" s="240" t="s">
        <v>2066</v>
      </c>
      <c r="AG217" s="239" t="s">
        <v>2602</v>
      </c>
      <c r="AH217" s="256"/>
    </row>
    <row r="218" spans="5:34" ht="26.1" customHeight="1">
      <c r="E218" s="248" t="s">
        <v>1185</v>
      </c>
      <c r="F218" s="239" t="s">
        <v>2024</v>
      </c>
      <c r="G218" s="69" t="str">
        <f t="shared" si="4"/>
        <v>220-80-09193</v>
      </c>
      <c r="H218" s="134" t="s">
        <v>180</v>
      </c>
      <c r="I218" s="239" t="s">
        <v>2289</v>
      </c>
      <c r="J218" s="51" t="s">
        <v>71</v>
      </c>
      <c r="K218" s="239" t="s">
        <v>2290</v>
      </c>
      <c r="L218" s="243">
        <v>42360</v>
      </c>
      <c r="M218" s="240" t="s">
        <v>72</v>
      </c>
      <c r="N218" s="31">
        <v>1384</v>
      </c>
      <c r="O218" s="70" t="s">
        <v>1193</v>
      </c>
      <c r="P218" s="71"/>
      <c r="Q218" s="55"/>
      <c r="R218" s="23"/>
      <c r="S218" s="31"/>
      <c r="T218" s="31"/>
      <c r="U218" s="72"/>
      <c r="V218" s="52" t="str">
        <f t="shared" si="5"/>
        <v/>
      </c>
      <c r="W218" s="73" t="s">
        <v>117</v>
      </c>
      <c r="X218" s="174"/>
      <c r="Y218" s="73" t="s">
        <v>131</v>
      </c>
      <c r="Z218" s="31">
        <v>1384</v>
      </c>
      <c r="AA218" s="31">
        <v>1384</v>
      </c>
      <c r="AB218" s="239" t="s">
        <v>2260</v>
      </c>
      <c r="AC218" s="240" t="s">
        <v>2067</v>
      </c>
      <c r="AD218" s="240" t="s">
        <v>2067</v>
      </c>
      <c r="AE218" s="240" t="s">
        <v>2067</v>
      </c>
      <c r="AF218" s="240"/>
      <c r="AG218" s="239" t="s">
        <v>2293</v>
      </c>
      <c r="AH218" s="256"/>
    </row>
    <row r="219" spans="5:34" ht="26.1" customHeight="1">
      <c r="E219" s="248" t="s">
        <v>1185</v>
      </c>
      <c r="F219" s="239" t="s">
        <v>2024</v>
      </c>
      <c r="G219" s="69" t="str">
        <f t="shared" si="4"/>
        <v>220-80-09193</v>
      </c>
      <c r="H219" s="134" t="s">
        <v>180</v>
      </c>
      <c r="I219" s="239" t="s">
        <v>2266</v>
      </c>
      <c r="J219" s="51" t="s">
        <v>71</v>
      </c>
      <c r="K219" s="239" t="s">
        <v>2133</v>
      </c>
      <c r="L219" s="243">
        <v>42327</v>
      </c>
      <c r="M219" s="240" t="s">
        <v>133</v>
      </c>
      <c r="N219" s="31">
        <v>1992</v>
      </c>
      <c r="O219" s="70" t="s">
        <v>1193</v>
      </c>
      <c r="P219" s="71"/>
      <c r="Q219" s="55" t="s">
        <v>1602</v>
      </c>
      <c r="R219" s="23"/>
      <c r="S219" s="31"/>
      <c r="T219" s="31"/>
      <c r="U219" s="72"/>
      <c r="V219" s="52" t="str">
        <f t="shared" si="5"/>
        <v/>
      </c>
      <c r="W219" s="73" t="s">
        <v>117</v>
      </c>
      <c r="X219" s="174"/>
      <c r="Y219" s="73" t="s">
        <v>117</v>
      </c>
      <c r="Z219" s="31">
        <v>1992</v>
      </c>
      <c r="AA219" s="31">
        <v>1992</v>
      </c>
      <c r="AB219" s="239" t="s">
        <v>2260</v>
      </c>
      <c r="AC219" s="240" t="s">
        <v>2067</v>
      </c>
      <c r="AD219" s="240" t="s">
        <v>2067</v>
      </c>
      <c r="AE219" s="240" t="s">
        <v>2067</v>
      </c>
      <c r="AF219" s="240"/>
      <c r="AG219" s="239"/>
      <c r="AH219" s="256"/>
    </row>
    <row r="220" spans="5:34" ht="26.1" customHeight="1">
      <c r="E220" s="248" t="s">
        <v>1185</v>
      </c>
      <c r="F220" s="239" t="s">
        <v>2024</v>
      </c>
      <c r="G220" s="69" t="str">
        <f t="shared" si="4"/>
        <v>220-80-09193</v>
      </c>
      <c r="H220" s="134" t="s">
        <v>180</v>
      </c>
      <c r="I220" s="239" t="s">
        <v>2291</v>
      </c>
      <c r="J220" s="51" t="s">
        <v>71</v>
      </c>
      <c r="K220" s="239" t="s">
        <v>2105</v>
      </c>
      <c r="L220" s="243">
        <v>42397</v>
      </c>
      <c r="M220" s="240" t="s">
        <v>72</v>
      </c>
      <c r="N220" s="31">
        <v>4990</v>
      </c>
      <c r="O220" s="70" t="s">
        <v>132</v>
      </c>
      <c r="P220" s="71">
        <v>0.65800000000000003</v>
      </c>
      <c r="Q220" s="55"/>
      <c r="R220" s="23">
        <v>42590</v>
      </c>
      <c r="S220" s="31">
        <v>6480</v>
      </c>
      <c r="T220" s="31">
        <v>4990</v>
      </c>
      <c r="U220" s="72" t="s">
        <v>134</v>
      </c>
      <c r="V220" s="52">
        <f t="shared" si="5"/>
        <v>0.52876712328767128</v>
      </c>
      <c r="W220" s="73"/>
      <c r="X220" s="174"/>
      <c r="Y220" s="73"/>
      <c r="Z220" s="31"/>
      <c r="AA220" s="31"/>
      <c r="AB220" s="239"/>
      <c r="AC220" s="240"/>
      <c r="AD220" s="240" t="s">
        <v>2066</v>
      </c>
      <c r="AE220" s="240" t="s">
        <v>2066</v>
      </c>
      <c r="AF220" s="240" t="s">
        <v>2066</v>
      </c>
      <c r="AG220" s="239"/>
      <c r="AH220" s="256"/>
    </row>
    <row r="221" spans="5:34" ht="26.1" customHeight="1">
      <c r="E221" s="248" t="s">
        <v>1185</v>
      </c>
      <c r="F221" s="239" t="s">
        <v>2024</v>
      </c>
      <c r="G221" s="69" t="str">
        <f t="shared" si="4"/>
        <v>220-80-09193</v>
      </c>
      <c r="H221" s="134" t="s">
        <v>180</v>
      </c>
      <c r="I221" s="239" t="s">
        <v>2267</v>
      </c>
      <c r="J221" s="51" t="s">
        <v>71</v>
      </c>
      <c r="K221" s="239" t="s">
        <v>2268</v>
      </c>
      <c r="L221" s="243">
        <v>42367</v>
      </c>
      <c r="M221" s="240" t="s">
        <v>133</v>
      </c>
      <c r="N221" s="31">
        <v>1644</v>
      </c>
      <c r="O221" s="70" t="s">
        <v>1192</v>
      </c>
      <c r="P221" s="71"/>
      <c r="Q221" s="55" t="s">
        <v>1602</v>
      </c>
      <c r="R221" s="23">
        <v>42822</v>
      </c>
      <c r="S221" s="31">
        <v>82</v>
      </c>
      <c r="T221" s="31">
        <v>0</v>
      </c>
      <c r="U221" s="72" t="s">
        <v>137</v>
      </c>
      <c r="V221" s="52">
        <f t="shared" si="5"/>
        <v>1.2465753424657535</v>
      </c>
      <c r="W221" s="73" t="s">
        <v>117</v>
      </c>
      <c r="X221" s="174"/>
      <c r="Y221" s="73" t="s">
        <v>117</v>
      </c>
      <c r="Z221" s="31">
        <v>1644</v>
      </c>
      <c r="AA221" s="31">
        <v>1644</v>
      </c>
      <c r="AB221" s="239" t="s">
        <v>2260</v>
      </c>
      <c r="AC221" s="240" t="s">
        <v>2070</v>
      </c>
      <c r="AD221" s="240" t="s">
        <v>2272</v>
      </c>
      <c r="AE221" s="240" t="s">
        <v>2070</v>
      </c>
      <c r="AF221" s="240" t="s">
        <v>2070</v>
      </c>
      <c r="AG221" s="239" t="s">
        <v>2145</v>
      </c>
      <c r="AH221" s="256"/>
    </row>
    <row r="222" spans="5:34" ht="26.1" customHeight="1">
      <c r="E222" s="248" t="s">
        <v>1185</v>
      </c>
      <c r="F222" s="239" t="s">
        <v>2024</v>
      </c>
      <c r="G222" s="69" t="str">
        <f t="shared" si="4"/>
        <v>220-80-09193</v>
      </c>
      <c r="H222" s="134" t="s">
        <v>180</v>
      </c>
      <c r="I222" s="239" t="s">
        <v>2269</v>
      </c>
      <c r="J222" s="51" t="s">
        <v>71</v>
      </c>
      <c r="K222" s="239" t="s">
        <v>2133</v>
      </c>
      <c r="L222" s="243">
        <v>42367</v>
      </c>
      <c r="M222" s="240" t="s">
        <v>133</v>
      </c>
      <c r="N222" s="31">
        <v>262</v>
      </c>
      <c r="O222" s="70" t="s">
        <v>1192</v>
      </c>
      <c r="P222" s="71"/>
      <c r="Q222" s="55" t="s">
        <v>1602</v>
      </c>
      <c r="R222" s="23">
        <v>42818</v>
      </c>
      <c r="S222" s="31">
        <v>13</v>
      </c>
      <c r="T222" s="31">
        <v>0</v>
      </c>
      <c r="U222" s="72" t="s">
        <v>137</v>
      </c>
      <c r="V222" s="52">
        <f t="shared" si="5"/>
        <v>1.2356164383561643</v>
      </c>
      <c r="W222" s="73" t="s">
        <v>117</v>
      </c>
      <c r="X222" s="174"/>
      <c r="Y222" s="73" t="s">
        <v>117</v>
      </c>
      <c r="Z222" s="31">
        <v>262</v>
      </c>
      <c r="AA222" s="31">
        <v>262</v>
      </c>
      <c r="AB222" s="239" t="s">
        <v>2260</v>
      </c>
      <c r="AC222" s="240" t="s">
        <v>2070</v>
      </c>
      <c r="AD222" s="240" t="s">
        <v>2272</v>
      </c>
      <c r="AE222" s="240" t="s">
        <v>2070</v>
      </c>
      <c r="AF222" s="240" t="s">
        <v>2070</v>
      </c>
      <c r="AG222" s="239" t="s">
        <v>2145</v>
      </c>
      <c r="AH222" s="256"/>
    </row>
    <row r="223" spans="5:34" ht="26.1" customHeight="1">
      <c r="E223" s="248" t="s">
        <v>1185</v>
      </c>
      <c r="F223" s="239" t="s">
        <v>2024</v>
      </c>
      <c r="G223" s="69" t="str">
        <f t="shared" si="4"/>
        <v>220-80-09193</v>
      </c>
      <c r="H223" s="134" t="s">
        <v>180</v>
      </c>
      <c r="I223" s="239" t="s">
        <v>2270</v>
      </c>
      <c r="J223" s="51" t="s">
        <v>71</v>
      </c>
      <c r="K223" s="239" t="s">
        <v>2133</v>
      </c>
      <c r="L223" s="243">
        <v>42367</v>
      </c>
      <c r="M223" s="240" t="s">
        <v>133</v>
      </c>
      <c r="N223" s="31">
        <v>92</v>
      </c>
      <c r="O223" s="70" t="s">
        <v>1192</v>
      </c>
      <c r="P223" s="71"/>
      <c r="Q223" s="55" t="s">
        <v>1602</v>
      </c>
      <c r="R223" s="23">
        <v>42818</v>
      </c>
      <c r="S223" s="31">
        <v>6</v>
      </c>
      <c r="T223" s="31">
        <v>1</v>
      </c>
      <c r="U223" s="72" t="s">
        <v>137</v>
      </c>
      <c r="V223" s="52">
        <f t="shared" si="5"/>
        <v>1.2356164383561643</v>
      </c>
      <c r="W223" s="73" t="s">
        <v>117</v>
      </c>
      <c r="X223" s="174"/>
      <c r="Y223" s="73" t="s">
        <v>117</v>
      </c>
      <c r="Z223" s="31">
        <v>91</v>
      </c>
      <c r="AA223" s="31">
        <v>91</v>
      </c>
      <c r="AB223" s="239" t="s">
        <v>2260</v>
      </c>
      <c r="AC223" s="240" t="s">
        <v>2070</v>
      </c>
      <c r="AD223" s="240" t="s">
        <v>2272</v>
      </c>
      <c r="AE223" s="240" t="s">
        <v>2070</v>
      </c>
      <c r="AF223" s="240" t="s">
        <v>2070</v>
      </c>
      <c r="AG223" s="239" t="s">
        <v>2273</v>
      </c>
      <c r="AH223" s="256"/>
    </row>
    <row r="224" spans="5:34" ht="26.1" customHeight="1">
      <c r="E224" s="293" t="s">
        <v>111</v>
      </c>
      <c r="F224" s="274" t="s">
        <v>2709</v>
      </c>
      <c r="G224" s="69" t="str">
        <f t="shared" si="4"/>
        <v>220-88-90822</v>
      </c>
      <c r="H224" s="294" t="s">
        <v>181</v>
      </c>
      <c r="I224" s="274" t="s">
        <v>2884</v>
      </c>
      <c r="J224" s="295" t="s">
        <v>71</v>
      </c>
      <c r="K224" s="274" t="s">
        <v>2885</v>
      </c>
      <c r="L224" s="265">
        <v>42093</v>
      </c>
      <c r="M224" s="263" t="s">
        <v>72</v>
      </c>
      <c r="N224" s="296">
        <v>29061</v>
      </c>
      <c r="O224" s="264" t="s">
        <v>1193</v>
      </c>
      <c r="P224" s="297"/>
      <c r="Q224" s="298"/>
      <c r="R224" s="299"/>
      <c r="S224" s="296">
        <v>0</v>
      </c>
      <c r="T224" s="296"/>
      <c r="U224" s="300"/>
      <c r="V224" s="52" t="str">
        <f t="shared" si="5"/>
        <v/>
      </c>
      <c r="W224" s="301" t="s">
        <v>117</v>
      </c>
      <c r="X224" s="302"/>
      <c r="Y224" s="301" t="s">
        <v>117</v>
      </c>
      <c r="Z224" s="296">
        <v>29061</v>
      </c>
      <c r="AA224" s="296">
        <v>29061</v>
      </c>
      <c r="AB224" s="239" t="s">
        <v>2260</v>
      </c>
      <c r="AC224" s="263" t="s">
        <v>2292</v>
      </c>
      <c r="AD224" s="263" t="s">
        <v>2840</v>
      </c>
      <c r="AE224" s="263" t="s">
        <v>2886</v>
      </c>
      <c r="AF224" s="263"/>
      <c r="AG224" s="274" t="s">
        <v>2887</v>
      </c>
      <c r="AH224" s="256"/>
    </row>
    <row r="225" spans="5:34" ht="26.1" customHeight="1">
      <c r="E225" s="293" t="s">
        <v>111</v>
      </c>
      <c r="F225" s="274" t="s">
        <v>2709</v>
      </c>
      <c r="G225" s="69" t="str">
        <f t="shared" si="4"/>
        <v>220-88-90822</v>
      </c>
      <c r="H225" s="294" t="s">
        <v>181</v>
      </c>
      <c r="I225" s="274" t="s">
        <v>2888</v>
      </c>
      <c r="J225" s="295" t="s">
        <v>71</v>
      </c>
      <c r="K225" s="274" t="s">
        <v>2885</v>
      </c>
      <c r="L225" s="265">
        <v>42878</v>
      </c>
      <c r="M225" s="263" t="s">
        <v>72</v>
      </c>
      <c r="N225" s="296">
        <v>34001</v>
      </c>
      <c r="O225" s="264" t="s">
        <v>1193</v>
      </c>
      <c r="P225" s="297"/>
      <c r="Q225" s="298"/>
      <c r="R225" s="299"/>
      <c r="S225" s="296">
        <v>0</v>
      </c>
      <c r="T225" s="296"/>
      <c r="U225" s="300"/>
      <c r="V225" s="52" t="str">
        <f t="shared" si="5"/>
        <v/>
      </c>
      <c r="W225" s="301" t="s">
        <v>117</v>
      </c>
      <c r="X225" s="302"/>
      <c r="Y225" s="301" t="s">
        <v>117</v>
      </c>
      <c r="Z225" s="296">
        <v>34001</v>
      </c>
      <c r="AA225" s="296">
        <v>34001</v>
      </c>
      <c r="AB225" s="239" t="s">
        <v>2260</v>
      </c>
      <c r="AC225" s="263" t="s">
        <v>2292</v>
      </c>
      <c r="AD225" s="263" t="s">
        <v>2840</v>
      </c>
      <c r="AE225" s="263" t="s">
        <v>2886</v>
      </c>
      <c r="AF225" s="263"/>
      <c r="AG225" s="274" t="s">
        <v>2889</v>
      </c>
      <c r="AH225" s="256"/>
    </row>
    <row r="226" spans="5:34" ht="26.1" customHeight="1">
      <c r="E226" s="293" t="s">
        <v>111</v>
      </c>
      <c r="F226" s="274" t="s">
        <v>2709</v>
      </c>
      <c r="G226" s="69" t="str">
        <f t="shared" si="4"/>
        <v>220-88-90822</v>
      </c>
      <c r="H226" s="294" t="s">
        <v>181</v>
      </c>
      <c r="I226" s="274" t="s">
        <v>2890</v>
      </c>
      <c r="J226" s="295" t="s">
        <v>71</v>
      </c>
      <c r="K226" s="274" t="s">
        <v>2824</v>
      </c>
      <c r="L226" s="265">
        <v>42879</v>
      </c>
      <c r="M226" s="263" t="s">
        <v>72</v>
      </c>
      <c r="N226" s="296">
        <v>63632</v>
      </c>
      <c r="O226" s="264" t="s">
        <v>1193</v>
      </c>
      <c r="P226" s="297"/>
      <c r="Q226" s="298"/>
      <c r="R226" s="299"/>
      <c r="S226" s="296">
        <v>0</v>
      </c>
      <c r="T226" s="296"/>
      <c r="U226" s="300"/>
      <c r="V226" s="52" t="str">
        <f t="shared" si="5"/>
        <v/>
      </c>
      <c r="W226" s="301" t="s">
        <v>117</v>
      </c>
      <c r="X226" s="302"/>
      <c r="Y226" s="301" t="s">
        <v>117</v>
      </c>
      <c r="Z226" s="296">
        <v>63632</v>
      </c>
      <c r="AA226" s="296">
        <v>63632</v>
      </c>
      <c r="AB226" s="239" t="s">
        <v>2260</v>
      </c>
      <c r="AC226" s="263" t="s">
        <v>2256</v>
      </c>
      <c r="AD226" s="263" t="s">
        <v>2830</v>
      </c>
      <c r="AE226" s="263" t="s">
        <v>2256</v>
      </c>
      <c r="AF226" s="263"/>
      <c r="AG226" s="274" t="s">
        <v>2891</v>
      </c>
      <c r="AH226" s="256"/>
    </row>
    <row r="227" spans="5:34" ht="26.1" customHeight="1">
      <c r="E227" s="293" t="s">
        <v>111</v>
      </c>
      <c r="F227" s="274" t="s">
        <v>2709</v>
      </c>
      <c r="G227" s="69" t="str">
        <f t="shared" si="4"/>
        <v>220-88-90822</v>
      </c>
      <c r="H227" s="294" t="s">
        <v>181</v>
      </c>
      <c r="I227" s="274" t="s">
        <v>2892</v>
      </c>
      <c r="J227" s="295" t="s">
        <v>71</v>
      </c>
      <c r="K227" s="274" t="s">
        <v>2885</v>
      </c>
      <c r="L227" s="265">
        <v>42843</v>
      </c>
      <c r="M227" s="263" t="s">
        <v>133</v>
      </c>
      <c r="N227" s="296">
        <v>64900</v>
      </c>
      <c r="O227" s="264" t="s">
        <v>1193</v>
      </c>
      <c r="P227" s="297"/>
      <c r="Q227" s="298"/>
      <c r="R227" s="299"/>
      <c r="S227" s="296">
        <v>0</v>
      </c>
      <c r="T227" s="296"/>
      <c r="U227" s="300"/>
      <c r="V227" s="52" t="str">
        <f t="shared" si="5"/>
        <v/>
      </c>
      <c r="W227" s="301" t="s">
        <v>117</v>
      </c>
      <c r="X227" s="302"/>
      <c r="Y227" s="301" t="s">
        <v>117</v>
      </c>
      <c r="Z227" s="296">
        <v>64900</v>
      </c>
      <c r="AA227" s="296">
        <v>64900</v>
      </c>
      <c r="AB227" s="239" t="s">
        <v>2260</v>
      </c>
      <c r="AC227" s="263" t="s">
        <v>2739</v>
      </c>
      <c r="AD227" s="263"/>
      <c r="AE227" s="263"/>
      <c r="AF227" s="263"/>
      <c r="AG227" s="274" t="s">
        <v>2893</v>
      </c>
      <c r="AH227" s="256"/>
    </row>
    <row r="228" spans="5:34" ht="26.1" customHeight="1">
      <c r="E228" s="293" t="s">
        <v>111</v>
      </c>
      <c r="F228" s="274" t="s">
        <v>2770</v>
      </c>
      <c r="G228" s="69" t="str">
        <f t="shared" si="4"/>
        <v>220-88-96976</v>
      </c>
      <c r="H228" s="294" t="s">
        <v>181</v>
      </c>
      <c r="I228" s="274" t="s">
        <v>2839</v>
      </c>
      <c r="J228" s="295" t="s">
        <v>71</v>
      </c>
      <c r="K228" s="274" t="s">
        <v>2136</v>
      </c>
      <c r="L228" s="265">
        <v>42062</v>
      </c>
      <c r="M228" s="263" t="s">
        <v>116</v>
      </c>
      <c r="N228" s="296">
        <v>27000</v>
      </c>
      <c r="O228" s="264" t="s">
        <v>132</v>
      </c>
      <c r="P228" s="297">
        <v>0.58899999999999997</v>
      </c>
      <c r="Q228" s="298"/>
      <c r="R228" s="299">
        <v>42501</v>
      </c>
      <c r="S228" s="296">
        <v>46013</v>
      </c>
      <c r="T228" s="296">
        <v>27000</v>
      </c>
      <c r="U228" s="300" t="s">
        <v>114</v>
      </c>
      <c r="V228" s="52">
        <f t="shared" si="5"/>
        <v>1.2027397260273973</v>
      </c>
      <c r="W228" s="301"/>
      <c r="X228" s="302"/>
      <c r="Y228" s="301"/>
      <c r="Z228" s="296"/>
      <c r="AA228" s="296"/>
      <c r="AB228" s="274"/>
      <c r="AC228" s="263"/>
      <c r="AD228" s="263" t="s">
        <v>2840</v>
      </c>
      <c r="AE228" s="263" t="s">
        <v>2841</v>
      </c>
      <c r="AF228" s="263" t="s">
        <v>2842</v>
      </c>
      <c r="AG228" s="274"/>
      <c r="AH228" s="256"/>
    </row>
    <row r="229" spans="5:34" ht="26.1" customHeight="1">
      <c r="E229" s="293" t="s">
        <v>111</v>
      </c>
      <c r="F229" s="274" t="s">
        <v>2774</v>
      </c>
      <c r="G229" s="69" t="str">
        <f t="shared" si="4"/>
        <v>318-86-00040</v>
      </c>
      <c r="H229" s="294" t="s">
        <v>181</v>
      </c>
      <c r="I229" s="274" t="s">
        <v>2792</v>
      </c>
      <c r="J229" s="295" t="s">
        <v>71</v>
      </c>
      <c r="K229" s="274" t="s">
        <v>2793</v>
      </c>
      <c r="L229" s="265">
        <v>42094</v>
      </c>
      <c r="M229" s="263" t="s">
        <v>72</v>
      </c>
      <c r="N229" s="296">
        <v>55649</v>
      </c>
      <c r="O229" s="264" t="s">
        <v>1192</v>
      </c>
      <c r="P229" s="297"/>
      <c r="Q229" s="298" t="s">
        <v>1602</v>
      </c>
      <c r="R229" s="299">
        <v>42733</v>
      </c>
      <c r="S229" s="296">
        <v>63126</v>
      </c>
      <c r="T229" s="296">
        <v>2</v>
      </c>
      <c r="U229" s="300" t="s">
        <v>137</v>
      </c>
      <c r="V229" s="52">
        <f t="shared" si="5"/>
        <v>1.7506849315068493</v>
      </c>
      <c r="W229" s="301" t="s">
        <v>117</v>
      </c>
      <c r="X229" s="302"/>
      <c r="Y229" s="301" t="s">
        <v>131</v>
      </c>
      <c r="Z229" s="296">
        <v>55647</v>
      </c>
      <c r="AA229" s="296">
        <v>169390</v>
      </c>
      <c r="AB229" s="274" t="s">
        <v>2815</v>
      </c>
      <c r="AC229" s="263" t="s">
        <v>2068</v>
      </c>
      <c r="AD229" s="263" t="s">
        <v>2840</v>
      </c>
      <c r="AE229" s="263" t="s">
        <v>2841</v>
      </c>
      <c r="AF229" s="263" t="s">
        <v>2841</v>
      </c>
      <c r="AG229" s="274" t="s">
        <v>2843</v>
      </c>
      <c r="AH229" s="256"/>
    </row>
    <row r="230" spans="5:34" ht="26.1" customHeight="1">
      <c r="E230" s="293" t="s">
        <v>111</v>
      </c>
      <c r="F230" s="274" t="s">
        <v>2777</v>
      </c>
      <c r="G230" s="69" t="str">
        <f t="shared" si="4"/>
        <v>817-87-00116</v>
      </c>
      <c r="H230" s="294" t="s">
        <v>181</v>
      </c>
      <c r="I230" s="274" t="s">
        <v>2087</v>
      </c>
      <c r="J230" s="295" t="s">
        <v>71</v>
      </c>
      <c r="K230" s="274" t="s">
        <v>2136</v>
      </c>
      <c r="L230" s="265">
        <v>42173</v>
      </c>
      <c r="M230" s="263" t="s">
        <v>72</v>
      </c>
      <c r="N230" s="296">
        <v>72277</v>
      </c>
      <c r="O230" s="264" t="s">
        <v>132</v>
      </c>
      <c r="P230" s="297">
        <v>0.624</v>
      </c>
      <c r="Q230" s="298"/>
      <c r="R230" s="299">
        <v>42984</v>
      </c>
      <c r="S230" s="296">
        <v>129241</v>
      </c>
      <c r="T230" s="296">
        <v>72277</v>
      </c>
      <c r="U230" s="300" t="s">
        <v>114</v>
      </c>
      <c r="V230" s="52">
        <f t="shared" si="5"/>
        <v>2.2219178082191782</v>
      </c>
      <c r="W230" s="301"/>
      <c r="X230" s="302"/>
      <c r="Y230" s="301"/>
      <c r="Z230" s="296"/>
      <c r="AA230" s="296"/>
      <c r="AB230" s="274"/>
      <c r="AC230" s="263"/>
      <c r="AD230" s="263" t="s">
        <v>2844</v>
      </c>
      <c r="AE230" s="263" t="s">
        <v>2292</v>
      </c>
      <c r="AF230" s="263" t="s">
        <v>2068</v>
      </c>
      <c r="AG230" s="274" t="s">
        <v>2845</v>
      </c>
      <c r="AH230" s="256"/>
    </row>
    <row r="231" spans="5:34" ht="26.1" customHeight="1">
      <c r="E231" s="248" t="s">
        <v>1185</v>
      </c>
      <c r="F231" s="239" t="s">
        <v>2025</v>
      </c>
      <c r="G231" s="69" t="str">
        <f t="shared" si="4"/>
        <v>309-80-00291</v>
      </c>
      <c r="H231" s="134" t="s">
        <v>3</v>
      </c>
      <c r="I231" s="239" t="s">
        <v>2267</v>
      </c>
      <c r="J231" s="51" t="s">
        <v>71</v>
      </c>
      <c r="K231" s="239" t="s">
        <v>2268</v>
      </c>
      <c r="L231" s="243">
        <v>42367</v>
      </c>
      <c r="M231" s="240" t="s">
        <v>133</v>
      </c>
      <c r="N231" s="31">
        <v>21711</v>
      </c>
      <c r="O231" s="70" t="s">
        <v>1192</v>
      </c>
      <c r="P231" s="71"/>
      <c r="Q231" s="55" t="s">
        <v>1602</v>
      </c>
      <c r="R231" s="23">
        <v>42822</v>
      </c>
      <c r="S231" s="31">
        <v>1085</v>
      </c>
      <c r="T231" s="31">
        <v>0</v>
      </c>
      <c r="U231" s="72" t="s">
        <v>137</v>
      </c>
      <c r="V231" s="52">
        <f t="shared" si="5"/>
        <v>1.2465753424657535</v>
      </c>
      <c r="W231" s="73" t="s">
        <v>117</v>
      </c>
      <c r="X231" s="174"/>
      <c r="Y231" s="73" t="s">
        <v>117</v>
      </c>
      <c r="Z231" s="31">
        <v>21711</v>
      </c>
      <c r="AA231" s="31">
        <v>18541</v>
      </c>
      <c r="AB231" s="239" t="s">
        <v>2260</v>
      </c>
      <c r="AC231" s="240" t="s">
        <v>2070</v>
      </c>
      <c r="AD231" s="240" t="s">
        <v>2272</v>
      </c>
      <c r="AE231" s="240" t="s">
        <v>2070</v>
      </c>
      <c r="AF231" s="240" t="s">
        <v>2070</v>
      </c>
      <c r="AG231" s="239" t="s">
        <v>2145</v>
      </c>
      <c r="AH231" s="256"/>
    </row>
    <row r="232" spans="5:34" ht="26.1" customHeight="1">
      <c r="E232" s="248" t="s">
        <v>1185</v>
      </c>
      <c r="F232" s="239" t="s">
        <v>2025</v>
      </c>
      <c r="G232" s="69" t="str">
        <f t="shared" si="4"/>
        <v>309-80-00291</v>
      </c>
      <c r="H232" s="134" t="s">
        <v>3</v>
      </c>
      <c r="I232" s="239" t="s">
        <v>2269</v>
      </c>
      <c r="J232" s="51" t="s">
        <v>71</v>
      </c>
      <c r="K232" s="239" t="s">
        <v>2133</v>
      </c>
      <c r="L232" s="243">
        <v>42367</v>
      </c>
      <c r="M232" s="240" t="s">
        <v>133</v>
      </c>
      <c r="N232" s="31">
        <v>3471</v>
      </c>
      <c r="O232" s="70" t="s">
        <v>1192</v>
      </c>
      <c r="P232" s="71"/>
      <c r="Q232" s="55" t="s">
        <v>1602</v>
      </c>
      <c r="R232" s="23">
        <v>42818</v>
      </c>
      <c r="S232" s="31">
        <v>170</v>
      </c>
      <c r="T232" s="31">
        <v>0</v>
      </c>
      <c r="U232" s="72" t="s">
        <v>137</v>
      </c>
      <c r="V232" s="52">
        <f t="shared" si="5"/>
        <v>1.2356164383561643</v>
      </c>
      <c r="W232" s="73" t="s">
        <v>117</v>
      </c>
      <c r="X232" s="174"/>
      <c r="Y232" s="73" t="s">
        <v>117</v>
      </c>
      <c r="Z232" s="31">
        <v>3471</v>
      </c>
      <c r="AA232" s="31">
        <v>3558</v>
      </c>
      <c r="AB232" s="239" t="s">
        <v>2260</v>
      </c>
      <c r="AC232" s="240" t="s">
        <v>2070</v>
      </c>
      <c r="AD232" s="240" t="s">
        <v>2272</v>
      </c>
      <c r="AE232" s="240" t="s">
        <v>2070</v>
      </c>
      <c r="AF232" s="240" t="s">
        <v>2070</v>
      </c>
      <c r="AG232" s="239" t="s">
        <v>2145</v>
      </c>
      <c r="AH232" s="256"/>
    </row>
    <row r="233" spans="5:34" ht="26.1" customHeight="1">
      <c r="E233" s="248" t="s">
        <v>1185</v>
      </c>
      <c r="F233" s="239" t="s">
        <v>2025</v>
      </c>
      <c r="G233" s="69" t="str">
        <f t="shared" si="4"/>
        <v>309-80-00291</v>
      </c>
      <c r="H233" s="134" t="s">
        <v>3</v>
      </c>
      <c r="I233" s="239" t="s">
        <v>2270</v>
      </c>
      <c r="J233" s="51" t="s">
        <v>71</v>
      </c>
      <c r="K233" s="239" t="s">
        <v>2133</v>
      </c>
      <c r="L233" s="243">
        <v>42367</v>
      </c>
      <c r="M233" s="240" t="s">
        <v>133</v>
      </c>
      <c r="N233" s="31">
        <v>1220</v>
      </c>
      <c r="O233" s="70" t="s">
        <v>1192</v>
      </c>
      <c r="P233" s="71"/>
      <c r="Q233" s="55" t="s">
        <v>1602</v>
      </c>
      <c r="R233" s="23">
        <v>42818</v>
      </c>
      <c r="S233" s="31">
        <v>65</v>
      </c>
      <c r="T233" s="31">
        <v>0</v>
      </c>
      <c r="U233" s="72" t="s">
        <v>137</v>
      </c>
      <c r="V233" s="52">
        <f t="shared" si="5"/>
        <v>1.2356164383561643</v>
      </c>
      <c r="W233" s="73" t="s">
        <v>117</v>
      </c>
      <c r="X233" s="174"/>
      <c r="Y233" s="73" t="s">
        <v>117</v>
      </c>
      <c r="Z233" s="31">
        <v>1220</v>
      </c>
      <c r="AA233" s="31">
        <v>1250</v>
      </c>
      <c r="AB233" s="239" t="s">
        <v>2260</v>
      </c>
      <c r="AC233" s="240" t="s">
        <v>2070</v>
      </c>
      <c r="AD233" s="240" t="s">
        <v>2272</v>
      </c>
      <c r="AE233" s="240" t="s">
        <v>2070</v>
      </c>
      <c r="AF233" s="240" t="s">
        <v>2070</v>
      </c>
      <c r="AG233" s="239" t="s">
        <v>2273</v>
      </c>
      <c r="AH233" s="256"/>
    </row>
    <row r="234" spans="5:34" ht="26.1" customHeight="1">
      <c r="E234" s="293" t="s">
        <v>111</v>
      </c>
      <c r="F234" s="274" t="s">
        <v>2779</v>
      </c>
      <c r="G234" s="69" t="str">
        <f t="shared" ref="G234:G274" si="6">IF(ISBLANK($F234),"",VLOOKUP($F234,제안사_펀드현황,3,FALSE))</f>
        <v>249-87-00455</v>
      </c>
      <c r="H234" s="294" t="s">
        <v>1249</v>
      </c>
      <c r="I234" s="274" t="s">
        <v>2846</v>
      </c>
      <c r="J234" s="295" t="s">
        <v>71</v>
      </c>
      <c r="K234" s="274" t="s">
        <v>2136</v>
      </c>
      <c r="L234" s="265">
        <v>42643</v>
      </c>
      <c r="M234" s="263" t="s">
        <v>72</v>
      </c>
      <c r="N234" s="296">
        <v>60168</v>
      </c>
      <c r="O234" s="264" t="s">
        <v>1192</v>
      </c>
      <c r="P234" s="297"/>
      <c r="Q234" s="298"/>
      <c r="R234" s="299">
        <v>42919</v>
      </c>
      <c r="S234" s="296">
        <v>1283</v>
      </c>
      <c r="T234" s="296">
        <v>0</v>
      </c>
      <c r="U234" s="300" t="s">
        <v>137</v>
      </c>
      <c r="V234" s="52">
        <f t="shared" ref="V234:V275" si="7">IF(ISBLANK(R234),"",DATEDIF(L234,R234,"d")/365)</f>
        <v>0.75616438356164384</v>
      </c>
      <c r="W234" s="301" t="s">
        <v>117</v>
      </c>
      <c r="X234" s="302"/>
      <c r="Y234" s="301" t="s">
        <v>117</v>
      </c>
      <c r="Z234" s="296">
        <v>60168</v>
      </c>
      <c r="AA234" s="296">
        <v>60168</v>
      </c>
      <c r="AB234" s="239" t="s">
        <v>2260</v>
      </c>
      <c r="AC234" s="263" t="s">
        <v>2068</v>
      </c>
      <c r="AD234" s="263" t="s">
        <v>2847</v>
      </c>
      <c r="AE234" s="263" t="s">
        <v>2848</v>
      </c>
      <c r="AF234" s="263" t="s">
        <v>2848</v>
      </c>
      <c r="AG234" s="274" t="s">
        <v>2849</v>
      </c>
      <c r="AH234" s="256"/>
    </row>
    <row r="235" spans="5:34" ht="26.1" customHeight="1">
      <c r="E235" s="293" t="s">
        <v>111</v>
      </c>
      <c r="F235" s="274" t="s">
        <v>2779</v>
      </c>
      <c r="G235" s="69" t="str">
        <f t="shared" si="6"/>
        <v>249-87-00455</v>
      </c>
      <c r="H235" s="294" t="s">
        <v>1249</v>
      </c>
      <c r="I235" s="274" t="s">
        <v>2850</v>
      </c>
      <c r="J235" s="295" t="s">
        <v>71</v>
      </c>
      <c r="K235" s="274" t="s">
        <v>2851</v>
      </c>
      <c r="L235" s="265">
        <v>42702</v>
      </c>
      <c r="M235" s="263" t="s">
        <v>72</v>
      </c>
      <c r="N235" s="296">
        <v>20943</v>
      </c>
      <c r="O235" s="264" t="s">
        <v>1192</v>
      </c>
      <c r="P235" s="297"/>
      <c r="Q235" s="298" t="s">
        <v>1602</v>
      </c>
      <c r="R235" s="299">
        <v>42830</v>
      </c>
      <c r="S235" s="296">
        <v>15</v>
      </c>
      <c r="T235" s="296">
        <v>0</v>
      </c>
      <c r="U235" s="300" t="s">
        <v>137</v>
      </c>
      <c r="V235" s="52">
        <f t="shared" si="7"/>
        <v>0.35068493150684932</v>
      </c>
      <c r="W235" s="301" t="s">
        <v>117</v>
      </c>
      <c r="X235" s="302"/>
      <c r="Y235" s="301" t="s">
        <v>117</v>
      </c>
      <c r="Z235" s="296">
        <v>20943</v>
      </c>
      <c r="AA235" s="296">
        <v>20943</v>
      </c>
      <c r="AB235" s="239" t="s">
        <v>2260</v>
      </c>
      <c r="AC235" s="263" t="s">
        <v>2070</v>
      </c>
      <c r="AD235" s="263" t="s">
        <v>2272</v>
      </c>
      <c r="AE235" s="263" t="s">
        <v>2070</v>
      </c>
      <c r="AF235" s="263" t="s">
        <v>2070</v>
      </c>
      <c r="AG235" s="274" t="s">
        <v>2852</v>
      </c>
      <c r="AH235" s="256"/>
    </row>
    <row r="236" spans="5:34" ht="26.1" customHeight="1">
      <c r="E236" s="293" t="s">
        <v>111</v>
      </c>
      <c r="F236" s="274" t="s">
        <v>2779</v>
      </c>
      <c r="G236" s="69" t="str">
        <f t="shared" si="6"/>
        <v>249-87-00455</v>
      </c>
      <c r="H236" s="294" t="s">
        <v>1249</v>
      </c>
      <c r="I236" s="274" t="s">
        <v>2832</v>
      </c>
      <c r="J236" s="295" t="s">
        <v>135</v>
      </c>
      <c r="K236" s="274" t="s">
        <v>2833</v>
      </c>
      <c r="L236" s="265">
        <v>42702</v>
      </c>
      <c r="M236" s="263" t="s">
        <v>72</v>
      </c>
      <c r="N236" s="296">
        <v>48212</v>
      </c>
      <c r="O236" s="264" t="s">
        <v>1192</v>
      </c>
      <c r="P236" s="297"/>
      <c r="Q236" s="298" t="s">
        <v>1602</v>
      </c>
      <c r="R236" s="299">
        <v>42815</v>
      </c>
      <c r="S236" s="296">
        <v>600</v>
      </c>
      <c r="T236" s="296">
        <v>0</v>
      </c>
      <c r="U236" s="300" t="s">
        <v>137</v>
      </c>
      <c r="V236" s="52">
        <f t="shared" si="7"/>
        <v>0.30958904109589042</v>
      </c>
      <c r="W236" s="301" t="s">
        <v>117</v>
      </c>
      <c r="X236" s="302"/>
      <c r="Y236" s="301" t="s">
        <v>117</v>
      </c>
      <c r="Z236" s="296">
        <v>48212</v>
      </c>
      <c r="AA236" s="296">
        <v>48212</v>
      </c>
      <c r="AB236" s="239" t="s">
        <v>2260</v>
      </c>
      <c r="AC236" s="263" t="s">
        <v>2292</v>
      </c>
      <c r="AD236" s="263" t="s">
        <v>2853</v>
      </c>
      <c r="AE236" s="263" t="s">
        <v>2835</v>
      </c>
      <c r="AF236" s="263" t="s">
        <v>2835</v>
      </c>
      <c r="AG236" s="274" t="s">
        <v>2854</v>
      </c>
      <c r="AH236" s="256"/>
    </row>
    <row r="237" spans="5:34" ht="26.1" customHeight="1">
      <c r="E237" s="293" t="s">
        <v>111</v>
      </c>
      <c r="F237" s="274" t="s">
        <v>2779</v>
      </c>
      <c r="G237" s="69" t="str">
        <f t="shared" si="6"/>
        <v>249-87-00455</v>
      </c>
      <c r="H237" s="294" t="s">
        <v>1249</v>
      </c>
      <c r="I237" s="274" t="s">
        <v>2855</v>
      </c>
      <c r="J237" s="295" t="s">
        <v>71</v>
      </c>
      <c r="K237" s="274" t="s">
        <v>2856</v>
      </c>
      <c r="L237" s="265">
        <v>42733</v>
      </c>
      <c r="M237" s="263" t="s">
        <v>133</v>
      </c>
      <c r="N237" s="296">
        <v>97594</v>
      </c>
      <c r="O237" s="264" t="s">
        <v>1193</v>
      </c>
      <c r="P237" s="297"/>
      <c r="Q237" s="298" t="s">
        <v>1602</v>
      </c>
      <c r="R237" s="299"/>
      <c r="S237" s="296">
        <v>0</v>
      </c>
      <c r="T237" s="296"/>
      <c r="U237" s="300"/>
      <c r="V237" s="52" t="str">
        <f t="shared" si="7"/>
        <v/>
      </c>
      <c r="W237" s="301" t="s">
        <v>117</v>
      </c>
      <c r="X237" s="302"/>
      <c r="Y237" s="301" t="s">
        <v>117</v>
      </c>
      <c r="Z237" s="296">
        <v>97594</v>
      </c>
      <c r="AA237" s="296">
        <v>97594</v>
      </c>
      <c r="AB237" s="239" t="s">
        <v>2260</v>
      </c>
      <c r="AC237" s="263" t="s">
        <v>2727</v>
      </c>
      <c r="AD237" s="263" t="s">
        <v>2857</v>
      </c>
      <c r="AE237" s="263" t="s">
        <v>2858</v>
      </c>
      <c r="AF237" s="263"/>
      <c r="AG237" s="274" t="s">
        <v>2859</v>
      </c>
      <c r="AH237" s="256"/>
    </row>
    <row r="238" spans="5:34" ht="26.1" customHeight="1">
      <c r="E238" s="293" t="s">
        <v>111</v>
      </c>
      <c r="F238" s="274" t="s">
        <v>2779</v>
      </c>
      <c r="G238" s="69" t="str">
        <f t="shared" si="6"/>
        <v>249-87-00455</v>
      </c>
      <c r="H238" s="294" t="s">
        <v>1249</v>
      </c>
      <c r="I238" s="274" t="s">
        <v>2962</v>
      </c>
      <c r="J238" s="295" t="s">
        <v>71</v>
      </c>
      <c r="K238" s="274" t="s">
        <v>2860</v>
      </c>
      <c r="L238" s="265">
        <v>42877</v>
      </c>
      <c r="M238" s="263" t="s">
        <v>72</v>
      </c>
      <c r="N238" s="296">
        <v>54025</v>
      </c>
      <c r="O238" s="264" t="s">
        <v>1193</v>
      </c>
      <c r="P238" s="297"/>
      <c r="Q238" s="298" t="s">
        <v>1602</v>
      </c>
      <c r="R238" s="299"/>
      <c r="S238" s="296">
        <v>0</v>
      </c>
      <c r="T238" s="296"/>
      <c r="U238" s="300"/>
      <c r="V238" s="52" t="str">
        <f t="shared" si="7"/>
        <v/>
      </c>
      <c r="W238" s="301" t="s">
        <v>117</v>
      </c>
      <c r="X238" s="302"/>
      <c r="Y238" s="301" t="s">
        <v>117</v>
      </c>
      <c r="Z238" s="296">
        <v>54025</v>
      </c>
      <c r="AA238" s="296">
        <v>54025</v>
      </c>
      <c r="AB238" s="239" t="s">
        <v>2260</v>
      </c>
      <c r="AC238" s="263" t="s">
        <v>2070</v>
      </c>
      <c r="AD238" s="263" t="s">
        <v>2861</v>
      </c>
      <c r="AE238" s="263" t="s">
        <v>2070</v>
      </c>
      <c r="AF238" s="263"/>
      <c r="AG238" s="274" t="s">
        <v>2862</v>
      </c>
      <c r="AH238" s="256"/>
    </row>
    <row r="239" spans="5:34" ht="26.1" customHeight="1">
      <c r="E239" s="293" t="s">
        <v>111</v>
      </c>
      <c r="F239" s="274" t="s">
        <v>2715</v>
      </c>
      <c r="G239" s="69" t="str">
        <f t="shared" si="6"/>
        <v>708-87-00333</v>
      </c>
      <c r="H239" s="294" t="s">
        <v>1249</v>
      </c>
      <c r="I239" s="274" t="s">
        <v>2863</v>
      </c>
      <c r="J239" s="295" t="s">
        <v>115</v>
      </c>
      <c r="K239" s="274" t="s">
        <v>2833</v>
      </c>
      <c r="L239" s="265">
        <v>42465</v>
      </c>
      <c r="M239" s="263" t="s">
        <v>72</v>
      </c>
      <c r="N239" s="296">
        <v>62831</v>
      </c>
      <c r="O239" s="264" t="s">
        <v>1192</v>
      </c>
      <c r="P239" s="297"/>
      <c r="Q239" s="298"/>
      <c r="R239" s="299">
        <v>42919</v>
      </c>
      <c r="S239" s="296">
        <v>6682</v>
      </c>
      <c r="T239" s="296">
        <v>1276</v>
      </c>
      <c r="U239" s="300" t="s">
        <v>137</v>
      </c>
      <c r="V239" s="52">
        <f t="shared" si="7"/>
        <v>1.2438356164383562</v>
      </c>
      <c r="W239" s="301" t="s">
        <v>117</v>
      </c>
      <c r="X239" s="302"/>
      <c r="Y239" s="301" t="s">
        <v>117</v>
      </c>
      <c r="Z239" s="296">
        <v>61555</v>
      </c>
      <c r="AA239" s="296">
        <v>61555</v>
      </c>
      <c r="AB239" s="239" t="s">
        <v>2260</v>
      </c>
      <c r="AC239" s="263" t="s">
        <v>2292</v>
      </c>
      <c r="AD239" s="263" t="s">
        <v>2864</v>
      </c>
      <c r="AE239" s="263" t="s">
        <v>2864</v>
      </c>
      <c r="AF239" s="263" t="s">
        <v>2864</v>
      </c>
      <c r="AG239" s="274" t="s">
        <v>2810</v>
      </c>
      <c r="AH239" s="256"/>
    </row>
    <row r="240" spans="5:34" ht="26.1" customHeight="1">
      <c r="E240" s="293" t="s">
        <v>111</v>
      </c>
      <c r="F240" s="274" t="s">
        <v>2719</v>
      </c>
      <c r="G240" s="69" t="str">
        <f t="shared" si="6"/>
        <v>469-86-00315</v>
      </c>
      <c r="H240" s="294" t="s">
        <v>1249</v>
      </c>
      <c r="I240" s="274" t="s">
        <v>2865</v>
      </c>
      <c r="J240" s="295" t="s">
        <v>71</v>
      </c>
      <c r="K240" s="274" t="s">
        <v>2824</v>
      </c>
      <c r="L240" s="265">
        <v>42503</v>
      </c>
      <c r="M240" s="263" t="s">
        <v>72</v>
      </c>
      <c r="N240" s="296">
        <v>140150</v>
      </c>
      <c r="O240" s="264" t="s">
        <v>1192</v>
      </c>
      <c r="P240" s="297"/>
      <c r="Q240" s="298"/>
      <c r="R240" s="299">
        <v>42873</v>
      </c>
      <c r="S240" s="296">
        <v>17789</v>
      </c>
      <c r="T240" s="296">
        <v>0</v>
      </c>
      <c r="U240" s="300" t="s">
        <v>137</v>
      </c>
      <c r="V240" s="52">
        <f t="shared" si="7"/>
        <v>1.0136986301369864</v>
      </c>
      <c r="W240" s="301" t="s">
        <v>117</v>
      </c>
      <c r="X240" s="302"/>
      <c r="Y240" s="301" t="s">
        <v>117</v>
      </c>
      <c r="Z240" s="296">
        <v>140150</v>
      </c>
      <c r="AA240" s="296">
        <v>140150</v>
      </c>
      <c r="AB240" s="239" t="s">
        <v>2260</v>
      </c>
      <c r="AC240" s="263" t="s">
        <v>2701</v>
      </c>
      <c r="AD240" s="263" t="s">
        <v>2866</v>
      </c>
      <c r="AE240" s="263" t="s">
        <v>2867</v>
      </c>
      <c r="AF240" s="263" t="s">
        <v>2867</v>
      </c>
      <c r="AG240" s="274" t="s">
        <v>2868</v>
      </c>
      <c r="AH240" s="256"/>
    </row>
    <row r="241" spans="5:34" ht="26.1" customHeight="1">
      <c r="E241" s="248" t="s">
        <v>1185</v>
      </c>
      <c r="F241" s="239" t="s">
        <v>2961</v>
      </c>
      <c r="G241" s="69" t="str">
        <f t="shared" si="6"/>
        <v>750-80-00446</v>
      </c>
      <c r="H241" s="134" t="s">
        <v>180</v>
      </c>
      <c r="I241" s="239" t="s">
        <v>2284</v>
      </c>
      <c r="J241" s="51" t="s">
        <v>71</v>
      </c>
      <c r="K241" s="239" t="s">
        <v>2136</v>
      </c>
      <c r="L241" s="243">
        <v>42528</v>
      </c>
      <c r="M241" s="240" t="s">
        <v>72</v>
      </c>
      <c r="N241" s="31">
        <v>2500</v>
      </c>
      <c r="O241" s="70" t="s">
        <v>1193</v>
      </c>
      <c r="P241" s="71"/>
      <c r="Q241" s="55"/>
      <c r="R241" s="23"/>
      <c r="S241" s="31"/>
      <c r="T241" s="31"/>
      <c r="U241" s="72"/>
      <c r="V241" s="52" t="str">
        <f t="shared" si="7"/>
        <v/>
      </c>
      <c r="W241" s="73" t="s">
        <v>117</v>
      </c>
      <c r="X241" s="174"/>
      <c r="Y241" s="73" t="s">
        <v>117</v>
      </c>
      <c r="Z241" s="31">
        <v>2500</v>
      </c>
      <c r="AA241" s="31">
        <v>2500</v>
      </c>
      <c r="AB241" s="239" t="s">
        <v>2260</v>
      </c>
      <c r="AC241" s="240" t="s">
        <v>2066</v>
      </c>
      <c r="AD241" s="240" t="s">
        <v>2071</v>
      </c>
      <c r="AE241" s="240" t="s">
        <v>2066</v>
      </c>
      <c r="AF241" s="240"/>
      <c r="AG241" s="239"/>
      <c r="AH241" s="256"/>
    </row>
    <row r="242" spans="5:34" ht="26.1" customHeight="1">
      <c r="E242" s="248" t="s">
        <v>1185</v>
      </c>
      <c r="F242" s="239" t="s">
        <v>2961</v>
      </c>
      <c r="G242" s="69" t="str">
        <f t="shared" si="6"/>
        <v>750-80-00446</v>
      </c>
      <c r="H242" s="134" t="s">
        <v>180</v>
      </c>
      <c r="I242" s="239" t="s">
        <v>2296</v>
      </c>
      <c r="J242" s="51" t="s">
        <v>71</v>
      </c>
      <c r="K242" s="239" t="s">
        <v>2105</v>
      </c>
      <c r="L242" s="243">
        <v>42545</v>
      </c>
      <c r="M242" s="240" t="s">
        <v>72</v>
      </c>
      <c r="N242" s="31">
        <v>2160</v>
      </c>
      <c r="O242" s="70" t="s">
        <v>1192</v>
      </c>
      <c r="P242" s="71"/>
      <c r="Q242" s="55"/>
      <c r="R242" s="23">
        <v>42842</v>
      </c>
      <c r="S242" s="31">
        <v>12</v>
      </c>
      <c r="T242" s="31">
        <v>0</v>
      </c>
      <c r="U242" s="72" t="s">
        <v>137</v>
      </c>
      <c r="V242" s="52">
        <f t="shared" si="7"/>
        <v>0.81369863013698629</v>
      </c>
      <c r="W242" s="73" t="s">
        <v>117</v>
      </c>
      <c r="X242" s="174"/>
      <c r="Y242" s="73" t="s">
        <v>131</v>
      </c>
      <c r="Z242" s="31">
        <v>2160</v>
      </c>
      <c r="AA242" s="31">
        <v>1716</v>
      </c>
      <c r="AB242" s="239" t="s">
        <v>2394</v>
      </c>
      <c r="AC242" s="240" t="s">
        <v>2066</v>
      </c>
      <c r="AD242" s="240" t="s">
        <v>2297</v>
      </c>
      <c r="AE242" s="240" t="s">
        <v>2970</v>
      </c>
      <c r="AF242" s="240" t="s">
        <v>2309</v>
      </c>
      <c r="AG242" s="239" t="s">
        <v>2605</v>
      </c>
      <c r="AH242" s="256"/>
    </row>
    <row r="243" spans="5:34" ht="26.1" customHeight="1">
      <c r="E243" s="248" t="s">
        <v>1185</v>
      </c>
      <c r="F243" s="239" t="s">
        <v>2961</v>
      </c>
      <c r="G243" s="69" t="str">
        <f t="shared" si="6"/>
        <v>750-80-00446</v>
      </c>
      <c r="H243" s="134" t="s">
        <v>180</v>
      </c>
      <c r="I243" s="239" t="s">
        <v>2298</v>
      </c>
      <c r="J243" s="51" t="s">
        <v>71</v>
      </c>
      <c r="K243" s="239" t="s">
        <v>2136</v>
      </c>
      <c r="L243" s="243">
        <v>42585</v>
      </c>
      <c r="M243" s="240" t="s">
        <v>72</v>
      </c>
      <c r="N243" s="31">
        <v>1500</v>
      </c>
      <c r="O243" s="70" t="s">
        <v>1193</v>
      </c>
      <c r="P243" s="71"/>
      <c r="Q243" s="55"/>
      <c r="R243" s="23"/>
      <c r="S243" s="31"/>
      <c r="T243" s="31"/>
      <c r="U243" s="72"/>
      <c r="V243" s="52" t="str">
        <f t="shared" si="7"/>
        <v/>
      </c>
      <c r="W243" s="73" t="s">
        <v>117</v>
      </c>
      <c r="X243" s="174"/>
      <c r="Y243" s="73" t="s">
        <v>117</v>
      </c>
      <c r="Z243" s="31">
        <v>1500</v>
      </c>
      <c r="AA243" s="31">
        <v>1500</v>
      </c>
      <c r="AB243" s="239" t="s">
        <v>2260</v>
      </c>
      <c r="AC243" s="240" t="s">
        <v>2066</v>
      </c>
      <c r="AD243" s="240" t="s">
        <v>2071</v>
      </c>
      <c r="AE243" s="240" t="s">
        <v>2066</v>
      </c>
      <c r="AF243" s="240"/>
      <c r="AG243" s="239"/>
      <c r="AH243" s="256"/>
    </row>
    <row r="244" spans="5:34" ht="26.1" customHeight="1">
      <c r="E244" s="248" t="s">
        <v>1185</v>
      </c>
      <c r="F244" s="239" t="s">
        <v>2961</v>
      </c>
      <c r="G244" s="69" t="str">
        <f t="shared" si="6"/>
        <v>750-80-00446</v>
      </c>
      <c r="H244" s="134" t="s">
        <v>180</v>
      </c>
      <c r="I244" s="239" t="s">
        <v>2299</v>
      </c>
      <c r="J244" s="51" t="s">
        <v>71</v>
      </c>
      <c r="K244" s="239" t="s">
        <v>2136</v>
      </c>
      <c r="L244" s="243">
        <v>42607</v>
      </c>
      <c r="M244" s="240" t="s">
        <v>72</v>
      </c>
      <c r="N244" s="31">
        <v>1000</v>
      </c>
      <c r="O244" s="70" t="s">
        <v>1193</v>
      </c>
      <c r="P244" s="71"/>
      <c r="Q244" s="55"/>
      <c r="R244" s="23"/>
      <c r="S244" s="31"/>
      <c r="T244" s="31"/>
      <c r="U244" s="72"/>
      <c r="V244" s="52" t="str">
        <f t="shared" si="7"/>
        <v/>
      </c>
      <c r="W244" s="73" t="s">
        <v>117</v>
      </c>
      <c r="X244" s="174"/>
      <c r="Y244" s="73" t="s">
        <v>131</v>
      </c>
      <c r="Z244" s="31">
        <v>1000</v>
      </c>
      <c r="AA244" s="31">
        <v>510</v>
      </c>
      <c r="AB244" s="239" t="s">
        <v>2395</v>
      </c>
      <c r="AC244" s="240" t="s">
        <v>2071</v>
      </c>
      <c r="AD244" s="240" t="s">
        <v>2253</v>
      </c>
      <c r="AE244" s="240" t="s">
        <v>2071</v>
      </c>
      <c r="AF244" s="240"/>
      <c r="AG244" s="239" t="s">
        <v>114</v>
      </c>
      <c r="AH244" s="256"/>
    </row>
    <row r="245" spans="5:34" ht="26.1" customHeight="1">
      <c r="E245" s="248" t="s">
        <v>1185</v>
      </c>
      <c r="F245" s="239" t="s">
        <v>2961</v>
      </c>
      <c r="G245" s="69" t="str">
        <f t="shared" si="6"/>
        <v>750-80-00446</v>
      </c>
      <c r="H245" s="134" t="s">
        <v>180</v>
      </c>
      <c r="I245" s="239" t="s">
        <v>2300</v>
      </c>
      <c r="J245" s="51" t="s">
        <v>71</v>
      </c>
      <c r="K245" s="239" t="s">
        <v>2136</v>
      </c>
      <c r="L245" s="243">
        <v>42607</v>
      </c>
      <c r="M245" s="240" t="s">
        <v>72</v>
      </c>
      <c r="N245" s="31">
        <v>1000</v>
      </c>
      <c r="O245" s="70" t="s">
        <v>1193</v>
      </c>
      <c r="P245" s="71"/>
      <c r="Q245" s="55"/>
      <c r="R245" s="23"/>
      <c r="S245" s="31"/>
      <c r="T245" s="31"/>
      <c r="U245" s="72"/>
      <c r="V245" s="52" t="str">
        <f t="shared" si="7"/>
        <v/>
      </c>
      <c r="W245" s="73" t="s">
        <v>117</v>
      </c>
      <c r="X245" s="174"/>
      <c r="Y245" s="73" t="s">
        <v>117</v>
      </c>
      <c r="Z245" s="31">
        <v>1000</v>
      </c>
      <c r="AA245" s="31">
        <v>1000</v>
      </c>
      <c r="AB245" s="239" t="s">
        <v>2260</v>
      </c>
      <c r="AC245" s="240" t="s">
        <v>2071</v>
      </c>
      <c r="AD245" s="240" t="s">
        <v>2253</v>
      </c>
      <c r="AE245" s="240" t="s">
        <v>2071</v>
      </c>
      <c r="AF245" s="240"/>
      <c r="AG245" s="239"/>
      <c r="AH245" s="256"/>
    </row>
    <row r="246" spans="5:34" ht="26.1" customHeight="1">
      <c r="E246" s="248" t="s">
        <v>1185</v>
      </c>
      <c r="F246" s="239" t="s">
        <v>2961</v>
      </c>
      <c r="G246" s="69" t="str">
        <f t="shared" si="6"/>
        <v>750-80-00446</v>
      </c>
      <c r="H246" s="134" t="s">
        <v>180</v>
      </c>
      <c r="I246" s="239" t="s">
        <v>2299</v>
      </c>
      <c r="J246" s="51" t="s">
        <v>71</v>
      </c>
      <c r="K246" s="239" t="s">
        <v>2136</v>
      </c>
      <c r="L246" s="243">
        <v>42620</v>
      </c>
      <c r="M246" s="240" t="s">
        <v>72</v>
      </c>
      <c r="N246" s="31">
        <v>1070</v>
      </c>
      <c r="O246" s="70" t="s">
        <v>1193</v>
      </c>
      <c r="P246" s="71"/>
      <c r="Q246" s="55"/>
      <c r="R246" s="23"/>
      <c r="S246" s="31"/>
      <c r="T246" s="31"/>
      <c r="U246" s="72"/>
      <c r="V246" s="52" t="str">
        <f t="shared" si="7"/>
        <v/>
      </c>
      <c r="W246" s="73" t="s">
        <v>117</v>
      </c>
      <c r="X246" s="174"/>
      <c r="Y246" s="73" t="s">
        <v>131</v>
      </c>
      <c r="Z246" s="31">
        <v>1070</v>
      </c>
      <c r="AA246" s="31">
        <v>510</v>
      </c>
      <c r="AB246" s="239" t="s">
        <v>2395</v>
      </c>
      <c r="AC246" s="240" t="s">
        <v>2071</v>
      </c>
      <c r="AD246" s="240" t="s">
        <v>2253</v>
      </c>
      <c r="AE246" s="240" t="s">
        <v>2071</v>
      </c>
      <c r="AF246" s="240"/>
      <c r="AG246" s="239" t="s">
        <v>114</v>
      </c>
      <c r="AH246" s="256"/>
    </row>
    <row r="247" spans="5:34" ht="26.1" customHeight="1">
      <c r="E247" s="248" t="s">
        <v>1185</v>
      </c>
      <c r="F247" s="239" t="s">
        <v>2961</v>
      </c>
      <c r="G247" s="69" t="str">
        <f t="shared" si="6"/>
        <v>750-80-00446</v>
      </c>
      <c r="H247" s="134" t="s">
        <v>180</v>
      </c>
      <c r="I247" s="239" t="s">
        <v>2291</v>
      </c>
      <c r="J247" s="51" t="s">
        <v>71</v>
      </c>
      <c r="K247" s="239" t="s">
        <v>2105</v>
      </c>
      <c r="L247" s="243">
        <v>42639</v>
      </c>
      <c r="M247" s="240" t="s">
        <v>72</v>
      </c>
      <c r="N247" s="31">
        <v>2564</v>
      </c>
      <c r="O247" s="70" t="s">
        <v>1192</v>
      </c>
      <c r="P247" s="71"/>
      <c r="Q247" s="55"/>
      <c r="R247" s="23">
        <v>42976</v>
      </c>
      <c r="S247" s="31">
        <v>470</v>
      </c>
      <c r="T247" s="31">
        <v>0</v>
      </c>
      <c r="U247" s="72" t="s">
        <v>137</v>
      </c>
      <c r="V247" s="52">
        <f t="shared" si="7"/>
        <v>0.92328767123287669</v>
      </c>
      <c r="W247" s="73" t="s">
        <v>117</v>
      </c>
      <c r="X247" s="174"/>
      <c r="Y247" s="73" t="s">
        <v>117</v>
      </c>
      <c r="Z247" s="31">
        <v>2564</v>
      </c>
      <c r="AA247" s="31">
        <v>2564</v>
      </c>
      <c r="AB247" s="239" t="s">
        <v>2260</v>
      </c>
      <c r="AC247" s="240" t="s">
        <v>2066</v>
      </c>
      <c r="AD247" s="240" t="s">
        <v>2253</v>
      </c>
      <c r="AE247" s="240" t="s">
        <v>2066</v>
      </c>
      <c r="AF247" s="240" t="s">
        <v>2275</v>
      </c>
      <c r="AG247" s="239" t="s">
        <v>2310</v>
      </c>
      <c r="AH247" s="256"/>
    </row>
    <row r="248" spans="5:34" ht="26.1" customHeight="1">
      <c r="E248" s="248" t="s">
        <v>1185</v>
      </c>
      <c r="F248" s="239" t="s">
        <v>2961</v>
      </c>
      <c r="G248" s="69" t="str">
        <f t="shared" si="6"/>
        <v>750-80-00446</v>
      </c>
      <c r="H248" s="134" t="s">
        <v>180</v>
      </c>
      <c r="I248" s="239" t="s">
        <v>2301</v>
      </c>
      <c r="J248" s="51" t="s">
        <v>71</v>
      </c>
      <c r="K248" s="239" t="s">
        <v>2133</v>
      </c>
      <c r="L248" s="243">
        <v>42682</v>
      </c>
      <c r="M248" s="240" t="s">
        <v>72</v>
      </c>
      <c r="N248" s="31">
        <v>1120</v>
      </c>
      <c r="O248" s="70" t="s">
        <v>1193</v>
      </c>
      <c r="P248" s="71"/>
      <c r="Q248" s="55"/>
      <c r="R248" s="23"/>
      <c r="S248" s="31"/>
      <c r="T248" s="31"/>
      <c r="U248" s="72"/>
      <c r="V248" s="52" t="str">
        <f t="shared" si="7"/>
        <v/>
      </c>
      <c r="W248" s="73" t="s">
        <v>117</v>
      </c>
      <c r="X248" s="174"/>
      <c r="Y248" s="73" t="s">
        <v>117</v>
      </c>
      <c r="Z248" s="31">
        <v>1120</v>
      </c>
      <c r="AA248" s="31">
        <v>1120</v>
      </c>
      <c r="AB248" s="239" t="s">
        <v>2260</v>
      </c>
      <c r="AC248" s="240" t="s">
        <v>2066</v>
      </c>
      <c r="AD248" s="240" t="s">
        <v>2070</v>
      </c>
      <c r="AE248" s="240" t="s">
        <v>2070</v>
      </c>
      <c r="AF248" s="240"/>
      <c r="AG248" s="239"/>
      <c r="AH248" s="256"/>
    </row>
    <row r="249" spans="5:34" ht="26.1" customHeight="1">
      <c r="E249" s="248" t="s">
        <v>1185</v>
      </c>
      <c r="F249" s="239" t="s">
        <v>2961</v>
      </c>
      <c r="G249" s="69" t="str">
        <f t="shared" si="6"/>
        <v>750-80-00446</v>
      </c>
      <c r="H249" s="134" t="s">
        <v>180</v>
      </c>
      <c r="I249" s="239" t="s">
        <v>2288</v>
      </c>
      <c r="J249" s="51" t="s">
        <v>71</v>
      </c>
      <c r="K249" s="239" t="s">
        <v>2195</v>
      </c>
      <c r="L249" s="243">
        <v>42690</v>
      </c>
      <c r="M249" s="240" t="s">
        <v>72</v>
      </c>
      <c r="N249" s="31">
        <v>3195</v>
      </c>
      <c r="O249" s="70" t="s">
        <v>1193</v>
      </c>
      <c r="P249" s="71"/>
      <c r="Q249" s="55"/>
      <c r="R249" s="23"/>
      <c r="S249" s="31"/>
      <c r="T249" s="31"/>
      <c r="U249" s="72"/>
      <c r="V249" s="52" t="str">
        <f t="shared" si="7"/>
        <v/>
      </c>
      <c r="W249" s="73" t="s">
        <v>117</v>
      </c>
      <c r="X249" s="174"/>
      <c r="Y249" s="73" t="s">
        <v>117</v>
      </c>
      <c r="Z249" s="31">
        <v>3195</v>
      </c>
      <c r="AA249" s="31">
        <v>7042</v>
      </c>
      <c r="AB249" s="239" t="s">
        <v>2398</v>
      </c>
      <c r="AC249" s="240" t="s">
        <v>2066</v>
      </c>
      <c r="AD249" s="240" t="s">
        <v>2297</v>
      </c>
      <c r="AE249" s="240" t="s">
        <v>2297</v>
      </c>
      <c r="AF249" s="240"/>
      <c r="AG249" s="239" t="s">
        <v>2602</v>
      </c>
      <c r="AH249" s="256"/>
    </row>
    <row r="250" spans="5:34" ht="26.1" customHeight="1">
      <c r="E250" s="248" t="s">
        <v>1185</v>
      </c>
      <c r="F250" s="239" t="s">
        <v>2961</v>
      </c>
      <c r="G250" s="69" t="str">
        <f t="shared" si="6"/>
        <v>750-80-00446</v>
      </c>
      <c r="H250" s="134" t="s">
        <v>180</v>
      </c>
      <c r="I250" s="239" t="s">
        <v>2302</v>
      </c>
      <c r="J250" s="51" t="s">
        <v>71</v>
      </c>
      <c r="K250" s="239" t="s">
        <v>2290</v>
      </c>
      <c r="L250" s="243">
        <v>42775</v>
      </c>
      <c r="M250" s="240" t="s">
        <v>2303</v>
      </c>
      <c r="N250" s="31">
        <v>700</v>
      </c>
      <c r="O250" s="70" t="s">
        <v>1193</v>
      </c>
      <c r="P250" s="71"/>
      <c r="Q250" s="55"/>
      <c r="R250" s="23"/>
      <c r="S250" s="31"/>
      <c r="T250" s="31"/>
      <c r="U250" s="72"/>
      <c r="V250" s="52" t="str">
        <f t="shared" si="7"/>
        <v/>
      </c>
      <c r="W250" s="73" t="s">
        <v>117</v>
      </c>
      <c r="X250" s="174"/>
      <c r="Y250" s="73" t="s">
        <v>117</v>
      </c>
      <c r="Z250" s="31">
        <v>700</v>
      </c>
      <c r="AA250" s="31">
        <v>700</v>
      </c>
      <c r="AB250" s="239" t="s">
        <v>2260</v>
      </c>
      <c r="AC250" s="240" t="s">
        <v>2070</v>
      </c>
      <c r="AD250" s="240" t="s">
        <v>2070</v>
      </c>
      <c r="AE250" s="240" t="s">
        <v>2070</v>
      </c>
      <c r="AF250" s="240"/>
      <c r="AG250" s="239"/>
      <c r="AH250" s="256"/>
    </row>
    <row r="251" spans="5:34" ht="26.1" customHeight="1">
      <c r="E251" s="248" t="s">
        <v>1185</v>
      </c>
      <c r="F251" s="239" t="s">
        <v>2961</v>
      </c>
      <c r="G251" s="69" t="str">
        <f t="shared" si="6"/>
        <v>750-80-00446</v>
      </c>
      <c r="H251" s="134" t="s">
        <v>180</v>
      </c>
      <c r="I251" s="239" t="s">
        <v>2304</v>
      </c>
      <c r="J251" s="51" t="s">
        <v>71</v>
      </c>
      <c r="K251" s="239" t="s">
        <v>2195</v>
      </c>
      <c r="L251" s="243">
        <v>42782</v>
      </c>
      <c r="M251" s="240" t="s">
        <v>72</v>
      </c>
      <c r="N251" s="31">
        <v>2012</v>
      </c>
      <c r="O251" s="70" t="s">
        <v>1193</v>
      </c>
      <c r="P251" s="71"/>
      <c r="Q251" s="55"/>
      <c r="R251" s="23"/>
      <c r="S251" s="31"/>
      <c r="T251" s="31"/>
      <c r="U251" s="72"/>
      <c r="V251" s="52" t="str">
        <f t="shared" si="7"/>
        <v/>
      </c>
      <c r="W251" s="73" t="s">
        <v>117</v>
      </c>
      <c r="X251" s="174"/>
      <c r="Y251" s="73" t="s">
        <v>117</v>
      </c>
      <c r="Z251" s="31">
        <v>2012</v>
      </c>
      <c r="AA251" s="31">
        <v>2012</v>
      </c>
      <c r="AB251" s="239" t="s">
        <v>2260</v>
      </c>
      <c r="AC251" s="240" t="s">
        <v>2066</v>
      </c>
      <c r="AD251" s="240" t="s">
        <v>2297</v>
      </c>
      <c r="AE251" s="240" t="s">
        <v>2297</v>
      </c>
      <c r="AF251" s="240"/>
      <c r="AG251" s="239"/>
      <c r="AH251" s="256"/>
    </row>
    <row r="252" spans="5:34" ht="26.1" customHeight="1">
      <c r="E252" s="248" t="s">
        <v>1185</v>
      </c>
      <c r="F252" s="239" t="s">
        <v>2961</v>
      </c>
      <c r="G252" s="69" t="str">
        <f t="shared" si="6"/>
        <v>750-80-00446</v>
      </c>
      <c r="H252" s="134" t="s">
        <v>180</v>
      </c>
      <c r="I252" s="239" t="s">
        <v>2305</v>
      </c>
      <c r="J252" s="51" t="s">
        <v>71</v>
      </c>
      <c r="K252" s="239" t="s">
        <v>2133</v>
      </c>
      <c r="L252" s="243">
        <v>42825</v>
      </c>
      <c r="M252" s="240" t="s">
        <v>72</v>
      </c>
      <c r="N252" s="31">
        <v>3000</v>
      </c>
      <c r="O252" s="70" t="s">
        <v>1193</v>
      </c>
      <c r="P252" s="71"/>
      <c r="Q252" s="55"/>
      <c r="R252" s="23"/>
      <c r="S252" s="31"/>
      <c r="T252" s="31"/>
      <c r="U252" s="72"/>
      <c r="V252" s="52" t="str">
        <f t="shared" si="7"/>
        <v/>
      </c>
      <c r="W252" s="73" t="s">
        <v>117</v>
      </c>
      <c r="X252" s="174"/>
      <c r="Y252" s="73" t="s">
        <v>117</v>
      </c>
      <c r="Z252" s="31">
        <v>3000</v>
      </c>
      <c r="AA252" s="31">
        <v>3000</v>
      </c>
      <c r="AB252" s="239" t="s">
        <v>2260</v>
      </c>
      <c r="AC252" s="240" t="s">
        <v>2067</v>
      </c>
      <c r="AD252" s="240" t="s">
        <v>2067</v>
      </c>
      <c r="AE252" s="240" t="s">
        <v>2067</v>
      </c>
      <c r="AF252" s="240"/>
      <c r="AG252" s="239"/>
      <c r="AH252" s="256"/>
    </row>
    <row r="253" spans="5:34" ht="26.1" customHeight="1">
      <c r="E253" s="248" t="s">
        <v>1185</v>
      </c>
      <c r="F253" s="239" t="s">
        <v>2961</v>
      </c>
      <c r="G253" s="69" t="str">
        <f t="shared" si="6"/>
        <v>750-80-00446</v>
      </c>
      <c r="H253" s="134" t="s">
        <v>180</v>
      </c>
      <c r="I253" s="239" t="s">
        <v>2306</v>
      </c>
      <c r="J253" s="51" t="s">
        <v>71</v>
      </c>
      <c r="K253" s="239" t="s">
        <v>2307</v>
      </c>
      <c r="L253" s="243">
        <v>42863</v>
      </c>
      <c r="M253" s="240" t="s">
        <v>72</v>
      </c>
      <c r="N253" s="31">
        <v>70</v>
      </c>
      <c r="O253" s="70" t="s">
        <v>132</v>
      </c>
      <c r="P253" s="71">
        <v>2.52</v>
      </c>
      <c r="Q253" s="55"/>
      <c r="R253" s="23">
        <v>42916</v>
      </c>
      <c r="S253" s="31">
        <v>83</v>
      </c>
      <c r="T253" s="31">
        <v>70</v>
      </c>
      <c r="U253" s="72" t="s">
        <v>134</v>
      </c>
      <c r="V253" s="52">
        <f t="shared" si="7"/>
        <v>0.14520547945205478</v>
      </c>
      <c r="W253" s="73"/>
      <c r="X253" s="174"/>
      <c r="Y253" s="73"/>
      <c r="Z253" s="31"/>
      <c r="AA253" s="31"/>
      <c r="AB253" s="239"/>
      <c r="AC253" s="240"/>
      <c r="AD253" s="240" t="s">
        <v>2275</v>
      </c>
      <c r="AE253" s="240" t="s">
        <v>2308</v>
      </c>
      <c r="AF253" s="240" t="s">
        <v>2309</v>
      </c>
      <c r="AG253" s="239"/>
      <c r="AH253" s="256"/>
    </row>
    <row r="254" spans="5:34" ht="26.1" customHeight="1">
      <c r="E254" s="248" t="s">
        <v>1185</v>
      </c>
      <c r="F254" s="239" t="s">
        <v>2029</v>
      </c>
      <c r="G254" s="69" t="str">
        <f t="shared" si="6"/>
        <v>113-80-15136</v>
      </c>
      <c r="H254" s="134" t="s">
        <v>3</v>
      </c>
      <c r="I254" s="239" t="s">
        <v>2630</v>
      </c>
      <c r="J254" s="51" t="s">
        <v>71</v>
      </c>
      <c r="K254" s="239" t="s">
        <v>2195</v>
      </c>
      <c r="L254" s="243">
        <v>42703</v>
      </c>
      <c r="M254" s="240" t="s">
        <v>133</v>
      </c>
      <c r="N254" s="31">
        <v>1300</v>
      </c>
      <c r="O254" s="70" t="s">
        <v>1193</v>
      </c>
      <c r="P254" s="71"/>
      <c r="Q254" s="55" t="s">
        <v>1602</v>
      </c>
      <c r="R254" s="23"/>
      <c r="S254" s="31"/>
      <c r="T254" s="31"/>
      <c r="U254" s="72"/>
      <c r="V254" s="52" t="str">
        <f t="shared" si="7"/>
        <v/>
      </c>
      <c r="W254" s="73" t="s">
        <v>117</v>
      </c>
      <c r="X254" s="174"/>
      <c r="Y254" s="73" t="s">
        <v>117</v>
      </c>
      <c r="Z254" s="31">
        <v>1300</v>
      </c>
      <c r="AA254" s="31">
        <v>1300</v>
      </c>
      <c r="AB254" s="239" t="s">
        <v>2260</v>
      </c>
      <c r="AC254" s="240" t="s">
        <v>2067</v>
      </c>
      <c r="AD254" s="240" t="s">
        <v>2274</v>
      </c>
      <c r="AE254" s="240" t="s">
        <v>2274</v>
      </c>
      <c r="AF254" s="240"/>
      <c r="AG254" s="239"/>
      <c r="AH254" s="256"/>
    </row>
    <row r="255" spans="5:34" ht="26.1" customHeight="1">
      <c r="E255" s="248" t="s">
        <v>1185</v>
      </c>
      <c r="F255" s="239" t="s">
        <v>2029</v>
      </c>
      <c r="G255" s="69" t="str">
        <f t="shared" si="6"/>
        <v>113-80-15136</v>
      </c>
      <c r="H255" s="134" t="s">
        <v>3</v>
      </c>
      <c r="I255" s="239" t="s">
        <v>2271</v>
      </c>
      <c r="J255" s="51" t="s">
        <v>71</v>
      </c>
      <c r="K255" s="239" t="s">
        <v>2311</v>
      </c>
      <c r="L255" s="243">
        <v>42713</v>
      </c>
      <c r="M255" s="240" t="s">
        <v>133</v>
      </c>
      <c r="N255" s="31">
        <v>4300</v>
      </c>
      <c r="O255" s="70" t="s">
        <v>1193</v>
      </c>
      <c r="P255" s="71"/>
      <c r="Q255" s="55" t="s">
        <v>1602</v>
      </c>
      <c r="R255" s="23"/>
      <c r="S255" s="31"/>
      <c r="T255" s="31"/>
      <c r="U255" s="72"/>
      <c r="V255" s="52" t="str">
        <f t="shared" si="7"/>
        <v/>
      </c>
      <c r="W255" s="73" t="s">
        <v>117</v>
      </c>
      <c r="X255" s="174"/>
      <c r="Y255" s="73" t="s">
        <v>117</v>
      </c>
      <c r="Z255" s="31">
        <v>4300</v>
      </c>
      <c r="AA255" s="31">
        <v>4300</v>
      </c>
      <c r="AB255" s="239" t="s">
        <v>2260</v>
      </c>
      <c r="AC255" s="240" t="s">
        <v>2067</v>
      </c>
      <c r="AD255" s="240" t="s">
        <v>2067</v>
      </c>
      <c r="AE255" s="240" t="s">
        <v>2067</v>
      </c>
      <c r="AF255" s="240"/>
      <c r="AG255" s="239"/>
      <c r="AH255" s="256"/>
    </row>
    <row r="256" spans="5:34" ht="26.1" customHeight="1">
      <c r="E256" s="248" t="s">
        <v>1185</v>
      </c>
      <c r="F256" s="239" t="s">
        <v>2029</v>
      </c>
      <c r="G256" s="69" t="str">
        <f t="shared" si="6"/>
        <v>113-80-15136</v>
      </c>
      <c r="H256" s="134" t="s">
        <v>3</v>
      </c>
      <c r="I256" s="239" t="s">
        <v>2312</v>
      </c>
      <c r="J256" s="51" t="s">
        <v>71</v>
      </c>
      <c r="K256" s="239" t="s">
        <v>2136</v>
      </c>
      <c r="L256" s="243">
        <v>42720</v>
      </c>
      <c r="M256" s="240" t="s">
        <v>133</v>
      </c>
      <c r="N256" s="31">
        <v>2368</v>
      </c>
      <c r="O256" s="70" t="s">
        <v>1193</v>
      </c>
      <c r="P256" s="71"/>
      <c r="Q256" s="55" t="s">
        <v>192</v>
      </c>
      <c r="R256" s="23"/>
      <c r="S256" s="31"/>
      <c r="T256" s="31"/>
      <c r="U256" s="72"/>
      <c r="V256" s="52" t="str">
        <f t="shared" si="7"/>
        <v/>
      </c>
      <c r="W256" s="73" t="s">
        <v>117</v>
      </c>
      <c r="X256" s="174"/>
      <c r="Y256" s="73" t="s">
        <v>117</v>
      </c>
      <c r="Z256" s="31">
        <v>2368</v>
      </c>
      <c r="AA256" s="31">
        <v>2368</v>
      </c>
      <c r="AB256" s="239" t="s">
        <v>2260</v>
      </c>
      <c r="AC256" s="240" t="s">
        <v>2058</v>
      </c>
      <c r="AD256" s="240" t="s">
        <v>2071</v>
      </c>
      <c r="AE256" s="240" t="s">
        <v>2071</v>
      </c>
      <c r="AF256" s="240"/>
      <c r="AG256" s="239"/>
      <c r="AH256" s="256"/>
    </row>
    <row r="257" spans="5:34" ht="26.1" customHeight="1">
      <c r="E257" s="248" t="s">
        <v>1185</v>
      </c>
      <c r="F257" s="239" t="s">
        <v>2029</v>
      </c>
      <c r="G257" s="69" t="str">
        <f t="shared" si="6"/>
        <v>113-80-15136</v>
      </c>
      <c r="H257" s="134" t="s">
        <v>3</v>
      </c>
      <c r="I257" s="239" t="s">
        <v>2631</v>
      </c>
      <c r="J257" s="51" t="s">
        <v>71</v>
      </c>
      <c r="K257" s="239" t="s">
        <v>2136</v>
      </c>
      <c r="L257" s="243">
        <v>42773</v>
      </c>
      <c r="M257" s="240" t="s">
        <v>133</v>
      </c>
      <c r="N257" s="31">
        <v>2004</v>
      </c>
      <c r="O257" s="70" t="s">
        <v>1193</v>
      </c>
      <c r="P257" s="71"/>
      <c r="Q257" s="55" t="s">
        <v>192</v>
      </c>
      <c r="R257" s="23"/>
      <c r="S257" s="31"/>
      <c r="T257" s="31"/>
      <c r="U257" s="72"/>
      <c r="V257" s="52" t="str">
        <f t="shared" si="7"/>
        <v/>
      </c>
      <c r="W257" s="73" t="s">
        <v>117</v>
      </c>
      <c r="X257" s="174"/>
      <c r="Y257" s="73" t="s">
        <v>117</v>
      </c>
      <c r="Z257" s="31">
        <v>2004</v>
      </c>
      <c r="AA257" s="31">
        <v>2004</v>
      </c>
      <c r="AB257" s="239" t="s">
        <v>2260</v>
      </c>
      <c r="AC257" s="240" t="s">
        <v>2067</v>
      </c>
      <c r="AD257" s="240" t="s">
        <v>2294</v>
      </c>
      <c r="AE257" s="240" t="s">
        <v>2071</v>
      </c>
      <c r="AF257" s="240"/>
      <c r="AG257" s="239"/>
      <c r="AH257" s="256"/>
    </row>
    <row r="258" spans="5:34" ht="26.1" customHeight="1">
      <c r="E258" s="248" t="s">
        <v>1185</v>
      </c>
      <c r="F258" s="239" t="s">
        <v>2029</v>
      </c>
      <c r="G258" s="69" t="str">
        <f t="shared" si="6"/>
        <v>113-80-15136</v>
      </c>
      <c r="H258" s="134" t="s">
        <v>3</v>
      </c>
      <c r="I258" s="239" t="s">
        <v>2313</v>
      </c>
      <c r="J258" s="51" t="s">
        <v>71</v>
      </c>
      <c r="K258" s="239" t="s">
        <v>2195</v>
      </c>
      <c r="L258" s="243">
        <v>42780</v>
      </c>
      <c r="M258" s="240" t="s">
        <v>133</v>
      </c>
      <c r="N258" s="31">
        <v>3714</v>
      </c>
      <c r="O258" s="70" t="s">
        <v>1193</v>
      </c>
      <c r="P258" s="71"/>
      <c r="Q258" s="55" t="s">
        <v>192</v>
      </c>
      <c r="R258" s="23"/>
      <c r="S258" s="31"/>
      <c r="T258" s="31"/>
      <c r="U258" s="72"/>
      <c r="V258" s="52" t="str">
        <f t="shared" si="7"/>
        <v/>
      </c>
      <c r="W258" s="73" t="s">
        <v>117</v>
      </c>
      <c r="X258" s="174"/>
      <c r="Y258" s="73" t="s">
        <v>117</v>
      </c>
      <c r="Z258" s="31">
        <v>3714</v>
      </c>
      <c r="AA258" s="31">
        <v>3714</v>
      </c>
      <c r="AB258" s="239" t="s">
        <v>2260</v>
      </c>
      <c r="AC258" s="240" t="s">
        <v>2067</v>
      </c>
      <c r="AD258" s="240" t="s">
        <v>2067</v>
      </c>
      <c r="AE258" s="240" t="s">
        <v>2067</v>
      </c>
      <c r="AF258" s="240"/>
      <c r="AG258" s="239"/>
      <c r="AH258" s="256"/>
    </row>
    <row r="259" spans="5:34" ht="26.1" customHeight="1">
      <c r="E259" s="248" t="s">
        <v>1185</v>
      </c>
      <c r="F259" s="239" t="s">
        <v>2029</v>
      </c>
      <c r="G259" s="69" t="str">
        <f t="shared" si="6"/>
        <v>113-80-15136</v>
      </c>
      <c r="H259" s="134" t="s">
        <v>3</v>
      </c>
      <c r="I259" s="239" t="s">
        <v>2313</v>
      </c>
      <c r="J259" s="51" t="s">
        <v>71</v>
      </c>
      <c r="K259" s="239" t="s">
        <v>2195</v>
      </c>
      <c r="L259" s="243">
        <v>42780</v>
      </c>
      <c r="M259" s="240" t="s">
        <v>72</v>
      </c>
      <c r="N259" s="31">
        <v>371</v>
      </c>
      <c r="O259" s="70" t="s">
        <v>1193</v>
      </c>
      <c r="P259" s="71"/>
      <c r="Q259" s="55" t="s">
        <v>192</v>
      </c>
      <c r="R259" s="23"/>
      <c r="S259" s="31"/>
      <c r="T259" s="31"/>
      <c r="U259" s="72"/>
      <c r="V259" s="52" t="str">
        <f t="shared" si="7"/>
        <v/>
      </c>
      <c r="W259" s="73" t="s">
        <v>117</v>
      </c>
      <c r="X259" s="174"/>
      <c r="Y259" s="73" t="s">
        <v>117</v>
      </c>
      <c r="Z259" s="31">
        <v>371</v>
      </c>
      <c r="AA259" s="31">
        <v>371</v>
      </c>
      <c r="AB259" s="239" t="s">
        <v>2260</v>
      </c>
      <c r="AC259" s="240" t="s">
        <v>2067</v>
      </c>
      <c r="AD259" s="240" t="s">
        <v>2067</v>
      </c>
      <c r="AE259" s="240" t="s">
        <v>2067</v>
      </c>
      <c r="AF259" s="240"/>
      <c r="AG259" s="239"/>
      <c r="AH259" s="256"/>
    </row>
    <row r="260" spans="5:34" ht="26.1" customHeight="1">
      <c r="E260" s="248" t="s">
        <v>1185</v>
      </c>
      <c r="F260" s="239" t="s">
        <v>2029</v>
      </c>
      <c r="G260" s="69" t="str">
        <f t="shared" si="6"/>
        <v>113-80-15136</v>
      </c>
      <c r="H260" s="134" t="s">
        <v>3</v>
      </c>
      <c r="I260" s="239" t="s">
        <v>2314</v>
      </c>
      <c r="J260" s="51" t="s">
        <v>71</v>
      </c>
      <c r="K260" s="239" t="s">
        <v>2311</v>
      </c>
      <c r="L260" s="243">
        <v>42794</v>
      </c>
      <c r="M260" s="240" t="s">
        <v>133</v>
      </c>
      <c r="N260" s="31">
        <v>1500</v>
      </c>
      <c r="O260" s="70" t="s">
        <v>1193</v>
      </c>
      <c r="P260" s="71"/>
      <c r="Q260" s="55" t="s">
        <v>192</v>
      </c>
      <c r="R260" s="23"/>
      <c r="S260" s="31"/>
      <c r="T260" s="31"/>
      <c r="U260" s="72"/>
      <c r="V260" s="52" t="str">
        <f t="shared" si="7"/>
        <v/>
      </c>
      <c r="W260" s="73" t="s">
        <v>117</v>
      </c>
      <c r="X260" s="174"/>
      <c r="Y260" s="73" t="s">
        <v>117</v>
      </c>
      <c r="Z260" s="31">
        <v>1500</v>
      </c>
      <c r="AA260" s="31">
        <v>1500</v>
      </c>
      <c r="AB260" s="239" t="s">
        <v>2260</v>
      </c>
      <c r="AC260" s="240" t="s">
        <v>2071</v>
      </c>
      <c r="AD260" s="240" t="s">
        <v>2317</v>
      </c>
      <c r="AE260" s="240" t="s">
        <v>2317</v>
      </c>
      <c r="AF260" s="240"/>
      <c r="AG260" s="239"/>
      <c r="AH260" s="256"/>
    </row>
    <row r="261" spans="5:34" ht="26.1" customHeight="1">
      <c r="E261" s="248" t="s">
        <v>1185</v>
      </c>
      <c r="F261" s="239" t="s">
        <v>2029</v>
      </c>
      <c r="G261" s="69" t="str">
        <f t="shared" si="6"/>
        <v>113-80-15136</v>
      </c>
      <c r="H261" s="134" t="s">
        <v>3</v>
      </c>
      <c r="I261" s="239" t="s">
        <v>2315</v>
      </c>
      <c r="J261" s="51" t="s">
        <v>71</v>
      </c>
      <c r="K261" s="239" t="s">
        <v>2311</v>
      </c>
      <c r="L261" s="243">
        <v>42804</v>
      </c>
      <c r="M261" s="240" t="s">
        <v>133</v>
      </c>
      <c r="N261" s="31">
        <v>1001</v>
      </c>
      <c r="O261" s="70" t="s">
        <v>1193</v>
      </c>
      <c r="P261" s="71"/>
      <c r="Q261" s="55"/>
      <c r="R261" s="23"/>
      <c r="S261" s="31"/>
      <c r="T261" s="31"/>
      <c r="U261" s="72"/>
      <c r="V261" s="52" t="str">
        <f t="shared" si="7"/>
        <v/>
      </c>
      <c r="W261" s="73" t="s">
        <v>117</v>
      </c>
      <c r="X261" s="174"/>
      <c r="Y261" s="73" t="s">
        <v>117</v>
      </c>
      <c r="Z261" s="31">
        <v>1001</v>
      </c>
      <c r="AA261" s="31">
        <v>1001</v>
      </c>
      <c r="AB261" s="239" t="s">
        <v>2260</v>
      </c>
      <c r="AC261" s="240" t="s">
        <v>2258</v>
      </c>
      <c r="AD261" s="240" t="s">
        <v>2258</v>
      </c>
      <c r="AE261" s="240" t="s">
        <v>2258</v>
      </c>
      <c r="AF261" s="240"/>
      <c r="AG261" s="239"/>
      <c r="AH261" s="256"/>
    </row>
    <row r="262" spans="5:34" ht="26.1" customHeight="1">
      <c r="E262" s="248" t="s">
        <v>1185</v>
      </c>
      <c r="F262" s="239" t="s">
        <v>2029</v>
      </c>
      <c r="G262" s="69" t="str">
        <f t="shared" si="6"/>
        <v>113-80-15136</v>
      </c>
      <c r="H262" s="134" t="s">
        <v>3</v>
      </c>
      <c r="I262" s="239" t="s">
        <v>2316</v>
      </c>
      <c r="J262" s="51" t="s">
        <v>71</v>
      </c>
      <c r="K262" s="239" t="s">
        <v>2105</v>
      </c>
      <c r="L262" s="243">
        <v>42829</v>
      </c>
      <c r="M262" s="240" t="s">
        <v>72</v>
      </c>
      <c r="N262" s="31">
        <v>2200</v>
      </c>
      <c r="O262" s="70" t="s">
        <v>1193</v>
      </c>
      <c r="P262" s="71"/>
      <c r="Q262" s="55"/>
      <c r="R262" s="23"/>
      <c r="S262" s="31"/>
      <c r="T262" s="31"/>
      <c r="U262" s="72"/>
      <c r="V262" s="52" t="str">
        <f t="shared" si="7"/>
        <v/>
      </c>
      <c r="W262" s="73" t="s">
        <v>117</v>
      </c>
      <c r="X262" s="174"/>
      <c r="Y262" s="73" t="s">
        <v>131</v>
      </c>
      <c r="Z262" s="31">
        <v>2200</v>
      </c>
      <c r="AA262" s="31">
        <v>2910</v>
      </c>
      <c r="AB262" s="239" t="s">
        <v>2396</v>
      </c>
      <c r="AC262" s="240" t="s">
        <v>2058</v>
      </c>
      <c r="AD262" s="240" t="s">
        <v>2399</v>
      </c>
      <c r="AE262" s="240" t="s">
        <v>2399</v>
      </c>
      <c r="AF262" s="240"/>
      <c r="AG262" s="239" t="s">
        <v>114</v>
      </c>
      <c r="AH262" s="256"/>
    </row>
    <row r="263" spans="5:34" ht="26.1" customHeight="1">
      <c r="E263" s="248" t="s">
        <v>1185</v>
      </c>
      <c r="F263" s="239" t="s">
        <v>2029</v>
      </c>
      <c r="G263" s="69" t="str">
        <f t="shared" si="6"/>
        <v>113-80-15136</v>
      </c>
      <c r="H263" s="134" t="s">
        <v>3</v>
      </c>
      <c r="I263" s="239" t="s">
        <v>2318</v>
      </c>
      <c r="J263" s="51" t="s">
        <v>71</v>
      </c>
      <c r="K263" s="239"/>
      <c r="L263" s="243">
        <v>42894</v>
      </c>
      <c r="M263" s="240" t="s">
        <v>133</v>
      </c>
      <c r="N263" s="31">
        <v>1500</v>
      </c>
      <c r="O263" s="70" t="s">
        <v>1193</v>
      </c>
      <c r="P263" s="71"/>
      <c r="Q263" s="55"/>
      <c r="R263" s="23"/>
      <c r="S263" s="31"/>
      <c r="T263" s="31"/>
      <c r="U263" s="72"/>
      <c r="V263" s="52" t="str">
        <f t="shared" si="7"/>
        <v/>
      </c>
      <c r="W263" s="73" t="s">
        <v>117</v>
      </c>
      <c r="X263" s="174"/>
      <c r="Y263" s="73" t="s">
        <v>117</v>
      </c>
      <c r="Z263" s="31">
        <v>1500</v>
      </c>
      <c r="AA263" s="31">
        <v>1500</v>
      </c>
      <c r="AB263" s="239" t="s">
        <v>2125</v>
      </c>
      <c r="AC263" s="240" t="s">
        <v>2322</v>
      </c>
      <c r="AD263" s="240" t="s">
        <v>2400</v>
      </c>
      <c r="AE263" s="240" t="s">
        <v>2399</v>
      </c>
      <c r="AF263" s="240"/>
      <c r="AG263" s="239"/>
      <c r="AH263" s="256"/>
    </row>
    <row r="264" spans="5:34" ht="26.1" customHeight="1">
      <c r="E264" s="248" t="s">
        <v>1185</v>
      </c>
      <c r="F264" s="239" t="s">
        <v>2029</v>
      </c>
      <c r="G264" s="69" t="str">
        <f t="shared" si="6"/>
        <v>113-80-15136</v>
      </c>
      <c r="H264" s="134" t="s">
        <v>3</v>
      </c>
      <c r="I264" s="239" t="s">
        <v>2319</v>
      </c>
      <c r="J264" s="51" t="s">
        <v>71</v>
      </c>
      <c r="K264" s="239"/>
      <c r="L264" s="243">
        <v>42914</v>
      </c>
      <c r="M264" s="240" t="s">
        <v>133</v>
      </c>
      <c r="N264" s="31">
        <v>2000</v>
      </c>
      <c r="O264" s="70" t="s">
        <v>1193</v>
      </c>
      <c r="P264" s="71"/>
      <c r="Q264" s="55" t="s">
        <v>192</v>
      </c>
      <c r="R264" s="23"/>
      <c r="S264" s="31"/>
      <c r="T264" s="31"/>
      <c r="U264" s="72"/>
      <c r="V264" s="52" t="str">
        <f t="shared" si="7"/>
        <v/>
      </c>
      <c r="W264" s="73" t="s">
        <v>117</v>
      </c>
      <c r="X264" s="174"/>
      <c r="Y264" s="73" t="s">
        <v>117</v>
      </c>
      <c r="Z264" s="31">
        <v>2000</v>
      </c>
      <c r="AA264" s="31">
        <v>2000</v>
      </c>
      <c r="AB264" s="239" t="s">
        <v>2260</v>
      </c>
      <c r="AC264" s="240" t="s">
        <v>2261</v>
      </c>
      <c r="AD264" s="240" t="s">
        <v>2261</v>
      </c>
      <c r="AE264" s="240" t="s">
        <v>2261</v>
      </c>
      <c r="AF264" s="240"/>
      <c r="AG264" s="239"/>
      <c r="AH264" s="256"/>
    </row>
    <row r="265" spans="5:34" ht="26.1" customHeight="1">
      <c r="E265" s="248" t="s">
        <v>1185</v>
      </c>
      <c r="F265" s="239" t="s">
        <v>2029</v>
      </c>
      <c r="G265" s="69" t="str">
        <f t="shared" si="6"/>
        <v>113-80-15136</v>
      </c>
      <c r="H265" s="134" t="s">
        <v>3</v>
      </c>
      <c r="I265" s="239" t="s">
        <v>2320</v>
      </c>
      <c r="J265" s="51" t="s">
        <v>71</v>
      </c>
      <c r="K265" s="239"/>
      <c r="L265" s="243">
        <v>42919</v>
      </c>
      <c r="M265" s="240" t="s">
        <v>133</v>
      </c>
      <c r="N265" s="31">
        <v>1500</v>
      </c>
      <c r="O265" s="70" t="s">
        <v>1193</v>
      </c>
      <c r="P265" s="71"/>
      <c r="Q265" s="55" t="s">
        <v>192</v>
      </c>
      <c r="R265" s="23"/>
      <c r="S265" s="31"/>
      <c r="T265" s="31"/>
      <c r="U265" s="72"/>
      <c r="V265" s="52" t="str">
        <f t="shared" si="7"/>
        <v/>
      </c>
      <c r="W265" s="73" t="s">
        <v>117</v>
      </c>
      <c r="X265" s="174"/>
      <c r="Y265" s="73" t="s">
        <v>117</v>
      </c>
      <c r="Z265" s="31">
        <v>1500</v>
      </c>
      <c r="AA265" s="31">
        <v>1500</v>
      </c>
      <c r="AB265" s="239" t="s">
        <v>2260</v>
      </c>
      <c r="AC265" s="240" t="s">
        <v>2323</v>
      </c>
      <c r="AD265" s="240" t="s">
        <v>2323</v>
      </c>
      <c r="AE265" s="240" t="s">
        <v>2323</v>
      </c>
      <c r="AF265" s="240"/>
      <c r="AG265" s="239"/>
      <c r="AH265" s="256"/>
    </row>
    <row r="266" spans="5:34" ht="26.1" customHeight="1">
      <c r="E266" s="248" t="s">
        <v>1185</v>
      </c>
      <c r="F266" s="239" t="s">
        <v>2029</v>
      </c>
      <c r="G266" s="69" t="str">
        <f t="shared" si="6"/>
        <v>113-80-15136</v>
      </c>
      <c r="H266" s="134" t="s">
        <v>3</v>
      </c>
      <c r="I266" s="239" t="s">
        <v>2321</v>
      </c>
      <c r="J266" s="51" t="s">
        <v>71</v>
      </c>
      <c r="K266" s="239"/>
      <c r="L266" s="243">
        <v>42977</v>
      </c>
      <c r="M266" s="240" t="s">
        <v>133</v>
      </c>
      <c r="N266" s="31">
        <v>1500</v>
      </c>
      <c r="O266" s="70" t="s">
        <v>1193</v>
      </c>
      <c r="P266" s="71"/>
      <c r="Q266" s="55"/>
      <c r="R266" s="23"/>
      <c r="S266" s="31"/>
      <c r="T266" s="31"/>
      <c r="U266" s="72"/>
      <c r="V266" s="52" t="str">
        <f t="shared" si="7"/>
        <v/>
      </c>
      <c r="W266" s="73" t="s">
        <v>117</v>
      </c>
      <c r="X266" s="174"/>
      <c r="Y266" s="73" t="s">
        <v>117</v>
      </c>
      <c r="Z266" s="31">
        <v>1500</v>
      </c>
      <c r="AA266" s="31">
        <v>1500</v>
      </c>
      <c r="AB266" s="239" t="s">
        <v>2260</v>
      </c>
      <c r="AC266" s="240" t="s">
        <v>2323</v>
      </c>
      <c r="AD266" s="240" t="s">
        <v>2323</v>
      </c>
      <c r="AE266" s="240" t="s">
        <v>2323</v>
      </c>
      <c r="AF266" s="240"/>
      <c r="AG266" s="239"/>
      <c r="AH266" s="256"/>
    </row>
    <row r="267" spans="5:34" ht="26.1" customHeight="1">
      <c r="E267" s="248" t="s">
        <v>111</v>
      </c>
      <c r="F267" s="239" t="s">
        <v>2783</v>
      </c>
      <c r="G267" s="69" t="str">
        <f t="shared" si="6"/>
        <v>118-88-00497</v>
      </c>
      <c r="H267" s="134" t="s">
        <v>1249</v>
      </c>
      <c r="I267" s="239" t="s">
        <v>2850</v>
      </c>
      <c r="J267" s="51" t="s">
        <v>71</v>
      </c>
      <c r="K267" s="239" t="s">
        <v>2851</v>
      </c>
      <c r="L267" s="243">
        <v>42702</v>
      </c>
      <c r="M267" s="240" t="s">
        <v>72</v>
      </c>
      <c r="N267" s="31">
        <v>9100</v>
      </c>
      <c r="O267" s="70" t="s">
        <v>1192</v>
      </c>
      <c r="P267" s="71"/>
      <c r="Q267" s="55" t="s">
        <v>1602</v>
      </c>
      <c r="R267" s="23">
        <v>42830</v>
      </c>
      <c r="S267" s="31">
        <v>7</v>
      </c>
      <c r="T267" s="31"/>
      <c r="U267" s="72" t="s">
        <v>137</v>
      </c>
      <c r="V267" s="52">
        <f t="shared" si="7"/>
        <v>0.35068493150684932</v>
      </c>
      <c r="W267" s="73" t="s">
        <v>117</v>
      </c>
      <c r="X267" s="174"/>
      <c r="Y267" s="73" t="s">
        <v>117</v>
      </c>
      <c r="Z267" s="31">
        <v>9100</v>
      </c>
      <c r="AA267" s="31">
        <v>9100</v>
      </c>
      <c r="AB267" s="239" t="s">
        <v>2260</v>
      </c>
      <c r="AC267" s="240" t="s">
        <v>2070</v>
      </c>
      <c r="AD267" s="240" t="s">
        <v>2272</v>
      </c>
      <c r="AE267" s="240" t="s">
        <v>2070</v>
      </c>
      <c r="AF267" s="240" t="s">
        <v>2070</v>
      </c>
      <c r="AG267" s="239" t="s">
        <v>2852</v>
      </c>
      <c r="AH267" s="256"/>
    </row>
    <row r="268" spans="5:34" ht="26.1" customHeight="1">
      <c r="E268" s="248" t="s">
        <v>111</v>
      </c>
      <c r="F268" s="239" t="s">
        <v>2783</v>
      </c>
      <c r="G268" s="69" t="str">
        <f t="shared" si="6"/>
        <v>118-88-00497</v>
      </c>
      <c r="H268" s="134" t="s">
        <v>1249</v>
      </c>
      <c r="I268" s="239" t="s">
        <v>2832</v>
      </c>
      <c r="J268" s="51" t="s">
        <v>135</v>
      </c>
      <c r="K268" s="239" t="s">
        <v>2833</v>
      </c>
      <c r="L268" s="243">
        <v>42702</v>
      </c>
      <c r="M268" s="240" t="s">
        <v>72</v>
      </c>
      <c r="N268" s="31">
        <v>20949</v>
      </c>
      <c r="O268" s="70" t="s">
        <v>1192</v>
      </c>
      <c r="P268" s="71"/>
      <c r="Q268" s="55" t="s">
        <v>1602</v>
      </c>
      <c r="R268" s="23">
        <v>42815</v>
      </c>
      <c r="S268" s="31">
        <v>260</v>
      </c>
      <c r="T268" s="31"/>
      <c r="U268" s="72" t="s">
        <v>137</v>
      </c>
      <c r="V268" s="52">
        <f t="shared" si="7"/>
        <v>0.30958904109589042</v>
      </c>
      <c r="W268" s="73" t="s">
        <v>117</v>
      </c>
      <c r="X268" s="174"/>
      <c r="Y268" s="73" t="s">
        <v>117</v>
      </c>
      <c r="Z268" s="31">
        <v>20949</v>
      </c>
      <c r="AA268" s="31">
        <v>20949</v>
      </c>
      <c r="AB268" s="239" t="s">
        <v>2260</v>
      </c>
      <c r="AC268" s="240" t="s">
        <v>2292</v>
      </c>
      <c r="AD268" s="240" t="s">
        <v>2853</v>
      </c>
      <c r="AE268" s="240" t="s">
        <v>2835</v>
      </c>
      <c r="AF268" s="240" t="s">
        <v>2835</v>
      </c>
      <c r="AG268" s="239" t="s">
        <v>2854</v>
      </c>
      <c r="AH268" s="256"/>
    </row>
    <row r="269" spans="5:34" ht="26.1" customHeight="1">
      <c r="E269" s="248" t="s">
        <v>111</v>
      </c>
      <c r="F269" s="239" t="s">
        <v>2783</v>
      </c>
      <c r="G269" s="69" t="str">
        <f t="shared" si="6"/>
        <v>118-88-00497</v>
      </c>
      <c r="H269" s="134" t="s">
        <v>1249</v>
      </c>
      <c r="I269" s="239" t="s">
        <v>2855</v>
      </c>
      <c r="J269" s="51" t="s">
        <v>71</v>
      </c>
      <c r="K269" s="239" t="s">
        <v>2856</v>
      </c>
      <c r="L269" s="243">
        <v>42733</v>
      </c>
      <c r="M269" s="240" t="s">
        <v>133</v>
      </c>
      <c r="N269" s="31">
        <v>42406</v>
      </c>
      <c r="O269" s="70" t="s">
        <v>1193</v>
      </c>
      <c r="P269" s="71"/>
      <c r="Q269" s="55" t="s">
        <v>1602</v>
      </c>
      <c r="R269" s="23"/>
      <c r="S269" s="31">
        <v>0</v>
      </c>
      <c r="T269" s="31"/>
      <c r="U269" s="72"/>
      <c r="V269" s="52" t="str">
        <f t="shared" si="7"/>
        <v/>
      </c>
      <c r="W269" s="73" t="s">
        <v>117</v>
      </c>
      <c r="X269" s="174"/>
      <c r="Y269" s="73" t="s">
        <v>117</v>
      </c>
      <c r="Z269" s="31">
        <v>42406</v>
      </c>
      <c r="AA269" s="31">
        <v>42406</v>
      </c>
      <c r="AB269" s="239" t="s">
        <v>2260</v>
      </c>
      <c r="AC269" s="240" t="s">
        <v>2727</v>
      </c>
      <c r="AD269" s="240" t="s">
        <v>2857</v>
      </c>
      <c r="AE269" s="240" t="s">
        <v>2858</v>
      </c>
      <c r="AF269" s="240"/>
      <c r="AG269" s="239" t="s">
        <v>2859</v>
      </c>
      <c r="AH269" s="256"/>
    </row>
    <row r="270" spans="5:34" ht="26.1" customHeight="1">
      <c r="E270" s="248" t="s">
        <v>111</v>
      </c>
      <c r="F270" s="239" t="s">
        <v>2783</v>
      </c>
      <c r="G270" s="69" t="str">
        <f t="shared" si="6"/>
        <v>118-88-00497</v>
      </c>
      <c r="H270" s="134" t="s">
        <v>1249</v>
      </c>
      <c r="I270" s="274" t="s">
        <v>2962</v>
      </c>
      <c r="J270" s="51" t="s">
        <v>71</v>
      </c>
      <c r="K270" s="239" t="s">
        <v>2860</v>
      </c>
      <c r="L270" s="243">
        <v>42877</v>
      </c>
      <c r="M270" s="240" t="s">
        <v>72</v>
      </c>
      <c r="N270" s="31">
        <v>23475</v>
      </c>
      <c r="O270" s="70" t="s">
        <v>1193</v>
      </c>
      <c r="P270" s="71"/>
      <c r="Q270" s="55" t="s">
        <v>1602</v>
      </c>
      <c r="R270" s="23"/>
      <c r="S270" s="31">
        <v>0</v>
      </c>
      <c r="T270" s="31"/>
      <c r="U270" s="72"/>
      <c r="V270" s="52" t="str">
        <f t="shared" si="7"/>
        <v/>
      </c>
      <c r="W270" s="73" t="s">
        <v>117</v>
      </c>
      <c r="X270" s="174"/>
      <c r="Y270" s="73" t="s">
        <v>117</v>
      </c>
      <c r="Z270" s="31">
        <v>23475</v>
      </c>
      <c r="AA270" s="31">
        <v>23475</v>
      </c>
      <c r="AB270" s="239" t="s">
        <v>2260</v>
      </c>
      <c r="AC270" s="240" t="s">
        <v>2070</v>
      </c>
      <c r="AD270" s="240" t="s">
        <v>2861</v>
      </c>
      <c r="AE270" s="240" t="s">
        <v>2070</v>
      </c>
      <c r="AF270" s="240"/>
      <c r="AG270" s="239" t="s">
        <v>2862</v>
      </c>
      <c r="AH270" s="256"/>
    </row>
    <row r="271" spans="5:34" ht="26.1" customHeight="1">
      <c r="E271" s="248" t="s">
        <v>111</v>
      </c>
      <c r="F271" s="239" t="s">
        <v>2723</v>
      </c>
      <c r="G271" s="69" t="str">
        <f t="shared" si="6"/>
        <v>802-88-00608</v>
      </c>
      <c r="H271" s="134" t="s">
        <v>1249</v>
      </c>
      <c r="I271" s="239" t="s">
        <v>2832</v>
      </c>
      <c r="J271" s="51" t="s">
        <v>115</v>
      </c>
      <c r="K271" s="239" t="s">
        <v>2833</v>
      </c>
      <c r="L271" s="243">
        <v>42723</v>
      </c>
      <c r="M271" s="240" t="s">
        <v>133</v>
      </c>
      <c r="N271" s="31">
        <v>11502</v>
      </c>
      <c r="O271" s="70" t="s">
        <v>1192</v>
      </c>
      <c r="P271" s="71"/>
      <c r="Q271" s="55" t="s">
        <v>1602</v>
      </c>
      <c r="R271" s="23">
        <v>42811</v>
      </c>
      <c r="S271" s="31">
        <v>128</v>
      </c>
      <c r="T271" s="31"/>
      <c r="U271" s="72" t="s">
        <v>137</v>
      </c>
      <c r="V271" s="52">
        <f t="shared" si="7"/>
        <v>0.24109589041095891</v>
      </c>
      <c r="W271" s="73" t="s">
        <v>117</v>
      </c>
      <c r="X271" s="174"/>
      <c r="Y271" s="73" t="s">
        <v>117</v>
      </c>
      <c r="Z271" s="31">
        <v>11502</v>
      </c>
      <c r="AA271" s="31">
        <v>11502</v>
      </c>
      <c r="AB271" s="239" t="s">
        <v>2834</v>
      </c>
      <c r="AC271" s="240" t="s">
        <v>2292</v>
      </c>
      <c r="AD271" s="240" t="s">
        <v>2060</v>
      </c>
      <c r="AE271" s="240" t="s">
        <v>2835</v>
      </c>
      <c r="AF271" s="240" t="s">
        <v>2835</v>
      </c>
      <c r="AG271" s="239" t="s">
        <v>2810</v>
      </c>
      <c r="AH271" s="256"/>
    </row>
    <row r="272" spans="5:34" ht="26.1" customHeight="1">
      <c r="E272" s="248" t="s">
        <v>111</v>
      </c>
      <c r="F272" s="239" t="s">
        <v>2730</v>
      </c>
      <c r="G272" s="69" t="str">
        <f t="shared" si="6"/>
        <v>389-81-00687</v>
      </c>
      <c r="H272" s="134" t="s">
        <v>1249</v>
      </c>
      <c r="I272" s="239" t="s">
        <v>2869</v>
      </c>
      <c r="J272" s="51" t="s">
        <v>115</v>
      </c>
      <c r="K272" s="239" t="s">
        <v>2833</v>
      </c>
      <c r="L272" s="243">
        <v>42723</v>
      </c>
      <c r="M272" s="240" t="s">
        <v>72</v>
      </c>
      <c r="N272" s="31">
        <v>112205</v>
      </c>
      <c r="O272" s="70" t="s">
        <v>1192</v>
      </c>
      <c r="P272" s="71"/>
      <c r="Q272" s="55"/>
      <c r="R272" s="23">
        <v>42921</v>
      </c>
      <c r="S272" s="31">
        <v>6260</v>
      </c>
      <c r="T272" s="31">
        <v>0</v>
      </c>
      <c r="U272" s="72" t="s">
        <v>137</v>
      </c>
      <c r="V272" s="52">
        <f t="shared" si="7"/>
        <v>0.54246575342465753</v>
      </c>
      <c r="W272" s="73" t="s">
        <v>117</v>
      </c>
      <c r="X272" s="174"/>
      <c r="Y272" s="73" t="s">
        <v>117</v>
      </c>
      <c r="Z272" s="31">
        <v>112205</v>
      </c>
      <c r="AA272" s="31">
        <v>112205</v>
      </c>
      <c r="AB272" s="239" t="s">
        <v>2260</v>
      </c>
      <c r="AC272" s="240" t="s">
        <v>2292</v>
      </c>
      <c r="AD272" s="240" t="s">
        <v>2060</v>
      </c>
      <c r="AE272" s="240" t="s">
        <v>2292</v>
      </c>
      <c r="AF272" s="240" t="s">
        <v>2292</v>
      </c>
      <c r="AG272" s="239"/>
      <c r="AH272" s="256"/>
    </row>
    <row r="273" spans="5:34" ht="26.1" customHeight="1">
      <c r="E273" s="248" t="s">
        <v>111</v>
      </c>
      <c r="F273" s="239" t="s">
        <v>2736</v>
      </c>
      <c r="G273" s="69" t="str">
        <f t="shared" si="6"/>
        <v>221-81-49351</v>
      </c>
      <c r="H273" s="134" t="s">
        <v>1249</v>
      </c>
      <c r="I273" s="239" t="s">
        <v>2855</v>
      </c>
      <c r="J273" s="51" t="s">
        <v>71</v>
      </c>
      <c r="K273" s="239" t="s">
        <v>2856</v>
      </c>
      <c r="L273" s="243">
        <v>42733</v>
      </c>
      <c r="M273" s="240" t="s">
        <v>72</v>
      </c>
      <c r="N273" s="31">
        <v>1000</v>
      </c>
      <c r="O273" s="70" t="s">
        <v>1193</v>
      </c>
      <c r="P273" s="71"/>
      <c r="Q273" s="55" t="s">
        <v>1602</v>
      </c>
      <c r="R273" s="23"/>
      <c r="S273" s="31">
        <v>0</v>
      </c>
      <c r="T273" s="31"/>
      <c r="U273" s="72"/>
      <c r="V273" s="52" t="str">
        <f t="shared" si="7"/>
        <v/>
      </c>
      <c r="W273" s="73" t="s">
        <v>117</v>
      </c>
      <c r="X273" s="174"/>
      <c r="Y273" s="73" t="s">
        <v>117</v>
      </c>
      <c r="Z273" s="31">
        <v>1000</v>
      </c>
      <c r="AA273" s="31">
        <v>1000</v>
      </c>
      <c r="AB273" s="239" t="s">
        <v>2260</v>
      </c>
      <c r="AC273" s="240" t="s">
        <v>2739</v>
      </c>
      <c r="AD273" s="240" t="s">
        <v>2060</v>
      </c>
      <c r="AE273" s="240" t="s">
        <v>2870</v>
      </c>
      <c r="AF273" s="240"/>
      <c r="AG273" s="239" t="s">
        <v>2859</v>
      </c>
      <c r="AH273" s="256"/>
    </row>
    <row r="274" spans="5:34" ht="26.1" customHeight="1">
      <c r="E274" s="248" t="s">
        <v>111</v>
      </c>
      <c r="F274" s="239" t="s">
        <v>2736</v>
      </c>
      <c r="G274" s="69" t="str">
        <f t="shared" si="6"/>
        <v>221-81-49351</v>
      </c>
      <c r="H274" s="134" t="s">
        <v>1249</v>
      </c>
      <c r="I274" s="239" t="s">
        <v>2855</v>
      </c>
      <c r="J274" s="51" t="s">
        <v>71</v>
      </c>
      <c r="K274" s="239" t="s">
        <v>2856</v>
      </c>
      <c r="L274" s="243">
        <v>42733</v>
      </c>
      <c r="M274" s="240" t="s">
        <v>133</v>
      </c>
      <c r="N274" s="31">
        <v>134200</v>
      </c>
      <c r="O274" s="70" t="s">
        <v>1193</v>
      </c>
      <c r="P274" s="71"/>
      <c r="Q274" s="55" t="s">
        <v>1602</v>
      </c>
      <c r="R274" s="23"/>
      <c r="S274" s="31">
        <v>0</v>
      </c>
      <c r="T274" s="31"/>
      <c r="U274" s="72"/>
      <c r="V274" s="52" t="str">
        <f t="shared" si="7"/>
        <v/>
      </c>
      <c r="W274" s="73" t="s">
        <v>117</v>
      </c>
      <c r="X274" s="174"/>
      <c r="Y274" s="73" t="s">
        <v>117</v>
      </c>
      <c r="Z274" s="31">
        <v>134200</v>
      </c>
      <c r="AA274" s="31">
        <v>134200</v>
      </c>
      <c r="AB274" s="239" t="s">
        <v>2260</v>
      </c>
      <c r="AC274" s="240" t="s">
        <v>2739</v>
      </c>
      <c r="AD274" s="240" t="s">
        <v>2060</v>
      </c>
      <c r="AE274" s="240" t="s">
        <v>2870</v>
      </c>
      <c r="AF274" s="240"/>
      <c r="AG274" s="239" t="s">
        <v>2859</v>
      </c>
      <c r="AH274" s="256"/>
    </row>
    <row r="275" spans="5:34" ht="26.1" customHeight="1">
      <c r="E275" s="248" t="s">
        <v>111</v>
      </c>
      <c r="F275" s="239" t="s">
        <v>2787</v>
      </c>
      <c r="G275" s="69" t="str">
        <f t="shared" ref="G275" si="8">IF(ISBLANK($F275),"",VLOOKUP($F275,제안사_펀드현황,3,FALSE))</f>
        <v>142-88-00734</v>
      </c>
      <c r="H275" s="134" t="s">
        <v>1249</v>
      </c>
      <c r="I275" s="239" t="s">
        <v>2836</v>
      </c>
      <c r="J275" s="51" t="s">
        <v>71</v>
      </c>
      <c r="K275" s="239" t="s">
        <v>2837</v>
      </c>
      <c r="L275" s="243">
        <v>42972</v>
      </c>
      <c r="M275" s="240" t="s">
        <v>72</v>
      </c>
      <c r="N275" s="31">
        <v>6000</v>
      </c>
      <c r="O275" s="70" t="s">
        <v>1193</v>
      </c>
      <c r="P275" s="71"/>
      <c r="Q275" s="55"/>
      <c r="R275" s="23"/>
      <c r="S275" s="31">
        <v>0</v>
      </c>
      <c r="T275" s="31"/>
      <c r="U275" s="72"/>
      <c r="V275" s="52" t="str">
        <f t="shared" si="7"/>
        <v/>
      </c>
      <c r="W275" s="73" t="s">
        <v>117</v>
      </c>
      <c r="X275" s="174"/>
      <c r="Y275" s="73" t="s">
        <v>117</v>
      </c>
      <c r="Z275" s="31">
        <v>6000</v>
      </c>
      <c r="AA275" s="31">
        <v>6000</v>
      </c>
      <c r="AB275" s="239" t="s">
        <v>2260</v>
      </c>
      <c r="AC275" s="240" t="s">
        <v>2068</v>
      </c>
      <c r="AD275" s="240" t="s">
        <v>2060</v>
      </c>
      <c r="AE275" s="240" t="s">
        <v>2068</v>
      </c>
      <c r="AF275" s="240"/>
      <c r="AG275" s="239" t="s">
        <v>2838</v>
      </c>
      <c r="AH275" s="256"/>
    </row>
    <row r="276" spans="5:34">
      <c r="N276" s="256"/>
    </row>
  </sheetData>
  <mergeCells count="6">
    <mergeCell ref="E4:Q4"/>
    <mergeCell ref="AG4:AG5"/>
    <mergeCell ref="R4:V4"/>
    <mergeCell ref="W4:X4"/>
    <mergeCell ref="Y4:AC4"/>
    <mergeCell ref="AD4:AF4"/>
  </mergeCells>
  <phoneticPr fontId="1" type="noConversion"/>
  <dataValidations count="9">
    <dataValidation allowBlank="1" showInputMessage="1" showErrorMessage="1" error="연월일을 입력" sqref="G5"/>
    <dataValidation type="list" allowBlank="1" showInputMessage="1" showErrorMessage="1" sqref="Q11:Q275">
      <formula1>동반투자자유형</formula1>
    </dataValidation>
    <dataValidation type="list" allowBlank="1" showInputMessage="1" showErrorMessage="1" sqref="U11:U275">
      <formula1>회수유형</formula1>
    </dataValidation>
    <dataValidation type="list" allowBlank="1" showInputMessage="1" showErrorMessage="1" sqref="O11:O275">
      <formula1>회수구분</formula1>
    </dataValidation>
    <dataValidation type="list" allowBlank="1" showInputMessage="1" showErrorMessage="1" sqref="Y11:Y275 W11:W275">
      <formula1>여부</formula1>
    </dataValidation>
    <dataValidation type="list" allowBlank="1" showInputMessage="1" showErrorMessage="1" sqref="M11:M275">
      <formula1>투자유형</formula1>
    </dataValidation>
    <dataValidation type="list" allowBlank="1" showInputMessage="1" showErrorMessage="1" sqref="J11:J275">
      <formula1>투자기업_법인유형</formula1>
    </dataValidation>
    <dataValidation type="list" allowBlank="1" showInputMessage="1" showErrorMessage="1" sqref="H11:H275">
      <formula1>펀드법적유형</formula1>
    </dataValidation>
    <dataValidation type="list" allowBlank="1" showInputMessage="1" showErrorMessage="1" sqref="E11:E275">
      <formula1>펀드계정구분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E1:AG23"/>
  <sheetViews>
    <sheetView topLeftCell="I29" zoomScale="85" zoomScaleNormal="85" workbookViewId="0">
      <selection activeCell="O45" sqref="O45"/>
    </sheetView>
  </sheetViews>
  <sheetFormatPr defaultRowHeight="16.5"/>
  <cols>
    <col min="1" max="4" width="0" hidden="1" customWidth="1"/>
    <col min="5" max="5" width="8.625" customWidth="1"/>
    <col min="6" max="7" width="10.625" customWidth="1"/>
    <col min="8" max="8" width="15.625" customWidth="1"/>
    <col min="9" max="9" width="10.625" customWidth="1"/>
    <col min="10" max="12" width="8.625" customWidth="1"/>
    <col min="13" max="13" width="12.375" customWidth="1"/>
    <col min="14" max="14" width="12.625" bestFit="1" customWidth="1"/>
    <col min="15" max="15" width="14.625" customWidth="1"/>
    <col min="16" max="16" width="18.625" customWidth="1"/>
    <col min="17" max="17" width="8.625" customWidth="1"/>
    <col min="18" max="18" width="7.375" customWidth="1"/>
    <col min="19" max="19" width="7.75" customWidth="1"/>
    <col min="20" max="20" width="20.625" customWidth="1"/>
    <col min="21" max="22" width="8.625" customWidth="1"/>
    <col min="23" max="23" width="4.625" customWidth="1"/>
    <col min="24" max="24" width="8.125" customWidth="1"/>
    <col min="25" max="29" width="7.625" customWidth="1"/>
    <col min="30" max="30" width="8.125" customWidth="1"/>
    <col min="31" max="33" width="7.625" customWidth="1"/>
  </cols>
  <sheetData>
    <row r="1" spans="5:33" hidden="1"/>
    <row r="2" spans="5:33" hidden="1"/>
    <row r="3" spans="5:33" hidden="1"/>
    <row r="4" spans="5:33" ht="22.5" customHeight="1">
      <c r="E4" s="533" t="s">
        <v>1445</v>
      </c>
      <c r="F4" s="533"/>
      <c r="G4" s="533"/>
      <c r="H4" s="533" t="s">
        <v>1446</v>
      </c>
      <c r="I4" s="533"/>
      <c r="J4" s="533"/>
      <c r="K4" s="533"/>
      <c r="L4" s="533"/>
      <c r="M4" s="533"/>
      <c r="N4" s="533"/>
      <c r="O4" s="533"/>
      <c r="P4" s="533"/>
      <c r="Q4" s="533" t="s">
        <v>1447</v>
      </c>
      <c r="R4" s="523" t="s">
        <v>1448</v>
      </c>
      <c r="S4" s="533" t="s">
        <v>1449</v>
      </c>
      <c r="T4" s="533"/>
      <c r="U4" s="533" t="s">
        <v>1450</v>
      </c>
      <c r="V4" s="523" t="s">
        <v>1451</v>
      </c>
      <c r="W4" s="533" t="s">
        <v>1452</v>
      </c>
      <c r="X4" s="533"/>
      <c r="Y4" s="533"/>
      <c r="Z4" s="533"/>
      <c r="AA4" s="533"/>
      <c r="AB4" s="533"/>
      <c r="AC4" s="533"/>
      <c r="AD4" s="533"/>
      <c r="AE4" s="549" t="s">
        <v>1453</v>
      </c>
      <c r="AF4" s="549"/>
      <c r="AG4" s="549"/>
    </row>
    <row r="5" spans="5:33" ht="54">
      <c r="E5" s="185" t="s">
        <v>1454</v>
      </c>
      <c r="F5" s="74" t="s">
        <v>1455</v>
      </c>
      <c r="G5" s="59" t="s">
        <v>1456</v>
      </c>
      <c r="H5" s="185" t="s">
        <v>1457</v>
      </c>
      <c r="I5" s="185" t="s">
        <v>1458</v>
      </c>
      <c r="J5" s="185" t="s">
        <v>1459</v>
      </c>
      <c r="K5" s="185" t="s">
        <v>1460</v>
      </c>
      <c r="L5" s="185" t="s">
        <v>1461</v>
      </c>
      <c r="M5" s="185" t="s">
        <v>1462</v>
      </c>
      <c r="N5" s="185" t="s">
        <v>1463</v>
      </c>
      <c r="O5" s="185" t="s">
        <v>1464</v>
      </c>
      <c r="P5" s="185" t="s">
        <v>1465</v>
      </c>
      <c r="Q5" s="533"/>
      <c r="R5" s="524"/>
      <c r="S5" s="185" t="s">
        <v>1466</v>
      </c>
      <c r="T5" s="185" t="s">
        <v>1467</v>
      </c>
      <c r="U5" s="533"/>
      <c r="V5" s="524"/>
      <c r="W5" s="185" t="s">
        <v>1468</v>
      </c>
      <c r="X5" s="185" t="s">
        <v>1469</v>
      </c>
      <c r="Y5" s="185" t="s">
        <v>1470</v>
      </c>
      <c r="Z5" s="185" t="s">
        <v>1471</v>
      </c>
      <c r="AA5" s="185" t="s">
        <v>1472</v>
      </c>
      <c r="AB5" s="185" t="s">
        <v>1473</v>
      </c>
      <c r="AC5" s="185" t="s">
        <v>1474</v>
      </c>
      <c r="AD5" s="185" t="s">
        <v>1475</v>
      </c>
      <c r="AE5" s="185" t="s">
        <v>1476</v>
      </c>
      <c r="AF5" s="185" t="s">
        <v>1477</v>
      </c>
      <c r="AG5" s="185" t="s">
        <v>1478</v>
      </c>
    </row>
    <row r="6" spans="5:33" hidden="1">
      <c r="E6" s="48"/>
      <c r="F6" s="76"/>
      <c r="G6" s="47"/>
      <c r="H6" s="50"/>
      <c r="I6" s="50"/>
      <c r="J6" s="50"/>
      <c r="K6" s="50"/>
      <c r="L6" s="50"/>
      <c r="M6" s="50"/>
      <c r="N6" s="49"/>
      <c r="O6" s="49"/>
      <c r="P6" s="50"/>
      <c r="Q6" s="48"/>
      <c r="R6" s="48"/>
      <c r="S6" s="47"/>
      <c r="T6" s="49"/>
      <c r="U6" s="48"/>
      <c r="V6" s="48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5:33" hidden="1">
      <c r="E7" s="48"/>
      <c r="F7" s="76"/>
      <c r="G7" s="47"/>
      <c r="H7" s="50"/>
      <c r="I7" s="50"/>
      <c r="J7" s="50"/>
      <c r="K7" s="50"/>
      <c r="L7" s="50"/>
      <c r="M7" s="50"/>
      <c r="N7" s="49"/>
      <c r="O7" s="49"/>
      <c r="P7" s="50"/>
      <c r="Q7" s="48"/>
      <c r="R7" s="48"/>
      <c r="S7" s="47"/>
      <c r="T7" s="49"/>
      <c r="U7" s="48"/>
      <c r="V7" s="48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5:33" hidden="1">
      <c r="E8" s="48"/>
      <c r="F8" s="76"/>
      <c r="G8" s="47"/>
      <c r="H8" s="50"/>
      <c r="I8" s="50"/>
      <c r="J8" s="50"/>
      <c r="K8" s="50"/>
      <c r="L8" s="50"/>
      <c r="M8" s="50"/>
      <c r="N8" s="49"/>
      <c r="O8" s="49"/>
      <c r="P8" s="50"/>
      <c r="Q8" s="48"/>
      <c r="R8" s="48"/>
      <c r="S8" s="47"/>
      <c r="T8" s="49"/>
      <c r="U8" s="48"/>
      <c r="V8" s="48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5:33" hidden="1">
      <c r="E9" s="48"/>
      <c r="F9" s="76"/>
      <c r="G9" s="47"/>
      <c r="H9" s="50"/>
      <c r="I9" s="50"/>
      <c r="J9" s="50"/>
      <c r="K9" s="50"/>
      <c r="L9" s="50"/>
      <c r="M9" s="50"/>
      <c r="N9" s="49"/>
      <c r="O9" s="49"/>
      <c r="P9" s="50"/>
      <c r="Q9" s="48"/>
      <c r="R9" s="48"/>
      <c r="S9" s="47"/>
      <c r="T9" s="49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5:33" hidden="1">
      <c r="E10" s="48"/>
      <c r="F10" s="76"/>
      <c r="G10" s="47"/>
      <c r="H10" s="50"/>
      <c r="I10" s="50"/>
      <c r="J10" s="50"/>
      <c r="K10" s="50"/>
      <c r="L10" s="50"/>
      <c r="M10" s="50"/>
      <c r="N10" s="49"/>
      <c r="O10" s="49"/>
      <c r="P10" s="50"/>
      <c r="Q10" s="48"/>
      <c r="R10" s="48"/>
      <c r="S10" s="47"/>
      <c r="T10" s="49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5:33" ht="27">
      <c r="E11" s="7" t="s">
        <v>2348</v>
      </c>
      <c r="F11" s="70">
        <v>670701</v>
      </c>
      <c r="G11" s="7" t="s">
        <v>126</v>
      </c>
      <c r="H11" s="239" t="s">
        <v>2353</v>
      </c>
      <c r="I11" s="7" t="s">
        <v>2354</v>
      </c>
      <c r="J11" s="7" t="s">
        <v>2359</v>
      </c>
      <c r="K11" s="240" t="s">
        <v>131</v>
      </c>
      <c r="L11" s="7" t="s">
        <v>131</v>
      </c>
      <c r="M11" s="268" t="s">
        <v>2971</v>
      </c>
      <c r="N11" s="240" t="s">
        <v>2366</v>
      </c>
      <c r="O11" s="240" t="s">
        <v>2376</v>
      </c>
      <c r="P11" s="242" t="s">
        <v>2382</v>
      </c>
      <c r="Q11" s="7" t="s">
        <v>128</v>
      </c>
      <c r="R11" s="7" t="s">
        <v>131</v>
      </c>
      <c r="S11" s="7" t="s">
        <v>117</v>
      </c>
      <c r="T11" s="239" t="s">
        <v>2364</v>
      </c>
      <c r="U11" s="207">
        <f ca="1">IF(ISBLANK($E11), "", SUMPRODUCT((OFFSET(대표이사_참여인력_경력,0,0,ROWS(대표이사_참여인력_경력),1)=$E11)*1, OFFSET(대표이사_참여인력_경력,0,13,ROWS(대표이사_참여인력_경력),1), (OFFSET(대표이사_참여인력_경력,0,14,ROWS(대표이사_참여인력_경력),1)="YES")*1) )</f>
        <v>18.202739726027396</v>
      </c>
      <c r="V11" s="207">
        <f ca="1">IF(ISBLANK($E11), "", SUMPRODUCT((OFFSET(대표이사_참여인력_경력,0,0,ROWS(대표이사_참여인력_경력),1)=$E11)*1, OFFSET(대표이사_참여인력_경력,0,13,ROWS(대표이사_참여인력_경력),1), (OFFSET(대표이사_참여인력_경력,0,14,ROWS(대표이사_참여인력_경력),1)="NO")*1, (OFFSET(대표이사_참여인력_경력,0,16,ROWS(대표이사_참여인력_경력),1)="YES")*1) )</f>
        <v>0</v>
      </c>
      <c r="W11" s="199">
        <f ca="1">IF(ISBLANK($E11), "", SUMPRODUCT((OFFSET(대표이사_참여인력_투자현황,0,0,ROWS(대표이사_참여인력_투자현황),1)=$E11)*1, ISTEXT(OFFSET(대표이사_참여인력_투자현황,0,8,ROWS(대표이사_참여인력_투자현황),1))*1))</f>
        <v>5</v>
      </c>
      <c r="X11" s="199">
        <f ca="1">IF(ISBLANK($E11), "", SUMPRODUCT((OFFSET(대표이사_참여인력_투자현황,0,0,ROWS(대표이사_참여인력_투자현황),1)=$E11)*1, (OFFSET(대표이사_참여인력_투자현황,0,17,ROWS(대표이사_참여인력_투자현황),1)="회수료")*1))</f>
        <v>1</v>
      </c>
      <c r="Y11" s="165">
        <f ca="1">IF(ISBLANK($E11), "", SUMPRODUCT((OFFSET(대표이사_참여인력_투자현황,0,0,ROWS(대표이사_참여인력_투자현황),1)=$E11)*1, OFFSET(대표이사_참여인력_투자현황,0,15,ROWS(대표이사_참여인력_투자현황),1)))</f>
        <v>7127</v>
      </c>
      <c r="Z11" s="165">
        <f ca="1">IF(ISBLANK($E11), "", SUMPRODUCT((OFFSET(대표이사_참여인력_투자현황,0,0,ROWS(대표이사_참여인력_투자현황),1)=$E11)*1, OFFSET(대표이사_참여인력_투자현황,0,20,ROWS(대표이사_참여인력_투자현황),1)))</f>
        <v>5137</v>
      </c>
      <c r="AA11" s="165">
        <f ca="1">IF(ISBLANK($E11), "", SUMPRODUCT((OFFSET(대표이사_참여인력_투자현황,0,0,ROWS(대표이사_참여인력_투자현황),1)=$E11)*1, OFFSET(대표이사_참여인력_투자현황,0,27,ROWS(대표이사_참여인력_투자현황),1)))</f>
        <v>3558</v>
      </c>
      <c r="AB11" s="165">
        <f ca="1">IF(ISBLANK($E11), "", SUMPRODUCT((OFFSET(대표이사_참여인력_투자현황,0,0,ROWS(대표이사_참여인력_투자현황),1)=$E11)*1, OFFSET(대표이사_참여인력_투자현황,0,28,ROWS(대표이사_참여인력_투자현황),1)))</f>
        <v>3558</v>
      </c>
      <c r="AC11" s="26">
        <f ca="1">IFERROR(IF(ISBLANK($E11), "", SUMPRODUCT((OFFSET(대표이사_참여인력_투자현황,0,0,ROWS(대표이사_참여인력_투자현황),1)=$E11)*1, OFFSET(대표이사_참여인력_투자현황,0,15,ROWS(대표이사_참여인력_투자현황),1), OFFSET(대표이사_참여인력_투자현황,0,18,ROWS(대표이사_참여인력_투자현황),1))/Y11),0)</f>
        <v>4.7074926336466962E-2</v>
      </c>
      <c r="AD11" s="26">
        <f ca="1">IFERROR(IF(ISBLANK($E11), "",IF(SUMPRODUCT( (OFFSET(대표이사_참여인력_투자현황,0,0,ROWS(대표이사_참여인력_투자현황),1)=$E11)*1, OFFSET(대표이사_참여인력_투자현황,0,15,ROWS(대표이사_참여인력_투자현황),1), (OFFSET(대표이사_참여인력_투자현황,0,17,ROWS(대표이사_참여인력_투자현황),1)="회수료")*1 ) = 0,    0,    SUMPRODUCT( (OFFSET(대표이사_참여인력_투자현황,0,0,ROWS(대표이사_참여인력_투자현황),1)=$E11)*1, OFFSET(대표이사_참여인력_투자현황,0,15,ROWS(대표이사_참여인력_투자현황),1), (OFFSET(대표이사_참여인력_투자현황,0,17,ROWS(대표이사_참여인력_투자현황),1)="회수료")*1, OFFSET(대표이사_참여인력_투자현황,0,18,ROWS(대표이사_참여인력_투자현황),1) ) / SUMPRODUCT( (OFFSET(대표이사_참여인력_투자현황,0,0,ROWS(대표이사_참여인력_투자현황),1)=$E11)*1, OFFSET(대표이사_참여인력_투자현황,0,15,ROWS(대표이사_참여인력_투자현황),1), (OFFSET(대표이사_참여인력_투자현황,0,17,ROWS(대표이사_참여인력_투자현황),1)="회수료")*1 )     )),0)</f>
        <v>0.16700000000000001</v>
      </c>
      <c r="AE11" s="200">
        <f ca="1">IF(ISBLANK($E11), "", SUMPRODUCT( (OFFSET(제안사_투자현황,0,24,ROWS(제안사_투자현황),1)=$E11)*1, (OFFSET(제안사_투자현황,0,10,ROWS(제안사_투자현황),1)&lt;&gt;"회수료")*1 ) )</f>
        <v>0</v>
      </c>
      <c r="AF11" s="158">
        <f ca="1">IF(ISBLANK($E11), "",  SUMPRODUCT( (OFFSET(제안사_투자현황,0,24,ROWS(제안사_투자현황),1)=$E11)*1, (OFFSET(제안사_투자현황,0,10,ROWS(제안사_투자현황),1)&lt;&gt;"회수료")*1, OFFSET(제안사_투자현황,0,21,ROWS(제안사_투자현황),1) ) )</f>
        <v>0</v>
      </c>
      <c r="AG11" s="158">
        <f ca="1">IF(ISBLANK($E11), "",  SUMPRODUCT( (OFFSET(제안사_투자현황,0,24,ROWS(제안사_투자현황),1)=$E11)*1, (OFFSET(제안사_투자현황,0,10,ROWS(제안사_투자현황),1)&lt;&gt;"회수료")*1, OFFSET(제안사_투자현황,0,22,ROWS(제안사_투자현황),1) ) )</f>
        <v>0</v>
      </c>
    </row>
    <row r="12" spans="5:33" ht="27">
      <c r="E12" s="7" t="s">
        <v>2347</v>
      </c>
      <c r="F12" s="70">
        <v>770126</v>
      </c>
      <c r="G12" s="7" t="s">
        <v>126</v>
      </c>
      <c r="H12" s="5" t="s">
        <v>2353</v>
      </c>
      <c r="I12" s="7" t="s">
        <v>2355</v>
      </c>
      <c r="J12" s="7" t="s">
        <v>2358</v>
      </c>
      <c r="K12" s="7" t="s">
        <v>117</v>
      </c>
      <c r="L12" s="7" t="s">
        <v>117</v>
      </c>
      <c r="M12" s="268" t="s">
        <v>2972</v>
      </c>
      <c r="N12" s="240" t="s">
        <v>2365</v>
      </c>
      <c r="O12" s="240" t="s">
        <v>2375</v>
      </c>
      <c r="P12" s="257" t="s">
        <v>2381</v>
      </c>
      <c r="Q12" s="7" t="s">
        <v>127</v>
      </c>
      <c r="R12" s="7" t="s">
        <v>131</v>
      </c>
      <c r="S12" s="7" t="s">
        <v>117</v>
      </c>
      <c r="T12" s="5" t="s">
        <v>2364</v>
      </c>
      <c r="U12" s="207">
        <f t="shared" ref="U12:U22" ca="1" si="0">IF(ISBLANK($E12), "", SUMPRODUCT((OFFSET(대표이사_참여인력_경력,0,0,ROWS(대표이사_참여인력_경력),1)=$E12)*1, OFFSET(대표이사_참여인력_경력,0,13,ROWS(대표이사_참여인력_경력),1), (OFFSET(대표이사_참여인력_경력,0,14,ROWS(대표이사_참여인력_경력),1)="YES")*1) )</f>
        <v>10.210958904109589</v>
      </c>
      <c r="V12" s="207">
        <f ca="1">IF(ISBLANK($E12), "", SUMPRODUCT((OFFSET(대표이사_참여인력_경력,0,0,ROWS(대표이사_참여인력_경력),1)=$E12)*1, OFFSET(대표이사_참여인력_경력,0,13,ROWS(대표이사_참여인력_경력),1), (OFFSET(대표이사_참여인력_경력,0,14,ROWS(대표이사_참여인력_경력),1)="NO")*1, (OFFSET(대표이사_참여인력_경력,0,16,ROWS(대표이사_참여인력_경력),1)="YES")*1) )</f>
        <v>0</v>
      </c>
      <c r="W12" s="199">
        <f t="shared" ref="W12:W22" ca="1" si="1">IF(ISBLANK($E12), "", SUMPRODUCT((OFFSET(대표이사_참여인력_투자현황,0,0,ROWS(대표이사_참여인력_투자현황),1)=$E12)*1, ISTEXT(OFFSET(대표이사_참여인력_투자현황,0,8,ROWS(대표이사_참여인력_투자현황),1))*1))</f>
        <v>39</v>
      </c>
      <c r="X12" s="199">
        <f t="shared" ref="X12:X22" ca="1" si="2">IF(ISBLANK($E12), "", SUMPRODUCT((OFFSET(대표이사_참여인력_투자현황,0,0,ROWS(대표이사_참여인력_투자현황),1)=$E12)*1, (OFFSET(대표이사_참여인력_투자현황,0,17,ROWS(대표이사_참여인력_투자현황),1)="회수료")*1))</f>
        <v>24</v>
      </c>
      <c r="Y12" s="165">
        <f t="shared" ref="Y12:Y22" ca="1" si="3">IF(ISBLANK($E12), "", SUMPRODUCT((OFFSET(대표이사_참여인력_투자현황,0,0,ROWS(대표이사_참여인력_투자현황),1)=$E12)*1, OFFSET(대표이사_참여인력_투자현황,0,15,ROWS(대표이사_참여인력_투자현황),1)))</f>
        <v>100178</v>
      </c>
      <c r="Z12" s="165">
        <f t="shared" ref="Z12:Z22" ca="1" si="4">IF(ISBLANK($E12), "", SUMPRODUCT((OFFSET(대표이사_참여인력_투자현황,0,0,ROWS(대표이사_참여인력_투자현황),1)=$E12)*1, OFFSET(대표이사_참여인력_투자현황,0,20,ROWS(대표이사_참여인력_투자현황),1)))</f>
        <v>134294</v>
      </c>
      <c r="AA12" s="165">
        <f t="shared" ref="AA12:AA22" ca="1" si="5">IF(ISBLANK($E12), "", SUMPRODUCT((OFFSET(대표이사_참여인력_투자현황,0,0,ROWS(대표이사_참여인력_투자현황),1)=$E12)*1, OFFSET(대표이사_참여인력_투자현황,0,27,ROWS(대표이사_참여인력_투자현황),1)))</f>
        <v>24019</v>
      </c>
      <c r="AB12" s="165">
        <f t="shared" ref="AB12:AB22" ca="1" si="6">IF(ISBLANK($E12), "", SUMPRODUCT((OFFSET(대표이사_참여인력_투자현황,0,0,ROWS(대표이사_참여인력_투자현황),1)=$E12)*1, OFFSET(대표이사_참여인력_투자현황,0,28,ROWS(대표이사_참여인력_투자현황),1)))</f>
        <v>34085</v>
      </c>
      <c r="AC12" s="26">
        <f t="shared" ref="AC12:AC15" ca="1" si="7">IFERROR(IF(ISBLANK($E12), "", SUMPRODUCT((OFFSET(대표이사_참여인력_투자현황,0,0,ROWS(대표이사_참여인력_투자현황),1)=$E12)*1, OFFSET(대표이사_참여인력_투자현황,0,15,ROWS(대표이사_참여인력_투자현황),1), OFFSET(대표이사_참여인력_투자현황,0,18,ROWS(대표이사_참여인력_투자현황),1))/Y12),0)</f>
        <v>0.47574853760306657</v>
      </c>
      <c r="AD12" s="26">
        <f t="shared" ref="AD12:AD22" ca="1" si="8">IFERROR(IF(ISBLANK($E12), "",IF(SUMPRODUCT( (OFFSET(대표이사_참여인력_투자현황,0,0,ROWS(대표이사_참여인력_투자현황),1)=$E12)*1, OFFSET(대표이사_참여인력_투자현황,0,15,ROWS(대표이사_참여인력_투자현황),1), (OFFSET(대표이사_참여인력_투자현황,0,17,ROWS(대표이사_참여인력_투자현황),1)="회수료")*1 ) = 0,    0,    SUMPRODUCT( (OFFSET(대표이사_참여인력_투자현황,0,0,ROWS(대표이사_참여인력_투자현황),1)=$E12)*1, OFFSET(대표이사_참여인력_투자현황,0,15,ROWS(대표이사_참여인력_투자현황),1), (OFFSET(대표이사_참여인력_투자현황,0,17,ROWS(대표이사_참여인력_투자현황),1)="회수료")*1, OFFSET(대표이사_참여인력_투자현황,0,18,ROWS(대표이사_참여인력_투자현황),1) ) / SUMPRODUCT( (OFFSET(대표이사_참여인력_투자현황,0,0,ROWS(대표이사_참여인력_투자현황),1)=$E12)*1, OFFSET(대표이사_참여인력_투자현황,0,15,ROWS(대표이사_참여인력_투자현황),1), (OFFSET(대표이사_참여인력_투자현황,0,17,ROWS(대표이사_참여인력_투자현황),1)="회수료")*1 )     )),0)</f>
        <v>0.66972355015949303</v>
      </c>
      <c r="AE12" s="200">
        <f t="shared" ref="AE12:AE22" ca="1" si="9">IF(ISBLANK($E12), "", SUMPRODUCT( (OFFSET(제안사_투자현황,0,24,ROWS(제안사_투자현황),1)=$E12)*1, (OFFSET(제안사_투자현황,0,10,ROWS(제안사_투자현황),1)&lt;&gt;"회수료")*1 ) )</f>
        <v>16</v>
      </c>
      <c r="AF12" s="158">
        <f t="shared" ref="AF12:AF22" ca="1" si="10">IF(ISBLANK($E12), "",  SUMPRODUCT( (OFFSET(제안사_투자현황,0,24,ROWS(제안사_투자현황),1)=$E12)*1, (OFFSET(제안사_투자현황,0,10,ROWS(제안사_투자현황),1)&lt;&gt;"회수료")*1, OFFSET(제안사_투자현황,0,21,ROWS(제안사_투자현황),1) ) )</f>
        <v>28334</v>
      </c>
      <c r="AG12" s="158">
        <f t="shared" ref="AG12:AG22" ca="1" si="11">IF(ISBLANK($E12), "",  SUMPRODUCT( (OFFSET(제안사_투자현황,0,24,ROWS(제안사_투자현황),1)=$E12)*1, (OFFSET(제안사_투자현황,0,10,ROWS(제안사_투자현황),1)&lt;&gt;"회수료")*1, OFFSET(제안사_투자현황,0,22,ROWS(제안사_투자현황),1) ) )</f>
        <v>42247</v>
      </c>
    </row>
    <row r="13" spans="5:33" ht="27">
      <c r="E13" s="7" t="s">
        <v>2349</v>
      </c>
      <c r="F13" s="70">
        <v>790712</v>
      </c>
      <c r="G13" s="7" t="s">
        <v>126</v>
      </c>
      <c r="H13" s="239" t="s">
        <v>2353</v>
      </c>
      <c r="I13" s="7" t="s">
        <v>2355</v>
      </c>
      <c r="J13" s="7" t="s">
        <v>2360</v>
      </c>
      <c r="K13" s="240" t="s">
        <v>117</v>
      </c>
      <c r="L13" s="7" t="s">
        <v>117</v>
      </c>
      <c r="M13" s="268" t="s">
        <v>2971</v>
      </c>
      <c r="N13" s="240" t="s">
        <v>2367</v>
      </c>
      <c r="O13" s="240" t="s">
        <v>2377</v>
      </c>
      <c r="P13" s="242" t="s">
        <v>2383</v>
      </c>
      <c r="Q13" s="7" t="s">
        <v>128</v>
      </c>
      <c r="R13" s="7" t="s">
        <v>131</v>
      </c>
      <c r="S13" s="7" t="s">
        <v>117</v>
      </c>
      <c r="T13" s="239" t="s">
        <v>2364</v>
      </c>
      <c r="U13" s="207">
        <f t="shared" ca="1" si="0"/>
        <v>5.0356164383561648</v>
      </c>
      <c r="V13" s="207">
        <f t="shared" ref="V13:V22" ca="1" si="12">IF(ISBLANK($E13), "", SUMPRODUCT((OFFSET(대표이사_참여인력_경력,0,0,ROWS(대표이사_참여인력_경력),1)=$E13)*1, OFFSET(대표이사_참여인력_경력,0,13,ROWS(대표이사_참여인력_경력),1), (OFFSET(대표이사_참여인력_경력,0,14,ROWS(대표이사_참여인력_경력),1)="NO")*1, (OFFSET(대표이사_참여인력_경력,0,16,ROWS(대표이사_참여인력_경력),1)="YES")*1) )</f>
        <v>0</v>
      </c>
      <c r="W13" s="199">
        <f t="shared" ca="1" si="1"/>
        <v>36</v>
      </c>
      <c r="X13" s="199">
        <f t="shared" ca="1" si="2"/>
        <v>13</v>
      </c>
      <c r="Y13" s="165">
        <f t="shared" ca="1" si="3"/>
        <v>181409</v>
      </c>
      <c r="Z13" s="165">
        <f t="shared" ca="1" si="4"/>
        <v>50993</v>
      </c>
      <c r="AA13" s="165">
        <f t="shared" ca="1" si="5"/>
        <v>159335</v>
      </c>
      <c r="AB13" s="165">
        <f t="shared" ca="1" si="6"/>
        <v>155982</v>
      </c>
      <c r="AC13" s="26">
        <f t="shared" ca="1" si="7"/>
        <v>1.8441565743706211E-2</v>
      </c>
      <c r="AD13" s="26">
        <f t="shared" ca="1" si="8"/>
        <v>0.17334918907715427</v>
      </c>
      <c r="AE13" s="200">
        <f t="shared" ca="1" si="9"/>
        <v>27</v>
      </c>
      <c r="AF13" s="158">
        <f t="shared" ca="1" si="10"/>
        <v>157429</v>
      </c>
      <c r="AG13" s="158">
        <f t="shared" ca="1" si="11"/>
        <v>154376</v>
      </c>
    </row>
    <row r="14" spans="5:33" ht="27">
      <c r="E14" s="7" t="s">
        <v>2350</v>
      </c>
      <c r="F14" s="70">
        <v>840611</v>
      </c>
      <c r="G14" s="7" t="s">
        <v>126</v>
      </c>
      <c r="H14" s="239" t="s">
        <v>2353</v>
      </c>
      <c r="I14" s="7" t="s">
        <v>2355</v>
      </c>
      <c r="J14" s="7" t="s">
        <v>2361</v>
      </c>
      <c r="K14" s="240" t="s">
        <v>117</v>
      </c>
      <c r="L14" s="240" t="s">
        <v>117</v>
      </c>
      <c r="M14" s="268" t="s">
        <v>2971</v>
      </c>
      <c r="N14" s="240" t="s">
        <v>2368</v>
      </c>
      <c r="O14" s="240" t="s">
        <v>2378</v>
      </c>
      <c r="P14" s="242" t="s">
        <v>2384</v>
      </c>
      <c r="Q14" s="7" t="s">
        <v>138</v>
      </c>
      <c r="R14" s="7" t="s">
        <v>117</v>
      </c>
      <c r="S14" s="7" t="s">
        <v>117</v>
      </c>
      <c r="T14" s="239" t="s">
        <v>2364</v>
      </c>
      <c r="U14" s="207">
        <f t="shared" ca="1" si="0"/>
        <v>7.7369863013698632</v>
      </c>
      <c r="V14" s="207">
        <f t="shared" ca="1" si="12"/>
        <v>0</v>
      </c>
      <c r="W14" s="199">
        <f t="shared" ca="1" si="1"/>
        <v>3</v>
      </c>
      <c r="X14" s="199">
        <f t="shared" ca="1" si="2"/>
        <v>1</v>
      </c>
      <c r="Y14" s="165">
        <f t="shared" ca="1" si="3"/>
        <v>2596</v>
      </c>
      <c r="Z14" s="165">
        <f t="shared" ca="1" si="4"/>
        <v>2100</v>
      </c>
      <c r="AA14" s="165">
        <f t="shared" ca="1" si="5"/>
        <v>1462</v>
      </c>
      <c r="AB14" s="165">
        <f t="shared" ca="1" si="6"/>
        <v>1462</v>
      </c>
      <c r="AC14" s="26">
        <f t="shared" ca="1" si="7"/>
        <v>0.47614021571648696</v>
      </c>
      <c r="AD14" s="26">
        <f t="shared" ca="1" si="8"/>
        <v>1.0900000000000001</v>
      </c>
      <c r="AE14" s="200">
        <f t="shared" ca="1" si="9"/>
        <v>0</v>
      </c>
      <c r="AF14" s="158">
        <f t="shared" ca="1" si="10"/>
        <v>0</v>
      </c>
      <c r="AG14" s="158">
        <f t="shared" ca="1" si="11"/>
        <v>0</v>
      </c>
    </row>
    <row r="15" spans="5:33">
      <c r="E15" s="7" t="s">
        <v>2427</v>
      </c>
      <c r="F15" s="70">
        <v>760415</v>
      </c>
      <c r="G15" s="7" t="s">
        <v>126</v>
      </c>
      <c r="H15" s="239" t="s">
        <v>2353</v>
      </c>
      <c r="I15" s="7" t="s">
        <v>2356</v>
      </c>
      <c r="J15" s="7" t="s">
        <v>2360</v>
      </c>
      <c r="K15" s="240" t="s">
        <v>117</v>
      </c>
      <c r="L15" s="240" t="s">
        <v>117</v>
      </c>
      <c r="M15" s="7" t="s">
        <v>2392</v>
      </c>
      <c r="N15" s="240" t="s">
        <v>2369</v>
      </c>
      <c r="O15" s="240" t="s">
        <v>2379</v>
      </c>
      <c r="P15" s="242" t="s">
        <v>2385</v>
      </c>
      <c r="Q15" s="7" t="s">
        <v>203</v>
      </c>
      <c r="R15" s="7" t="s">
        <v>117</v>
      </c>
      <c r="S15" s="7" t="s">
        <v>117</v>
      </c>
      <c r="T15" s="239" t="s">
        <v>2364</v>
      </c>
      <c r="U15" s="207">
        <f t="shared" ca="1" si="0"/>
        <v>0</v>
      </c>
      <c r="V15" s="207">
        <f t="shared" ca="1" si="12"/>
        <v>15.210958904109591</v>
      </c>
      <c r="W15" s="199">
        <f t="shared" ca="1" si="1"/>
        <v>0</v>
      </c>
      <c r="X15" s="199">
        <f t="shared" ca="1" si="2"/>
        <v>0</v>
      </c>
      <c r="Y15" s="165">
        <f t="shared" ca="1" si="3"/>
        <v>0</v>
      </c>
      <c r="Z15" s="165">
        <f t="shared" ca="1" si="4"/>
        <v>0</v>
      </c>
      <c r="AA15" s="165">
        <f t="shared" ca="1" si="5"/>
        <v>0</v>
      </c>
      <c r="AB15" s="165">
        <f t="shared" ca="1" si="6"/>
        <v>0</v>
      </c>
      <c r="AC15" s="26">
        <f t="shared" ca="1" si="7"/>
        <v>0</v>
      </c>
      <c r="AD15" s="26">
        <f t="shared" ca="1" si="8"/>
        <v>0</v>
      </c>
      <c r="AE15" s="200">
        <f t="shared" ca="1" si="9"/>
        <v>0</v>
      </c>
      <c r="AF15" s="158">
        <f t="shared" ca="1" si="10"/>
        <v>0</v>
      </c>
      <c r="AG15" s="158">
        <f t="shared" ca="1" si="11"/>
        <v>0</v>
      </c>
    </row>
    <row r="16" spans="5:33">
      <c r="E16" s="240" t="s">
        <v>2428</v>
      </c>
      <c r="F16" s="70">
        <v>821121</v>
      </c>
      <c r="G16" s="240" t="s">
        <v>126</v>
      </c>
      <c r="H16" s="239" t="s">
        <v>2353</v>
      </c>
      <c r="I16" s="240" t="s">
        <v>2356</v>
      </c>
      <c r="J16" s="240" t="s">
        <v>2361</v>
      </c>
      <c r="K16" s="240" t="s">
        <v>117</v>
      </c>
      <c r="L16" s="240" t="s">
        <v>117</v>
      </c>
      <c r="M16" s="240" t="s">
        <v>2390</v>
      </c>
      <c r="N16" s="240" t="s">
        <v>2371</v>
      </c>
      <c r="O16" s="240" t="s">
        <v>2374</v>
      </c>
      <c r="P16" s="242" t="s">
        <v>2387</v>
      </c>
      <c r="Q16" s="240" t="s">
        <v>203</v>
      </c>
      <c r="R16" s="240" t="s">
        <v>117</v>
      </c>
      <c r="S16" s="240" t="s">
        <v>117</v>
      </c>
      <c r="T16" s="239" t="s">
        <v>2364</v>
      </c>
      <c r="U16" s="207">
        <f ca="1">IF(ISBLANK($E16), "", SUMPRODUCT((OFFSET(대표이사_참여인력_경력,0,0,ROWS(대표이사_참여인력_경력),1)=$E16)*1, OFFSET(대표이사_참여인력_경력,0,13,ROWS(대표이사_참여인력_경력),1), (OFFSET(대표이사_참여인력_경력,0,14,ROWS(대표이사_참여인력_경력),1)="YES")*1) )</f>
        <v>0</v>
      </c>
      <c r="V16" s="207">
        <f ca="1">IF(ISBLANK($E16), "", SUMPRODUCT((OFFSET(대표이사_참여인력_경력,0,0,ROWS(대표이사_참여인력_경력),1)=$E16)*1, OFFSET(대표이사_참여인력_경력,0,13,ROWS(대표이사_참여인력_경력),1), (OFFSET(대표이사_참여인력_경력,0,14,ROWS(대표이사_참여인력_경력),1)="NO")*1, (OFFSET(대표이사_참여인력_경력,0,16,ROWS(대표이사_참여인력_경력),1)="YES")*1) )</f>
        <v>3.4602739726027396</v>
      </c>
      <c r="W16" s="199">
        <f ca="1">IF(ISBLANK($E16), "", SUMPRODUCT((OFFSET(대표이사_참여인력_투자현황,0,0,ROWS(대표이사_참여인력_투자현황),1)=$E16)*1, ISTEXT(OFFSET(대표이사_참여인력_투자현황,0,8,ROWS(대표이사_참여인력_투자현황),1))*1))</f>
        <v>0</v>
      </c>
      <c r="X16" s="199">
        <f ca="1">IF(ISBLANK($E16), "", SUMPRODUCT((OFFSET(대표이사_참여인력_투자현황,0,0,ROWS(대표이사_참여인력_투자현황),1)=$E16)*1, (OFFSET(대표이사_참여인력_투자현황,0,17,ROWS(대표이사_참여인력_투자현황),1)="회수료")*1))</f>
        <v>0</v>
      </c>
      <c r="Y16" s="165">
        <f ca="1">IF(ISBLANK($E16), "", SUMPRODUCT((OFFSET(대표이사_참여인력_투자현황,0,0,ROWS(대표이사_참여인력_투자현황),1)=$E16)*1, OFFSET(대표이사_참여인력_투자현황,0,15,ROWS(대표이사_참여인력_투자현황),1)))</f>
        <v>0</v>
      </c>
      <c r="Z16" s="165">
        <f ca="1">IF(ISBLANK($E16), "", SUMPRODUCT((OFFSET(대표이사_참여인력_투자현황,0,0,ROWS(대표이사_참여인력_투자현황),1)=$E16)*1, OFFSET(대표이사_참여인력_투자현황,0,20,ROWS(대표이사_참여인력_투자현황),1)))</f>
        <v>0</v>
      </c>
      <c r="AA16" s="165">
        <f ca="1">IF(ISBLANK($E16), "", SUMPRODUCT((OFFSET(대표이사_참여인력_투자현황,0,0,ROWS(대표이사_참여인력_투자현황),1)=$E16)*1, OFFSET(대표이사_참여인력_투자현황,0,27,ROWS(대표이사_참여인력_투자현황),1)))</f>
        <v>0</v>
      </c>
      <c r="AB16" s="165">
        <f ca="1">IF(ISBLANK($E16), "", SUMPRODUCT((OFFSET(대표이사_참여인력_투자현황,0,0,ROWS(대표이사_참여인력_투자현황),1)=$E16)*1, OFFSET(대표이사_참여인력_투자현황,0,28,ROWS(대표이사_참여인력_투자현황),1)))</f>
        <v>0</v>
      </c>
      <c r="AC16" s="26">
        <f ca="1">IFERROR(IF(ISBLANK($E16), "", SUMPRODUCT((OFFSET(대표이사_참여인력_투자현황,0,0,ROWS(대표이사_참여인력_투자현황),1)=$E16)*1, OFFSET(대표이사_참여인력_투자현황,0,15,ROWS(대표이사_참여인력_투자현황),1), OFFSET(대표이사_참여인력_투자현황,0,18,ROWS(대표이사_참여인력_투자현황),1))/Y16),0)</f>
        <v>0</v>
      </c>
      <c r="AD16" s="26">
        <f ca="1">IFERROR(IF(ISBLANK($E16), "",IF(SUMPRODUCT( (OFFSET(대표이사_참여인력_투자현황,0,0,ROWS(대표이사_참여인력_투자현황),1)=$E16)*1, OFFSET(대표이사_참여인력_투자현황,0,15,ROWS(대표이사_참여인력_투자현황),1), (OFFSET(대표이사_참여인력_투자현황,0,17,ROWS(대표이사_참여인력_투자현황),1)="회수료")*1 ) = 0,    0,    SUMPRODUCT( (OFFSET(대표이사_참여인력_투자현황,0,0,ROWS(대표이사_참여인력_투자현황),1)=$E16)*1, OFFSET(대표이사_참여인력_투자현황,0,15,ROWS(대표이사_참여인력_투자현황),1), (OFFSET(대표이사_참여인력_투자현황,0,17,ROWS(대표이사_참여인력_투자현황),1)="회수료")*1, OFFSET(대표이사_참여인력_투자현황,0,18,ROWS(대표이사_참여인력_투자현황),1) ) / SUMPRODUCT( (OFFSET(대표이사_참여인력_투자현황,0,0,ROWS(대표이사_참여인력_투자현황),1)=$E16)*1, OFFSET(대표이사_참여인력_투자현황,0,15,ROWS(대표이사_참여인력_투자현황),1), (OFFSET(대표이사_참여인력_투자현황,0,17,ROWS(대표이사_참여인력_투자현황),1)="회수료")*1 )     )),0)</f>
        <v>0</v>
      </c>
      <c r="AE16" s="200">
        <f ca="1">IF(ISBLANK($E16), "", SUMPRODUCT( (OFFSET(제안사_투자현황,0,24,ROWS(제안사_투자현황),1)=$E16)*1, (OFFSET(제안사_투자현황,0,10,ROWS(제안사_투자현황),1)&lt;&gt;"회수료")*1 ) )</f>
        <v>0</v>
      </c>
      <c r="AF16" s="158">
        <f ca="1">IF(ISBLANK($E16), "",  SUMPRODUCT( (OFFSET(제안사_투자현황,0,24,ROWS(제안사_투자현황),1)=$E16)*1, (OFFSET(제안사_투자현황,0,10,ROWS(제안사_투자현황),1)&lt;&gt;"회수료")*1, OFFSET(제안사_투자현황,0,21,ROWS(제안사_투자현황),1) ) )</f>
        <v>0</v>
      </c>
      <c r="AG16" s="158">
        <f ca="1">IF(ISBLANK($E16), "",  SUMPRODUCT( (OFFSET(제안사_투자현황,0,24,ROWS(제안사_투자현황),1)=$E16)*1, (OFFSET(제안사_투자현황,0,10,ROWS(제안사_투자현황),1)&lt;&gt;"회수료")*1, OFFSET(제안사_투자현황,0,22,ROWS(제안사_투자현황),1) ) )</f>
        <v>0</v>
      </c>
    </row>
    <row r="17" spans="5:33">
      <c r="E17" s="240" t="s">
        <v>2352</v>
      </c>
      <c r="F17" s="70">
        <v>901120</v>
      </c>
      <c r="G17" s="240" t="s">
        <v>126</v>
      </c>
      <c r="H17" s="239" t="s">
        <v>2353</v>
      </c>
      <c r="I17" s="240" t="s">
        <v>2356</v>
      </c>
      <c r="J17" s="240" t="s">
        <v>2363</v>
      </c>
      <c r="K17" s="240" t="s">
        <v>117</v>
      </c>
      <c r="L17" s="240" t="s">
        <v>117</v>
      </c>
      <c r="M17" s="240" t="s">
        <v>2390</v>
      </c>
      <c r="N17" s="240" t="s">
        <v>2372</v>
      </c>
      <c r="O17" s="240" t="s">
        <v>2373</v>
      </c>
      <c r="P17" s="242" t="s">
        <v>2388</v>
      </c>
      <c r="Q17" s="240" t="s">
        <v>203</v>
      </c>
      <c r="R17" s="240" t="s">
        <v>117</v>
      </c>
      <c r="S17" s="240" t="s">
        <v>117</v>
      </c>
      <c r="T17" s="239" t="s">
        <v>2364</v>
      </c>
      <c r="U17" s="207">
        <f ca="1">IF(ISBLANK($E17), "", SUMPRODUCT((OFFSET(대표이사_참여인력_경력,0,0,ROWS(대표이사_참여인력_경력),1)=$E17)*1, OFFSET(대표이사_참여인력_경력,0,13,ROWS(대표이사_참여인력_경력),1), (OFFSET(대표이사_참여인력_경력,0,14,ROWS(대표이사_참여인력_경력),1)="YES")*1) )</f>
        <v>0</v>
      </c>
      <c r="V17" s="207">
        <f ca="1">IF(ISBLANK($E17), "", SUMPRODUCT((OFFSET(대표이사_참여인력_경력,0,0,ROWS(대표이사_참여인력_경력),1)=$E17)*1, OFFSET(대표이사_참여인력_경력,0,13,ROWS(대표이사_참여인력_경력),1), (OFFSET(대표이사_참여인력_경력,0,14,ROWS(대표이사_참여인력_경력),1)="NO")*1, (OFFSET(대표이사_참여인력_경력,0,16,ROWS(대표이사_참여인력_경력),1)="YES")*1) )</f>
        <v>0.66301369863013704</v>
      </c>
      <c r="W17" s="199">
        <f ca="1">IF(ISBLANK($E17), "", SUMPRODUCT((OFFSET(대표이사_참여인력_투자현황,0,0,ROWS(대표이사_참여인력_투자현황),1)=$E17)*1, ISTEXT(OFFSET(대표이사_참여인력_투자현황,0,8,ROWS(대표이사_참여인력_투자현황),1))*1))</f>
        <v>0</v>
      </c>
      <c r="X17" s="199">
        <f ca="1">IF(ISBLANK($E17), "", SUMPRODUCT((OFFSET(대표이사_참여인력_투자현황,0,0,ROWS(대표이사_참여인력_투자현황),1)=$E17)*1, (OFFSET(대표이사_참여인력_투자현황,0,17,ROWS(대표이사_참여인력_투자현황),1)="회수료")*1))</f>
        <v>0</v>
      </c>
      <c r="Y17" s="165">
        <f ca="1">IF(ISBLANK($E17), "", SUMPRODUCT((OFFSET(대표이사_참여인력_투자현황,0,0,ROWS(대표이사_참여인력_투자현황),1)=$E17)*1, OFFSET(대표이사_참여인력_투자현황,0,15,ROWS(대표이사_참여인력_투자현황),1)))</f>
        <v>0</v>
      </c>
      <c r="Z17" s="165">
        <f ca="1">IF(ISBLANK($E17), "", SUMPRODUCT((OFFSET(대표이사_참여인력_투자현황,0,0,ROWS(대표이사_참여인력_투자현황),1)=$E17)*1, OFFSET(대표이사_참여인력_투자현황,0,20,ROWS(대표이사_참여인력_투자현황),1)))</f>
        <v>0</v>
      </c>
      <c r="AA17" s="165">
        <f ca="1">IF(ISBLANK($E17), "", SUMPRODUCT((OFFSET(대표이사_참여인력_투자현황,0,0,ROWS(대표이사_참여인력_투자현황),1)=$E17)*1, OFFSET(대표이사_참여인력_투자현황,0,27,ROWS(대표이사_참여인력_투자현황),1)))</f>
        <v>0</v>
      </c>
      <c r="AB17" s="165">
        <f ca="1">IF(ISBLANK($E17), "", SUMPRODUCT((OFFSET(대표이사_참여인력_투자현황,0,0,ROWS(대표이사_참여인력_투자현황),1)=$E17)*1, OFFSET(대표이사_참여인력_투자현황,0,28,ROWS(대표이사_참여인력_투자현황),1)))</f>
        <v>0</v>
      </c>
      <c r="AC17" s="26">
        <f ca="1">IFERROR(IF(ISBLANK($E17), "", SUMPRODUCT((OFFSET(대표이사_참여인력_투자현황,0,0,ROWS(대표이사_참여인력_투자현황),1)=$E17)*1, OFFSET(대표이사_참여인력_투자현황,0,15,ROWS(대표이사_참여인력_투자현황),1), OFFSET(대표이사_참여인력_투자현황,0,18,ROWS(대표이사_참여인력_투자현황),1))/Y17),0)</f>
        <v>0</v>
      </c>
      <c r="AD17" s="26">
        <f ca="1">IFERROR(IF(ISBLANK($E17), "",IF(SUMPRODUCT( (OFFSET(대표이사_참여인력_투자현황,0,0,ROWS(대표이사_참여인력_투자현황),1)=$E17)*1, OFFSET(대표이사_참여인력_투자현황,0,15,ROWS(대표이사_참여인력_투자현황),1), (OFFSET(대표이사_참여인력_투자현황,0,17,ROWS(대표이사_참여인력_투자현황),1)="회수료")*1 ) = 0,    0,    SUMPRODUCT( (OFFSET(대표이사_참여인력_투자현황,0,0,ROWS(대표이사_참여인력_투자현황),1)=$E17)*1, OFFSET(대표이사_참여인력_투자현황,0,15,ROWS(대표이사_참여인력_투자현황),1), (OFFSET(대표이사_참여인력_투자현황,0,17,ROWS(대표이사_참여인력_투자현황),1)="회수료")*1, OFFSET(대표이사_참여인력_투자현황,0,18,ROWS(대표이사_참여인력_투자현황),1) ) / SUMPRODUCT( (OFFSET(대표이사_참여인력_투자현황,0,0,ROWS(대표이사_참여인력_투자현황),1)=$E17)*1, OFFSET(대표이사_참여인력_투자현황,0,15,ROWS(대표이사_참여인력_투자현황),1), (OFFSET(대표이사_참여인력_투자현황,0,17,ROWS(대표이사_참여인력_투자현황),1)="회수료")*1 )     )),0)</f>
        <v>0</v>
      </c>
      <c r="AE17" s="200">
        <f ca="1">IF(ISBLANK($E17), "", SUMPRODUCT( (OFFSET(제안사_투자현황,0,24,ROWS(제안사_투자현황),1)=$E17)*1, (OFFSET(제안사_투자현황,0,10,ROWS(제안사_투자현황),1)&lt;&gt;"회수료")*1 ) )</f>
        <v>0</v>
      </c>
      <c r="AF17" s="158">
        <f ca="1">IF(ISBLANK($E17), "",  SUMPRODUCT( (OFFSET(제안사_투자현황,0,24,ROWS(제안사_투자현황),1)=$E17)*1, (OFFSET(제안사_투자현황,0,10,ROWS(제안사_투자현황),1)&lt;&gt;"회수료")*1, OFFSET(제안사_투자현황,0,21,ROWS(제안사_투자현황),1) ) )</f>
        <v>0</v>
      </c>
      <c r="AG17" s="158">
        <f ca="1">IF(ISBLANK($E17), "",  SUMPRODUCT( (OFFSET(제안사_투자현황,0,24,ROWS(제안사_투자현황),1)=$E17)*1, (OFFSET(제안사_투자현황,0,10,ROWS(제안사_투자현황),1)&lt;&gt;"회수료")*1, OFFSET(제안사_투자현황,0,22,ROWS(제안사_투자현황),1) ) )</f>
        <v>0</v>
      </c>
    </row>
    <row r="18" spans="5:33">
      <c r="E18" s="240" t="s">
        <v>2351</v>
      </c>
      <c r="F18" s="70">
        <v>740420</v>
      </c>
      <c r="G18" s="240" t="s">
        <v>126</v>
      </c>
      <c r="H18" s="239" t="s">
        <v>2353</v>
      </c>
      <c r="I18" s="240" t="s">
        <v>2357</v>
      </c>
      <c r="J18" s="240" t="s">
        <v>2362</v>
      </c>
      <c r="K18" s="240" t="s">
        <v>117</v>
      </c>
      <c r="L18" s="240" t="s">
        <v>117</v>
      </c>
      <c r="M18" s="240" t="s">
        <v>2391</v>
      </c>
      <c r="N18" s="240" t="s">
        <v>2370</v>
      </c>
      <c r="O18" s="240" t="s">
        <v>2380</v>
      </c>
      <c r="P18" s="242" t="s">
        <v>2386</v>
      </c>
      <c r="Q18" s="240" t="s">
        <v>203</v>
      </c>
      <c r="R18" s="240" t="s">
        <v>117</v>
      </c>
      <c r="S18" s="240" t="s">
        <v>117</v>
      </c>
      <c r="T18" s="239" t="s">
        <v>2364</v>
      </c>
      <c r="U18" s="207">
        <f t="shared" ca="1" si="0"/>
        <v>0</v>
      </c>
      <c r="V18" s="207">
        <f t="shared" ca="1" si="12"/>
        <v>15.572602739726028</v>
      </c>
      <c r="W18" s="199">
        <f t="shared" ca="1" si="1"/>
        <v>0</v>
      </c>
      <c r="X18" s="199">
        <f t="shared" ca="1" si="2"/>
        <v>0</v>
      </c>
      <c r="Y18" s="165">
        <f t="shared" ca="1" si="3"/>
        <v>0</v>
      </c>
      <c r="Z18" s="165">
        <f t="shared" ca="1" si="4"/>
        <v>0</v>
      </c>
      <c r="AA18" s="165">
        <f t="shared" ca="1" si="5"/>
        <v>0</v>
      </c>
      <c r="AB18" s="165">
        <f t="shared" ca="1" si="6"/>
        <v>0</v>
      </c>
      <c r="AC18" s="26">
        <f t="shared" ref="AC18:AC22" ca="1" si="13">IFERROR(IF(ISBLANK($E18), "", SUMPRODUCT((OFFSET(대표이사_참여인력_투자현황,0,0,ROWS(대표이사_참여인력_투자현황),1)=$E18)*1, OFFSET(대표이사_참여인력_투자현황,0,15,ROWS(대표이사_참여인력_투자현황),1), OFFSET(대표이사_참여인력_투자현황,0,18,ROWS(대표이사_참여인력_투자현황),1))/Y18),0)</f>
        <v>0</v>
      </c>
      <c r="AD18" s="26">
        <f t="shared" ca="1" si="8"/>
        <v>0</v>
      </c>
      <c r="AE18" s="200">
        <f t="shared" ca="1" si="9"/>
        <v>0</v>
      </c>
      <c r="AF18" s="158">
        <f t="shared" ca="1" si="10"/>
        <v>0</v>
      </c>
      <c r="AG18" s="158">
        <f t="shared" ca="1" si="11"/>
        <v>0</v>
      </c>
    </row>
    <row r="19" spans="5:33">
      <c r="E19" s="263" t="s">
        <v>2656</v>
      </c>
      <c r="F19" s="264">
        <v>851219</v>
      </c>
      <c r="G19" s="263" t="s">
        <v>2657</v>
      </c>
      <c r="H19" s="239" t="s">
        <v>2353</v>
      </c>
      <c r="I19" s="240" t="s">
        <v>2357</v>
      </c>
      <c r="J19" s="263" t="s">
        <v>2650</v>
      </c>
      <c r="K19" s="240" t="s">
        <v>117</v>
      </c>
      <c r="L19" s="240" t="s">
        <v>117</v>
      </c>
      <c r="M19" s="240" t="s">
        <v>2357</v>
      </c>
      <c r="N19" s="263" t="s">
        <v>2658</v>
      </c>
      <c r="O19" s="263" t="s">
        <v>2659</v>
      </c>
      <c r="P19" s="372" t="s">
        <v>2660</v>
      </c>
      <c r="Q19" s="240" t="s">
        <v>203</v>
      </c>
      <c r="R19" s="240" t="s">
        <v>117</v>
      </c>
      <c r="S19" s="240" t="s">
        <v>117</v>
      </c>
      <c r="T19" s="239" t="s">
        <v>2364</v>
      </c>
      <c r="U19" s="207">
        <f t="shared" ca="1" si="0"/>
        <v>0</v>
      </c>
      <c r="V19" s="207">
        <f t="shared" ca="1" si="12"/>
        <v>1.4219178082191781</v>
      </c>
      <c r="W19" s="199">
        <f t="shared" ca="1" si="1"/>
        <v>0</v>
      </c>
      <c r="X19" s="199">
        <f t="shared" ca="1" si="2"/>
        <v>0</v>
      </c>
      <c r="Y19" s="165">
        <f t="shared" ca="1" si="3"/>
        <v>0</v>
      </c>
      <c r="Z19" s="165">
        <f t="shared" ca="1" si="4"/>
        <v>0</v>
      </c>
      <c r="AA19" s="165">
        <f t="shared" ca="1" si="5"/>
        <v>0</v>
      </c>
      <c r="AB19" s="165">
        <f t="shared" ca="1" si="6"/>
        <v>0</v>
      </c>
      <c r="AC19" s="26">
        <f t="shared" ref="AC19" ca="1" si="14">IFERROR(IF(ISBLANK($E19), "", SUMPRODUCT((OFFSET(대표이사_참여인력_투자현황,0,0,ROWS(대표이사_참여인력_투자현황),1)=$E19)*1, OFFSET(대표이사_참여인력_투자현황,0,15,ROWS(대표이사_참여인력_투자현황),1), OFFSET(대표이사_참여인력_투자현황,0,18,ROWS(대표이사_참여인력_투자현황),1))/Y19),0)</f>
        <v>0</v>
      </c>
      <c r="AD19" s="26">
        <f t="shared" ca="1" si="8"/>
        <v>0</v>
      </c>
      <c r="AE19" s="200">
        <f t="shared" ca="1" si="9"/>
        <v>0</v>
      </c>
      <c r="AF19" s="158">
        <f t="shared" ca="1" si="10"/>
        <v>0</v>
      </c>
      <c r="AG19" s="158">
        <f t="shared" ca="1" si="11"/>
        <v>0</v>
      </c>
    </row>
    <row r="20" spans="5:33" hidden="1">
      <c r="E20" s="240"/>
      <c r="F20" s="70"/>
      <c r="G20" s="240"/>
      <c r="H20" s="239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39"/>
      <c r="U20" s="207" t="str">
        <f t="shared" ca="1" si="0"/>
        <v/>
      </c>
      <c r="V20" s="207" t="str">
        <f t="shared" ca="1" si="12"/>
        <v/>
      </c>
      <c r="W20" s="199" t="str">
        <f t="shared" ca="1" si="1"/>
        <v/>
      </c>
      <c r="X20" s="199" t="str">
        <f t="shared" ca="1" si="2"/>
        <v/>
      </c>
      <c r="Y20" s="165" t="str">
        <f t="shared" ca="1" si="3"/>
        <v/>
      </c>
      <c r="Z20" s="165" t="str">
        <f t="shared" ca="1" si="4"/>
        <v/>
      </c>
      <c r="AA20" s="165" t="str">
        <f t="shared" ca="1" si="5"/>
        <v/>
      </c>
      <c r="AB20" s="165" t="str">
        <f t="shared" ca="1" si="6"/>
        <v/>
      </c>
      <c r="AC20" s="26" t="str">
        <f t="shared" ca="1" si="13"/>
        <v/>
      </c>
      <c r="AD20" s="26" t="str">
        <f t="shared" ca="1" si="8"/>
        <v/>
      </c>
      <c r="AE20" s="200" t="str">
        <f t="shared" ca="1" si="9"/>
        <v/>
      </c>
      <c r="AF20" s="158" t="str">
        <f t="shared" ca="1" si="10"/>
        <v/>
      </c>
      <c r="AG20" s="158" t="str">
        <f t="shared" ca="1" si="11"/>
        <v/>
      </c>
    </row>
    <row r="21" spans="5:33" hidden="1">
      <c r="E21" s="240"/>
      <c r="F21" s="70"/>
      <c r="G21" s="240"/>
      <c r="H21" s="239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39"/>
      <c r="U21" s="207" t="str">
        <f t="shared" ca="1" si="0"/>
        <v/>
      </c>
      <c r="V21" s="207" t="str">
        <f t="shared" ca="1" si="12"/>
        <v/>
      </c>
      <c r="W21" s="199" t="str">
        <f t="shared" ca="1" si="1"/>
        <v/>
      </c>
      <c r="X21" s="199" t="str">
        <f t="shared" ca="1" si="2"/>
        <v/>
      </c>
      <c r="Y21" s="165" t="str">
        <f t="shared" ca="1" si="3"/>
        <v/>
      </c>
      <c r="Z21" s="165" t="str">
        <f t="shared" ca="1" si="4"/>
        <v/>
      </c>
      <c r="AA21" s="165" t="str">
        <f t="shared" ca="1" si="5"/>
        <v/>
      </c>
      <c r="AB21" s="165" t="str">
        <f t="shared" ca="1" si="6"/>
        <v/>
      </c>
      <c r="AC21" s="26" t="str">
        <f t="shared" ca="1" si="13"/>
        <v/>
      </c>
      <c r="AD21" s="26" t="str">
        <f t="shared" ca="1" si="8"/>
        <v/>
      </c>
      <c r="AE21" s="200" t="str">
        <f t="shared" ca="1" si="9"/>
        <v/>
      </c>
      <c r="AF21" s="158" t="str">
        <f t="shared" ca="1" si="10"/>
        <v/>
      </c>
      <c r="AG21" s="158" t="str">
        <f t="shared" ca="1" si="11"/>
        <v/>
      </c>
    </row>
    <row r="22" spans="5:33" hidden="1">
      <c r="E22" s="240"/>
      <c r="F22" s="70"/>
      <c r="G22" s="240"/>
      <c r="H22" s="239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39"/>
      <c r="U22" s="207" t="str">
        <f t="shared" ca="1" si="0"/>
        <v/>
      </c>
      <c r="V22" s="207" t="str">
        <f t="shared" ca="1" si="12"/>
        <v/>
      </c>
      <c r="W22" s="199" t="str">
        <f t="shared" ca="1" si="1"/>
        <v/>
      </c>
      <c r="X22" s="199" t="str">
        <f t="shared" ca="1" si="2"/>
        <v/>
      </c>
      <c r="Y22" s="165" t="str">
        <f t="shared" ca="1" si="3"/>
        <v/>
      </c>
      <c r="Z22" s="165" t="str">
        <f t="shared" ca="1" si="4"/>
        <v/>
      </c>
      <c r="AA22" s="165" t="str">
        <f t="shared" ca="1" si="5"/>
        <v/>
      </c>
      <c r="AB22" s="165" t="str">
        <f t="shared" ca="1" si="6"/>
        <v/>
      </c>
      <c r="AC22" s="26" t="str">
        <f t="shared" ca="1" si="13"/>
        <v/>
      </c>
      <c r="AD22" s="26" t="str">
        <f t="shared" ca="1" si="8"/>
        <v/>
      </c>
      <c r="AE22" s="200" t="str">
        <f t="shared" ca="1" si="9"/>
        <v/>
      </c>
      <c r="AF22" s="158" t="str">
        <f t="shared" ca="1" si="10"/>
        <v/>
      </c>
      <c r="AG22" s="158" t="str">
        <f t="shared" ca="1" si="11"/>
        <v/>
      </c>
    </row>
    <row r="23" spans="5:33"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</row>
  </sheetData>
  <mergeCells count="9">
    <mergeCell ref="U4:U5"/>
    <mergeCell ref="W4:AD4"/>
    <mergeCell ref="AE4:AG4"/>
    <mergeCell ref="E4:G4"/>
    <mergeCell ref="H4:P4"/>
    <mergeCell ref="Q4:Q5"/>
    <mergeCell ref="S4:T4"/>
    <mergeCell ref="V4:V5"/>
    <mergeCell ref="R4:R5"/>
  </mergeCells>
  <phoneticPr fontId="1" type="noConversion"/>
  <dataValidations count="3">
    <dataValidation type="list" allowBlank="1" showInputMessage="1" showErrorMessage="1" error="목록에서 선택" sqref="S11:S19 S20:S22">
      <formula1>여부</formula1>
    </dataValidation>
    <dataValidation type="list" allowBlank="1" showInputMessage="1" showErrorMessage="1" sqref="Q11:Q19 Q20:Q22">
      <formula1>참여인력구분</formula1>
    </dataValidation>
    <dataValidation type="list" allowBlank="1" showInputMessage="1" showErrorMessage="1" sqref="K11:L19 K20:L22 R11:R19 R20:R22">
      <formula1>여부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E93"/>
  <sheetViews>
    <sheetView topLeftCell="E62" zoomScale="85" zoomScaleNormal="85" workbookViewId="0">
      <selection activeCell="V111" sqref="V111:V112"/>
    </sheetView>
  </sheetViews>
  <sheetFormatPr defaultRowHeight="13.5"/>
  <cols>
    <col min="1" max="4" width="9" style="1" hidden="1" customWidth="1"/>
    <col min="5" max="5" width="6.375" style="1" bestFit="1" customWidth="1"/>
    <col min="6" max="6" width="10.625" style="1" customWidth="1"/>
    <col min="7" max="7" width="16.5" style="1" customWidth="1"/>
    <col min="8" max="8" width="7.625" style="1" bestFit="1" customWidth="1"/>
    <col min="9" max="9" width="14.375" style="1" customWidth="1"/>
    <col min="10" max="10" width="11.625" style="1" customWidth="1"/>
    <col min="11" max="11" width="11.75" style="1" customWidth="1"/>
    <col min="12" max="12" width="4.625" style="1" customWidth="1"/>
    <col min="13" max="13" width="20" style="1" customWidth="1"/>
    <col min="14" max="14" width="11" style="1" customWidth="1"/>
    <col min="15" max="15" width="26.25" style="269" bestFit="1" customWidth="1"/>
    <col min="16" max="16" width="15.25" style="1" customWidth="1"/>
    <col min="17" max="17" width="25.375" style="326" customWidth="1"/>
    <col min="18" max="18" width="10.625" style="1" customWidth="1"/>
    <col min="19" max="19" width="8.625" style="1" customWidth="1"/>
    <col min="20" max="21" width="7.625" style="1" customWidth="1"/>
    <col min="22" max="22" width="8.25" style="1" bestFit="1" customWidth="1"/>
    <col min="23" max="23" width="7.625" style="1" customWidth="1"/>
    <col min="24" max="24" width="10.625" style="1" customWidth="1"/>
    <col min="25" max="26" width="7.625" style="1" customWidth="1"/>
    <col min="27" max="27" width="8.625" style="1" customWidth="1"/>
    <col min="28" max="28" width="4.625" style="1" customWidth="1"/>
    <col min="29" max="29" width="6.5" style="1" customWidth="1"/>
    <col min="30" max="30" width="6.625" style="1" customWidth="1"/>
    <col min="31" max="31" width="4.625" style="1" customWidth="1"/>
    <col min="32" max="33" width="7.625" style="1" customWidth="1"/>
    <col min="34" max="34" width="18.625" style="1" customWidth="1"/>
    <col min="35" max="36" width="10.625" style="1" customWidth="1"/>
    <col min="37" max="37" width="9.25" style="1" customWidth="1"/>
    <col min="38" max="38" width="5.75" style="1" customWidth="1"/>
    <col min="39" max="39" width="5.875" style="1" customWidth="1"/>
    <col min="40" max="42" width="6.625" style="1" customWidth="1"/>
    <col min="43" max="43" width="28.125" style="1" customWidth="1"/>
    <col min="44" max="44" width="38.875" style="1" customWidth="1"/>
    <col min="45" max="45" width="19.75" style="1" customWidth="1"/>
    <col min="46" max="46" width="23.125" style="1" customWidth="1"/>
    <col min="47" max="48" width="16.125" style="1" customWidth="1"/>
    <col min="49" max="49" width="7.875" style="1" customWidth="1"/>
    <col min="50" max="50" width="7.5" style="1" customWidth="1"/>
    <col min="51" max="52" width="9.75" style="1" bestFit="1" customWidth="1"/>
    <col min="53" max="53" width="6.375" style="1" customWidth="1"/>
    <col min="54" max="54" width="21.875" style="1" customWidth="1"/>
    <col min="55" max="55" width="6.625" style="1" customWidth="1"/>
    <col min="56" max="56" width="20.75" style="1" bestFit="1" customWidth="1"/>
    <col min="57" max="57" width="12.625" style="1" bestFit="1" customWidth="1"/>
    <col min="58" max="16384" width="9" style="1"/>
  </cols>
  <sheetData>
    <row r="1" spans="5:57" hidden="1">
      <c r="AQ1" s="269"/>
    </row>
    <row r="2" spans="5:57" ht="9.75" hidden="1" customHeight="1">
      <c r="AQ2" s="269"/>
    </row>
    <row r="3" spans="5:57" ht="21.75" hidden="1" customHeight="1" thickBot="1">
      <c r="AQ3" s="269"/>
    </row>
    <row r="4" spans="5:57" ht="48.75" customHeight="1">
      <c r="E4" s="549" t="s">
        <v>1445</v>
      </c>
      <c r="F4" s="549"/>
      <c r="G4" s="549" t="s">
        <v>1480</v>
      </c>
      <c r="H4" s="549"/>
      <c r="I4" s="549" t="s">
        <v>1481</v>
      </c>
      <c r="J4" s="549"/>
      <c r="K4" s="549"/>
      <c r="L4" s="549"/>
      <c r="M4" s="533" t="s">
        <v>1482</v>
      </c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43" t="s">
        <v>1349</v>
      </c>
      <c r="Y4" s="544"/>
      <c r="Z4" s="544"/>
      <c r="AA4" s="544"/>
      <c r="AB4" s="545"/>
      <c r="AC4" s="520" t="s">
        <v>1350</v>
      </c>
      <c r="AD4" s="522"/>
      <c r="AE4" s="549" t="s">
        <v>1351</v>
      </c>
      <c r="AF4" s="549"/>
      <c r="AG4" s="549"/>
      <c r="AH4" s="549"/>
      <c r="AI4" s="537" t="s">
        <v>1483</v>
      </c>
      <c r="AJ4" s="537"/>
      <c r="AK4" s="550" t="s">
        <v>136</v>
      </c>
      <c r="AL4" s="537" t="s">
        <v>1484</v>
      </c>
      <c r="AM4" s="537"/>
      <c r="AN4" s="537"/>
      <c r="AO4" s="537"/>
      <c r="AP4" s="537"/>
      <c r="AQ4" s="534"/>
      <c r="AR4" s="554" t="s">
        <v>1485</v>
      </c>
      <c r="AS4" s="555"/>
      <c r="AT4" s="555"/>
      <c r="AU4" s="555"/>
      <c r="AV4" s="555"/>
      <c r="AW4" s="555"/>
      <c r="AX4" s="555"/>
      <c r="AY4" s="555"/>
      <c r="AZ4" s="555"/>
      <c r="BA4" s="556"/>
      <c r="BB4" s="552" t="s">
        <v>1352</v>
      </c>
      <c r="BC4" s="549" t="s">
        <v>1486</v>
      </c>
      <c r="BD4" s="549"/>
      <c r="BE4" s="549"/>
    </row>
    <row r="5" spans="5:57" ht="42.75" customHeight="1">
      <c r="E5" s="185" t="s">
        <v>1454</v>
      </c>
      <c r="F5" s="74" t="s">
        <v>1455</v>
      </c>
      <c r="G5" s="178" t="s">
        <v>1487</v>
      </c>
      <c r="H5" s="178" t="s">
        <v>1488</v>
      </c>
      <c r="I5" s="178" t="s">
        <v>1489</v>
      </c>
      <c r="J5" s="178" t="s">
        <v>1409</v>
      </c>
      <c r="K5" s="178" t="s">
        <v>1410</v>
      </c>
      <c r="L5" s="178" t="s">
        <v>1488</v>
      </c>
      <c r="M5" s="181" t="s">
        <v>1490</v>
      </c>
      <c r="N5" s="182" t="s">
        <v>1491</v>
      </c>
      <c r="O5" s="267" t="s">
        <v>1492</v>
      </c>
      <c r="P5" s="375" t="s">
        <v>2981</v>
      </c>
      <c r="Q5" s="323" t="s">
        <v>1493</v>
      </c>
      <c r="R5" s="57" t="s">
        <v>1494</v>
      </c>
      <c r="S5" s="185" t="s">
        <v>1495</v>
      </c>
      <c r="T5" s="185" t="s">
        <v>1496</v>
      </c>
      <c r="U5" s="185" t="s">
        <v>1497</v>
      </c>
      <c r="V5" s="178" t="s">
        <v>1498</v>
      </c>
      <c r="W5" s="58" t="s">
        <v>1499</v>
      </c>
      <c r="X5" s="35" t="s">
        <v>1500</v>
      </c>
      <c r="Y5" s="185" t="s">
        <v>1471</v>
      </c>
      <c r="Z5" s="185" t="s">
        <v>1501</v>
      </c>
      <c r="AA5" s="178" t="s">
        <v>1502</v>
      </c>
      <c r="AB5" s="178" t="s">
        <v>1503</v>
      </c>
      <c r="AC5" s="185" t="s">
        <v>1504</v>
      </c>
      <c r="AD5" s="185" t="s">
        <v>1505</v>
      </c>
      <c r="AE5" s="185" t="s">
        <v>1506</v>
      </c>
      <c r="AF5" s="185" t="s">
        <v>1501</v>
      </c>
      <c r="AG5" s="185" t="s">
        <v>1507</v>
      </c>
      <c r="AH5" s="185" t="s">
        <v>1508</v>
      </c>
      <c r="AI5" s="35" t="s">
        <v>1509</v>
      </c>
      <c r="AJ5" s="35" t="s">
        <v>1510</v>
      </c>
      <c r="AK5" s="551"/>
      <c r="AL5" s="184" t="s">
        <v>1511</v>
      </c>
      <c r="AM5" s="184" t="s">
        <v>1512</v>
      </c>
      <c r="AN5" s="184" t="s">
        <v>1513</v>
      </c>
      <c r="AO5" s="184" t="s">
        <v>1514</v>
      </c>
      <c r="AP5" s="185" t="s">
        <v>1515</v>
      </c>
      <c r="AQ5" s="180" t="s">
        <v>1516</v>
      </c>
      <c r="AR5" s="169" t="s">
        <v>1517</v>
      </c>
      <c r="AS5" s="213" t="s">
        <v>1518</v>
      </c>
      <c r="AT5" s="213" t="s">
        <v>1519</v>
      </c>
      <c r="AU5" s="214" t="s">
        <v>1520</v>
      </c>
      <c r="AV5" s="213" t="s">
        <v>1521</v>
      </c>
      <c r="AW5" s="213" t="s">
        <v>1522</v>
      </c>
      <c r="AX5" s="214" t="s">
        <v>74</v>
      </c>
      <c r="AY5" s="214" t="s">
        <v>1523</v>
      </c>
      <c r="AZ5" s="214" t="s">
        <v>1524</v>
      </c>
      <c r="BA5" s="192" t="s">
        <v>1525</v>
      </c>
      <c r="BB5" s="553"/>
      <c r="BC5" s="185" t="s">
        <v>1454</v>
      </c>
      <c r="BD5" s="185" t="s">
        <v>1526</v>
      </c>
      <c r="BE5" s="185" t="s">
        <v>1527</v>
      </c>
    </row>
    <row r="6" spans="5:57" hidden="1">
      <c r="E6" s="77"/>
      <c r="F6" s="78"/>
      <c r="G6" s="79"/>
      <c r="H6" s="79"/>
      <c r="I6" s="79"/>
      <c r="J6" s="79"/>
      <c r="K6" s="79"/>
      <c r="L6" s="79"/>
      <c r="M6" s="82"/>
      <c r="N6" s="63"/>
      <c r="O6" s="270"/>
      <c r="P6" s="82"/>
      <c r="Q6" s="82"/>
      <c r="R6" s="80"/>
      <c r="S6" s="81"/>
      <c r="T6" s="83"/>
      <c r="U6" s="83"/>
      <c r="V6" s="84"/>
      <c r="W6" s="85"/>
      <c r="X6" s="86"/>
      <c r="Y6" s="83"/>
      <c r="Z6" s="83"/>
      <c r="AA6" s="79"/>
      <c r="AB6" s="29"/>
      <c r="AC6" s="29"/>
      <c r="AD6" s="29"/>
      <c r="AE6" s="77"/>
      <c r="AF6" s="83"/>
      <c r="AG6" s="83"/>
      <c r="AH6" s="82"/>
      <c r="AI6" s="80"/>
      <c r="AJ6" s="80"/>
      <c r="AK6" s="80"/>
      <c r="AL6" s="81"/>
      <c r="AM6" s="81"/>
      <c r="AN6" s="77"/>
      <c r="AO6" s="77"/>
      <c r="AP6" s="77"/>
      <c r="AQ6" s="89"/>
      <c r="AR6" s="170"/>
      <c r="AS6" s="89"/>
      <c r="AT6" s="89"/>
      <c r="AU6" s="7"/>
      <c r="AV6" s="89"/>
      <c r="AW6" s="89"/>
      <c r="AX6" s="7"/>
      <c r="AY6" s="89"/>
      <c r="AZ6" s="89"/>
      <c r="BA6" s="172"/>
      <c r="BB6" s="82"/>
      <c r="BC6" s="77"/>
      <c r="BD6" s="82"/>
      <c r="BE6" s="83"/>
    </row>
    <row r="7" spans="5:57" hidden="1">
      <c r="E7" s="77"/>
      <c r="F7" s="78"/>
      <c r="G7" s="79"/>
      <c r="H7" s="79"/>
      <c r="I7" s="79"/>
      <c r="J7" s="79"/>
      <c r="K7" s="79"/>
      <c r="L7" s="79"/>
      <c r="M7" s="82"/>
      <c r="N7" s="63"/>
      <c r="O7" s="270"/>
      <c r="P7" s="82"/>
      <c r="Q7" s="82"/>
      <c r="R7" s="80"/>
      <c r="S7" s="81"/>
      <c r="T7" s="83"/>
      <c r="U7" s="83"/>
      <c r="V7" s="84"/>
      <c r="W7" s="85"/>
      <c r="X7" s="86"/>
      <c r="Y7" s="83"/>
      <c r="Z7" s="83"/>
      <c r="AA7" s="79"/>
      <c r="AB7" s="29"/>
      <c r="AC7" s="29"/>
      <c r="AD7" s="29"/>
      <c r="AE7" s="77"/>
      <c r="AF7" s="83"/>
      <c r="AG7" s="83"/>
      <c r="AH7" s="82"/>
      <c r="AI7" s="80"/>
      <c r="AJ7" s="80"/>
      <c r="AK7" s="80"/>
      <c r="AL7" s="81"/>
      <c r="AM7" s="81"/>
      <c r="AN7" s="77"/>
      <c r="AO7" s="77"/>
      <c r="AP7" s="77"/>
      <c r="AQ7" s="89"/>
      <c r="AR7" s="170"/>
      <c r="AS7" s="89"/>
      <c r="AT7" s="89"/>
      <c r="AU7" s="7"/>
      <c r="AV7" s="89"/>
      <c r="AW7" s="89"/>
      <c r="AX7" s="7"/>
      <c r="AY7" s="89"/>
      <c r="AZ7" s="89"/>
      <c r="BA7" s="172"/>
      <c r="BB7" s="82"/>
      <c r="BC7" s="77"/>
      <c r="BD7" s="82"/>
      <c r="BE7" s="83"/>
    </row>
    <row r="8" spans="5:57" hidden="1">
      <c r="E8" s="77"/>
      <c r="F8" s="78"/>
      <c r="G8" s="79"/>
      <c r="H8" s="79"/>
      <c r="I8" s="79"/>
      <c r="J8" s="79"/>
      <c r="K8" s="79"/>
      <c r="L8" s="79"/>
      <c r="M8" s="82"/>
      <c r="N8" s="63"/>
      <c r="O8" s="270"/>
      <c r="P8" s="82"/>
      <c r="Q8" s="82"/>
      <c r="R8" s="80"/>
      <c r="S8" s="81"/>
      <c r="T8" s="83"/>
      <c r="U8" s="83"/>
      <c r="V8" s="84"/>
      <c r="W8" s="85"/>
      <c r="X8" s="86"/>
      <c r="Y8" s="83"/>
      <c r="Z8" s="83"/>
      <c r="AA8" s="79"/>
      <c r="AB8" s="29"/>
      <c r="AC8" s="29"/>
      <c r="AD8" s="29"/>
      <c r="AE8" s="77"/>
      <c r="AF8" s="83"/>
      <c r="AG8" s="83"/>
      <c r="AH8" s="82"/>
      <c r="AI8" s="80"/>
      <c r="AJ8" s="80"/>
      <c r="AK8" s="80"/>
      <c r="AL8" s="81"/>
      <c r="AM8" s="81"/>
      <c r="AN8" s="77"/>
      <c r="AO8" s="77"/>
      <c r="AP8" s="77"/>
      <c r="AQ8" s="89"/>
      <c r="AR8" s="170"/>
      <c r="AS8" s="89"/>
      <c r="AT8" s="89"/>
      <c r="AU8" s="7"/>
      <c r="AV8" s="89"/>
      <c r="AW8" s="89"/>
      <c r="AX8" s="7"/>
      <c r="AY8" s="89"/>
      <c r="AZ8" s="89"/>
      <c r="BA8" s="172"/>
      <c r="BB8" s="82"/>
      <c r="BC8" s="77"/>
      <c r="BD8" s="82"/>
      <c r="BE8" s="83"/>
    </row>
    <row r="9" spans="5:57" hidden="1">
      <c r="E9" s="77"/>
      <c r="F9" s="78"/>
      <c r="G9" s="79"/>
      <c r="H9" s="79"/>
      <c r="I9" s="79"/>
      <c r="J9" s="79"/>
      <c r="K9" s="79"/>
      <c r="L9" s="79"/>
      <c r="M9" s="82"/>
      <c r="N9" s="39"/>
      <c r="O9" s="270"/>
      <c r="P9" s="82"/>
      <c r="Q9" s="82"/>
      <c r="R9" s="80"/>
      <c r="S9" s="81"/>
      <c r="T9" s="83"/>
      <c r="U9" s="83"/>
      <c r="V9" s="84"/>
      <c r="W9" s="85"/>
      <c r="X9" s="86"/>
      <c r="Y9" s="83"/>
      <c r="Z9" s="83"/>
      <c r="AA9" s="79"/>
      <c r="AB9" s="29"/>
      <c r="AC9" s="29"/>
      <c r="AD9" s="29"/>
      <c r="AE9" s="77"/>
      <c r="AF9" s="83"/>
      <c r="AG9" s="83"/>
      <c r="AH9" s="82"/>
      <c r="AI9" s="80"/>
      <c r="AJ9" s="80"/>
      <c r="AK9" s="80"/>
      <c r="AL9" s="81"/>
      <c r="AM9" s="81"/>
      <c r="AN9" s="77"/>
      <c r="AO9" s="77"/>
      <c r="AP9" s="77"/>
      <c r="AQ9" s="89"/>
      <c r="AR9" s="170"/>
      <c r="AS9" s="89"/>
      <c r="AT9" s="89"/>
      <c r="AU9" s="7"/>
      <c r="AV9" s="89"/>
      <c r="AW9" s="89"/>
      <c r="AX9" s="7"/>
      <c r="AY9" s="89"/>
      <c r="AZ9" s="89"/>
      <c r="BA9" s="172"/>
      <c r="BB9" s="82"/>
      <c r="BC9" s="77"/>
      <c r="BD9" s="82"/>
      <c r="BE9" s="83"/>
    </row>
    <row r="10" spans="5:57" hidden="1">
      <c r="E10" s="77"/>
      <c r="F10" s="78"/>
      <c r="G10" s="79"/>
      <c r="H10" s="79"/>
      <c r="I10" s="79"/>
      <c r="J10" s="79"/>
      <c r="K10" s="79"/>
      <c r="L10" s="79"/>
      <c r="M10" s="82"/>
      <c r="N10" s="39"/>
      <c r="O10" s="270"/>
      <c r="P10" s="82"/>
      <c r="Q10" s="82"/>
      <c r="R10" s="80"/>
      <c r="S10" s="81"/>
      <c r="T10" s="83"/>
      <c r="U10" s="83"/>
      <c r="V10" s="84"/>
      <c r="W10" s="85"/>
      <c r="X10" s="86"/>
      <c r="Y10" s="83"/>
      <c r="Z10" s="83"/>
      <c r="AA10" s="79"/>
      <c r="AB10" s="29"/>
      <c r="AC10" s="29"/>
      <c r="AD10" s="29"/>
      <c r="AE10" s="77"/>
      <c r="AF10" s="83"/>
      <c r="AG10" s="83"/>
      <c r="AH10" s="82"/>
      <c r="AI10" s="80"/>
      <c r="AJ10" s="80"/>
      <c r="AK10" s="80"/>
      <c r="AL10" s="81"/>
      <c r="AM10" s="81"/>
      <c r="AN10" s="77"/>
      <c r="AO10" s="77"/>
      <c r="AP10" s="77"/>
      <c r="AQ10" s="89"/>
      <c r="AR10" s="170"/>
      <c r="AS10" s="89"/>
      <c r="AT10" s="89"/>
      <c r="AU10" s="7"/>
      <c r="AV10" s="89"/>
      <c r="AW10" s="89"/>
      <c r="AX10" s="7"/>
      <c r="AY10" s="89"/>
      <c r="AZ10" s="89"/>
      <c r="BA10" s="172"/>
      <c r="BB10" s="82"/>
      <c r="BC10" s="77"/>
      <c r="BD10" s="82"/>
      <c r="BE10" s="83"/>
    </row>
    <row r="11" spans="5:57">
      <c r="E11" s="245" t="s">
        <v>2406</v>
      </c>
      <c r="F11" s="87">
        <f>IF(ISBLANK($E11), "", VLOOKUP($E11,대표이사_참여인력_개요,2,FALSE))</f>
        <v>670701</v>
      </c>
      <c r="G11" s="72" t="s">
        <v>2474</v>
      </c>
      <c r="H11" s="139">
        <f t="shared" ref="H11:H16" ca="1" si="0">IF(ISBLANK(G11),"",SUMPRODUCT( (OFFSET(대표이사_참여인력_경력,0,0,ROWS(대표이사_참여인력_경력),1)=$E11)*1, (OFFSET(대표이사_참여인력_경력,0,3,ROWS(대표이사_참여인력_경력),1)=$G11)*1, OFFSET(대표이사_참여인력_경력,0,7,ROWS(대표이사_참여인력_경력),1) ) /COUNTIFS(OFFSET(대표이사_참여인력_경력,0,0,ROWS(대표이사_참여인력_경력),1),$E11,OFFSET(대표이사_참여인력_경력,0,3,ROWS(대표이사_참여인력_경력),1),$G11))</f>
        <v>15.8</v>
      </c>
      <c r="I11" s="70" t="s">
        <v>2621</v>
      </c>
      <c r="J11" s="243">
        <v>37226</v>
      </c>
      <c r="K11" s="243">
        <v>42993</v>
      </c>
      <c r="L11" s="139">
        <f ca="1">IF(ISBLANK(I11),"",SUMPRODUCT( (OFFSET(대표이사_참여인력_경력,0,0,ROWS(대표이사_참여인력_경력),1)=$E11)*1, (OFFSET(대표이사_참여인력_경력,0,3,ROWS(대표이사_참여인력_경력),1)=$G11)*1, (OFFSET(대표이사_참여인력_경력,0,8,ROWS(대표이사_참여인력_경력),1)=$I11)*1, OFFSET(대표이사_참여인력_경력,0,13,ROWS(대표이사_참여인력_경력),1) ) /COUNTIFS(OFFSET(대표이사_참여인력_경력,0,0,ROWS(대표이사_참여인력_경력),1),$E11,OFFSET(대표이사_참여인력_경력,0,3,ROWS(대표이사_참여인력_경력),1),$G11,OFFSET(대표이사_참여인력_경력,0,8,ROWS(대표이사_참여인력_경력),1),$I11 ))</f>
        <v>15.186301369863013</v>
      </c>
      <c r="M11" s="88" t="s">
        <v>2154</v>
      </c>
      <c r="N11" s="159" t="s">
        <v>71</v>
      </c>
      <c r="O11" s="156" t="s">
        <v>2594</v>
      </c>
      <c r="P11" s="268" t="s">
        <v>131</v>
      </c>
      <c r="Q11" s="240" t="s">
        <v>2595</v>
      </c>
      <c r="R11" s="258">
        <v>40632</v>
      </c>
      <c r="S11" s="240" t="s">
        <v>72</v>
      </c>
      <c r="T11" s="31">
        <v>2009</v>
      </c>
      <c r="U11" s="136">
        <v>3.3000000000000002E-2</v>
      </c>
      <c r="V11" s="70" t="s">
        <v>132</v>
      </c>
      <c r="W11" s="71">
        <v>0.16700000000000001</v>
      </c>
      <c r="X11" s="23">
        <v>41638</v>
      </c>
      <c r="Y11" s="31">
        <v>3007</v>
      </c>
      <c r="Z11" s="31">
        <v>2009</v>
      </c>
      <c r="AA11" s="70" t="s">
        <v>134</v>
      </c>
      <c r="AB11" s="52">
        <f t="shared" ref="AB11:AB16" si="1">IF(ISBLANK(X11),"",DATEDIF(R11,X11,"d")/365)</f>
        <v>2.7561643835616438</v>
      </c>
      <c r="AC11" s="73"/>
      <c r="AD11" s="174"/>
      <c r="AE11" s="245"/>
      <c r="AF11" s="31"/>
      <c r="AG11" s="31"/>
      <c r="AH11" s="239"/>
      <c r="AI11" s="243">
        <v>40632</v>
      </c>
      <c r="AJ11" s="243">
        <v>42993</v>
      </c>
      <c r="AK11" s="167" t="s">
        <v>1618</v>
      </c>
      <c r="AL11" s="245" t="s">
        <v>131</v>
      </c>
      <c r="AM11" s="245" t="s">
        <v>131</v>
      </c>
      <c r="AN11" s="245" t="s">
        <v>117</v>
      </c>
      <c r="AO11" s="245" t="s">
        <v>117</v>
      </c>
      <c r="AP11" s="245" t="s">
        <v>117</v>
      </c>
      <c r="AQ11" s="168" t="s">
        <v>3000</v>
      </c>
      <c r="AR11" s="171" t="s">
        <v>2054</v>
      </c>
      <c r="AS11" s="75" t="s">
        <v>180</v>
      </c>
      <c r="AT11" s="75" t="s">
        <v>131</v>
      </c>
      <c r="AU11" s="240" t="s">
        <v>127</v>
      </c>
      <c r="AV11" s="75" t="s">
        <v>1110</v>
      </c>
      <c r="AW11" s="123">
        <f>IFERROR(VLOOKUP(AV11,'공직유관단체 코드'!$C$5:$D$1037,2,),"")</f>
        <v>957</v>
      </c>
      <c r="AX11" s="133">
        <v>0.60899999999999999</v>
      </c>
      <c r="AY11" s="23">
        <v>40820</v>
      </c>
      <c r="AZ11" s="23">
        <v>42965</v>
      </c>
      <c r="BA11" s="173">
        <f t="shared" ref="BA11:BA16" si="2">IF(ISBLANK(AY11),"",DATEDIF(AY11,AZ11,"d")/365)</f>
        <v>5.8767123287671232</v>
      </c>
      <c r="BB11" s="88"/>
      <c r="BC11" s="245" t="s">
        <v>2922</v>
      </c>
      <c r="BD11" s="72" t="s">
        <v>2924</v>
      </c>
      <c r="BE11" s="55" t="s">
        <v>2923</v>
      </c>
    </row>
    <row r="12" spans="5:57">
      <c r="E12" s="245" t="s">
        <v>2406</v>
      </c>
      <c r="F12" s="87">
        <f>IF(ISBLANK($E12), "", VLOOKUP($E12,대표이사_참여인력_개요,2,FALSE))</f>
        <v>670701</v>
      </c>
      <c r="G12" s="72" t="s">
        <v>2474</v>
      </c>
      <c r="H12" s="139">
        <f t="shared" ca="1" si="0"/>
        <v>15.8</v>
      </c>
      <c r="I12" s="70" t="s">
        <v>2621</v>
      </c>
      <c r="J12" s="243">
        <v>37226</v>
      </c>
      <c r="K12" s="243">
        <v>42993</v>
      </c>
      <c r="L12" s="139">
        <f ca="1">IF(ISBLANK(I12),"",SUMPRODUCT( (OFFSET(대표이사_참여인력_경력,0,0,ROWS(대표이사_참여인력_경력),1)=$E12)*1, (OFFSET(대표이사_참여인력_경력,0,3,ROWS(대표이사_참여인력_경력),1)=$G12)*1, (OFFSET(대표이사_참여인력_경력,0,8,ROWS(대표이사_참여인력_경력),1)=$I12)*1, OFFSET(대표이사_참여인력_경력,0,13,ROWS(대표이사_참여인력_경력),1) ) /COUNTIFS(OFFSET(대표이사_참여인력_경력,0,0,ROWS(대표이사_참여인력_경력),1),$E12,OFFSET(대표이사_참여인력_경력,0,3,ROWS(대표이사_참여인력_경력),1),$G12,OFFSET(대표이사_참여인력_경력,0,8,ROWS(대표이사_참여인력_경력),1),$I12 ))</f>
        <v>15.186301369863013</v>
      </c>
      <c r="M12" s="88" t="s">
        <v>2217</v>
      </c>
      <c r="N12" s="159" t="s">
        <v>135</v>
      </c>
      <c r="O12" s="156" t="s">
        <v>2596</v>
      </c>
      <c r="P12" s="268" t="s">
        <v>131</v>
      </c>
      <c r="Q12" s="240" t="s">
        <v>2597</v>
      </c>
      <c r="R12" s="258">
        <v>41863</v>
      </c>
      <c r="S12" s="240" t="s">
        <v>72</v>
      </c>
      <c r="T12" s="31">
        <v>1559</v>
      </c>
      <c r="U12" s="136">
        <v>0.05</v>
      </c>
      <c r="V12" s="70" t="s">
        <v>1192</v>
      </c>
      <c r="W12" s="71"/>
      <c r="X12" s="23">
        <v>42978</v>
      </c>
      <c r="Y12" s="31">
        <v>1065</v>
      </c>
      <c r="Z12" s="31">
        <v>780</v>
      </c>
      <c r="AA12" s="70" t="s">
        <v>134</v>
      </c>
      <c r="AB12" s="52">
        <f t="shared" si="1"/>
        <v>3.0547945205479454</v>
      </c>
      <c r="AC12" s="73" t="s">
        <v>117</v>
      </c>
      <c r="AD12" s="174"/>
      <c r="AE12" s="73" t="s">
        <v>117</v>
      </c>
      <c r="AF12" s="31">
        <v>779</v>
      </c>
      <c r="AG12" s="31">
        <v>779</v>
      </c>
      <c r="AH12" s="239" t="s">
        <v>2540</v>
      </c>
      <c r="AI12" s="243">
        <v>41863</v>
      </c>
      <c r="AJ12" s="243">
        <v>42993</v>
      </c>
      <c r="AK12" s="167" t="s">
        <v>1618</v>
      </c>
      <c r="AL12" s="245" t="s">
        <v>131</v>
      </c>
      <c r="AM12" s="245" t="s">
        <v>131</v>
      </c>
      <c r="AN12" s="245" t="s">
        <v>117</v>
      </c>
      <c r="AO12" s="245" t="s">
        <v>117</v>
      </c>
      <c r="AP12" s="245" t="s">
        <v>117</v>
      </c>
      <c r="AQ12" s="168" t="s">
        <v>3000</v>
      </c>
      <c r="AR12" s="171" t="s">
        <v>2021</v>
      </c>
      <c r="AS12" s="75" t="s">
        <v>180</v>
      </c>
      <c r="AT12" s="75" t="s">
        <v>117</v>
      </c>
      <c r="AU12" s="240" t="s">
        <v>128</v>
      </c>
      <c r="AV12" s="75" t="s">
        <v>1110</v>
      </c>
      <c r="AW12" s="123">
        <f>IFERROR(VLOOKUP(AV12,'공직유관단체 코드'!$C$5:$D$1037,2,),"")</f>
        <v>957</v>
      </c>
      <c r="AX12" s="133">
        <v>0.50900000000000001</v>
      </c>
      <c r="AY12" s="23">
        <v>41528</v>
      </c>
      <c r="AZ12" s="23">
        <v>42993</v>
      </c>
      <c r="BA12" s="173">
        <f t="shared" si="2"/>
        <v>4.0136986301369859</v>
      </c>
      <c r="BB12" s="88"/>
      <c r="BC12" s="245" t="s">
        <v>2922</v>
      </c>
      <c r="BD12" s="72" t="s">
        <v>2924</v>
      </c>
      <c r="BE12" s="55" t="s">
        <v>2923</v>
      </c>
    </row>
    <row r="13" spans="5:57">
      <c r="E13" s="245" t="s">
        <v>2406</v>
      </c>
      <c r="F13" s="87">
        <f>IF(ISBLANK($E13), "", VLOOKUP($E13,대표이사_참여인력_개요,2,FALSE))</f>
        <v>670701</v>
      </c>
      <c r="G13" s="72" t="s">
        <v>2474</v>
      </c>
      <c r="H13" s="139">
        <f t="shared" ca="1" si="0"/>
        <v>15.8</v>
      </c>
      <c r="I13" s="70" t="s">
        <v>2621</v>
      </c>
      <c r="J13" s="243">
        <v>37226</v>
      </c>
      <c r="K13" s="243">
        <v>42993</v>
      </c>
      <c r="L13" s="139">
        <f ca="1">IF(ISBLANK(I13),"",SUMPRODUCT( (OFFSET(대표이사_참여인력_경력,0,0,ROWS(대표이사_참여인력_경력),1)=$E13)*1, (OFFSET(대표이사_참여인력_경력,0,3,ROWS(대표이사_참여인력_경력),1)=$G13)*1, (OFFSET(대표이사_참여인력_경력,0,8,ROWS(대표이사_참여인력_경력),1)=$I13)*1, OFFSET(대표이사_참여인력_경력,0,13,ROWS(대표이사_참여인력_경력),1) ) /COUNTIFS(OFFSET(대표이사_참여인력_경력,0,0,ROWS(대표이사_참여인력_경력),1),$E13,OFFSET(대표이사_참여인력_경력,0,3,ROWS(대표이사_참여인력_경력),1),$G13,OFFSET(대표이사_참여인력_경력,0,8,ROWS(대표이사_참여인력_경력),1),$I13 ))</f>
        <v>15.186301369863013</v>
      </c>
      <c r="M13" s="88" t="s">
        <v>2217</v>
      </c>
      <c r="N13" s="159" t="s">
        <v>135</v>
      </c>
      <c r="O13" s="156" t="s">
        <v>2596</v>
      </c>
      <c r="P13" s="268" t="s">
        <v>131</v>
      </c>
      <c r="Q13" s="240" t="s">
        <v>2597</v>
      </c>
      <c r="R13" s="258">
        <v>41863</v>
      </c>
      <c r="S13" s="240" t="s">
        <v>72</v>
      </c>
      <c r="T13" s="31">
        <v>1559</v>
      </c>
      <c r="U13" s="136">
        <v>0.05</v>
      </c>
      <c r="V13" s="70" t="s">
        <v>1192</v>
      </c>
      <c r="W13" s="71"/>
      <c r="X13" s="23">
        <v>42978</v>
      </c>
      <c r="Y13" s="31">
        <v>1065</v>
      </c>
      <c r="Z13" s="31">
        <v>780</v>
      </c>
      <c r="AA13" s="70" t="s">
        <v>134</v>
      </c>
      <c r="AB13" s="52">
        <f t="shared" si="1"/>
        <v>3.0547945205479454</v>
      </c>
      <c r="AC13" s="73" t="s">
        <v>117</v>
      </c>
      <c r="AD13" s="174"/>
      <c r="AE13" s="73" t="s">
        <v>117</v>
      </c>
      <c r="AF13" s="31">
        <v>779</v>
      </c>
      <c r="AG13" s="31">
        <v>779</v>
      </c>
      <c r="AH13" s="239" t="s">
        <v>2540</v>
      </c>
      <c r="AI13" s="243">
        <v>41863</v>
      </c>
      <c r="AJ13" s="243">
        <v>42993</v>
      </c>
      <c r="AK13" s="167" t="s">
        <v>1618</v>
      </c>
      <c r="AL13" s="245" t="s">
        <v>131</v>
      </c>
      <c r="AM13" s="245" t="s">
        <v>131</v>
      </c>
      <c r="AN13" s="245" t="s">
        <v>117</v>
      </c>
      <c r="AO13" s="245" t="s">
        <v>117</v>
      </c>
      <c r="AP13" s="245" t="s">
        <v>117</v>
      </c>
      <c r="AQ13" s="168" t="s">
        <v>3000</v>
      </c>
      <c r="AR13" s="171" t="s">
        <v>2022</v>
      </c>
      <c r="AS13" s="75" t="s">
        <v>180</v>
      </c>
      <c r="AT13" s="75" t="s">
        <v>117</v>
      </c>
      <c r="AU13" s="240" t="s">
        <v>138</v>
      </c>
      <c r="AV13" s="75" t="s">
        <v>2601</v>
      </c>
      <c r="AW13" s="123">
        <f>IFERROR(VLOOKUP(AV13,'공직유관단체 코드'!$C$5:$D$1037,2,),"")</f>
        <v>660</v>
      </c>
      <c r="AX13" s="133">
        <v>0.373</v>
      </c>
      <c r="AY13" s="23">
        <v>41696</v>
      </c>
      <c r="AZ13" s="23">
        <v>42993</v>
      </c>
      <c r="BA13" s="173">
        <f t="shared" si="2"/>
        <v>3.5534246575342467</v>
      </c>
      <c r="BB13" s="88"/>
      <c r="BC13" s="245" t="s">
        <v>2922</v>
      </c>
      <c r="BD13" s="72" t="s">
        <v>2924</v>
      </c>
      <c r="BE13" s="55" t="s">
        <v>2923</v>
      </c>
    </row>
    <row r="14" spans="5:57">
      <c r="E14" s="245" t="s">
        <v>2406</v>
      </c>
      <c r="F14" s="87">
        <f>IF(ISBLANK($E14), "", VLOOKUP($E14,대표이사_참여인력_개요,2,FALSE))</f>
        <v>670701</v>
      </c>
      <c r="G14" s="72" t="s">
        <v>2474</v>
      </c>
      <c r="H14" s="139">
        <f t="shared" ca="1" si="0"/>
        <v>15.8</v>
      </c>
      <c r="I14" s="70" t="s">
        <v>2621</v>
      </c>
      <c r="J14" s="243">
        <v>37226</v>
      </c>
      <c r="K14" s="243">
        <v>42993</v>
      </c>
      <c r="L14" s="139">
        <f ca="1">IF(ISBLANK(I14),"",SUMPRODUCT( (OFFSET(대표이사_참여인력_경력,0,0,ROWS(대표이사_참여인력_경력),1)=$E14)*1, (OFFSET(대표이사_참여인력_경력,0,3,ROWS(대표이사_참여인력_경력),1)=$G14)*1, (OFFSET(대표이사_참여인력_경력,0,8,ROWS(대표이사_참여인력_경력),1)=$I14)*1, OFFSET(대표이사_참여인력_경력,0,13,ROWS(대표이사_참여인력_경력),1) ) /COUNTIFS(OFFSET(대표이사_참여인력_경력,0,0,ROWS(대표이사_참여인력_경력),1),$E14,OFFSET(대표이사_참여인력_경력,0,3,ROWS(대표이사_참여인력_경력),1),$G14,OFFSET(대표이사_참여인력_경력,0,8,ROWS(대표이사_참여인력_경력),1),$I14 ))</f>
        <v>15.186301369863013</v>
      </c>
      <c r="M14" s="88" t="s">
        <v>2226</v>
      </c>
      <c r="N14" s="159" t="s">
        <v>71</v>
      </c>
      <c r="O14" s="156" t="s">
        <v>2598</v>
      </c>
      <c r="P14" s="268" t="s">
        <v>117</v>
      </c>
      <c r="Q14" s="240" t="s">
        <v>2599</v>
      </c>
      <c r="R14" s="258">
        <v>42247</v>
      </c>
      <c r="S14" s="240" t="s">
        <v>133</v>
      </c>
      <c r="T14" s="31">
        <v>1000</v>
      </c>
      <c r="U14" s="136">
        <v>3.2000000000000001E-2</v>
      </c>
      <c r="V14" s="70" t="s">
        <v>1193</v>
      </c>
      <c r="W14" s="71"/>
      <c r="X14" s="23"/>
      <c r="Y14" s="31">
        <v>0</v>
      </c>
      <c r="Z14" s="31">
        <v>0</v>
      </c>
      <c r="AA14" s="70"/>
      <c r="AB14" s="52" t="str">
        <f t="shared" si="1"/>
        <v/>
      </c>
      <c r="AC14" s="73" t="s">
        <v>117</v>
      </c>
      <c r="AD14" s="174"/>
      <c r="AE14" s="245" t="s">
        <v>117</v>
      </c>
      <c r="AF14" s="31">
        <v>1000</v>
      </c>
      <c r="AG14" s="31">
        <v>1000</v>
      </c>
      <c r="AH14" s="239" t="s">
        <v>2540</v>
      </c>
      <c r="AI14" s="243">
        <v>42247</v>
      </c>
      <c r="AJ14" s="243">
        <v>42993</v>
      </c>
      <c r="AK14" s="167" t="s">
        <v>1618</v>
      </c>
      <c r="AL14" s="245" t="s">
        <v>131</v>
      </c>
      <c r="AM14" s="245" t="s">
        <v>131</v>
      </c>
      <c r="AN14" s="245" t="s">
        <v>117</v>
      </c>
      <c r="AO14" s="245" t="s">
        <v>117</v>
      </c>
      <c r="AP14" s="245"/>
      <c r="AQ14" s="168" t="s">
        <v>3000</v>
      </c>
      <c r="AR14" s="171" t="s">
        <v>2021</v>
      </c>
      <c r="AS14" s="75" t="s">
        <v>180</v>
      </c>
      <c r="AT14" s="75" t="s">
        <v>117</v>
      </c>
      <c r="AU14" s="240" t="s">
        <v>128</v>
      </c>
      <c r="AV14" s="75" t="s">
        <v>1110</v>
      </c>
      <c r="AW14" s="123">
        <f>IFERROR(VLOOKUP(AV14,'공직유관단체 코드'!$C$5:$D$1037,2,),"")</f>
        <v>957</v>
      </c>
      <c r="AX14" s="133">
        <v>0.50900000000000001</v>
      </c>
      <c r="AY14" s="23">
        <v>41528</v>
      </c>
      <c r="AZ14" s="23">
        <v>42993</v>
      </c>
      <c r="BA14" s="173">
        <f t="shared" si="2"/>
        <v>4.0136986301369859</v>
      </c>
      <c r="BB14" s="88"/>
      <c r="BC14" s="245" t="s">
        <v>2922</v>
      </c>
      <c r="BD14" s="72" t="s">
        <v>2924</v>
      </c>
      <c r="BE14" s="55" t="s">
        <v>2923</v>
      </c>
    </row>
    <row r="15" spans="5:57">
      <c r="E15" s="245" t="s">
        <v>2406</v>
      </c>
      <c r="F15" s="87">
        <f>IF(ISBLANK($E15), "", VLOOKUP($E15,대표이사_참여인력_개요,2,FALSE))</f>
        <v>670701</v>
      </c>
      <c r="G15" s="72" t="s">
        <v>2474</v>
      </c>
      <c r="H15" s="139">
        <f t="shared" ca="1" si="0"/>
        <v>15.8</v>
      </c>
      <c r="I15" s="70" t="s">
        <v>2621</v>
      </c>
      <c r="J15" s="243">
        <v>37226</v>
      </c>
      <c r="K15" s="243">
        <v>42993</v>
      </c>
      <c r="L15" s="139">
        <f ca="1">IF(ISBLANK(I15),"",SUMPRODUCT( (OFFSET(대표이사_참여인력_경력,0,0,ROWS(대표이사_참여인력_경력),1)=$E15)*1, (OFFSET(대표이사_참여인력_경력,0,3,ROWS(대표이사_참여인력_경력),1)=$G15)*1, (OFFSET(대표이사_참여인력_경력,0,8,ROWS(대표이사_참여인력_경력),1)=$I15)*1, OFFSET(대표이사_참여인력_경력,0,13,ROWS(대표이사_참여인력_경력),1) ) /COUNTIFS(OFFSET(대표이사_참여인력_경력,0,0,ROWS(대표이사_참여인력_경력),1),$E15,OFFSET(대표이사_참여인력_경력,0,3,ROWS(대표이사_참여인력_경력),1),$G15,OFFSET(대표이사_참여인력_경력,0,8,ROWS(대표이사_참여인력_경력),1),$I15 ))</f>
        <v>15.186301369863013</v>
      </c>
      <c r="M15" s="88" t="s">
        <v>2226</v>
      </c>
      <c r="N15" s="159" t="s">
        <v>71</v>
      </c>
      <c r="O15" s="156" t="s">
        <v>2598</v>
      </c>
      <c r="P15" s="268" t="s">
        <v>117</v>
      </c>
      <c r="Q15" s="240" t="s">
        <v>2599</v>
      </c>
      <c r="R15" s="258">
        <v>42247</v>
      </c>
      <c r="S15" s="240" t="s">
        <v>133</v>
      </c>
      <c r="T15" s="31">
        <v>1000</v>
      </c>
      <c r="U15" s="136">
        <v>3.2000000000000001E-2</v>
      </c>
      <c r="V15" s="70" t="s">
        <v>1193</v>
      </c>
      <c r="W15" s="71"/>
      <c r="X15" s="23"/>
      <c r="Y15" s="31">
        <v>0</v>
      </c>
      <c r="Z15" s="31">
        <v>0</v>
      </c>
      <c r="AA15" s="70"/>
      <c r="AB15" s="52" t="str">
        <f t="shared" si="1"/>
        <v/>
      </c>
      <c r="AC15" s="73" t="s">
        <v>117</v>
      </c>
      <c r="AD15" s="174"/>
      <c r="AE15" s="245" t="s">
        <v>117</v>
      </c>
      <c r="AF15" s="31">
        <v>1000</v>
      </c>
      <c r="AG15" s="31">
        <v>1000</v>
      </c>
      <c r="AH15" s="239" t="s">
        <v>2540</v>
      </c>
      <c r="AI15" s="243">
        <v>42247</v>
      </c>
      <c r="AJ15" s="243">
        <v>42993</v>
      </c>
      <c r="AK15" s="167" t="s">
        <v>1618</v>
      </c>
      <c r="AL15" s="245" t="s">
        <v>131</v>
      </c>
      <c r="AM15" s="245" t="s">
        <v>131</v>
      </c>
      <c r="AN15" s="245" t="s">
        <v>117</v>
      </c>
      <c r="AO15" s="245" t="s">
        <v>117</v>
      </c>
      <c r="AP15" s="245"/>
      <c r="AQ15" s="168" t="s">
        <v>3000</v>
      </c>
      <c r="AR15" s="171" t="s">
        <v>2022</v>
      </c>
      <c r="AS15" s="75" t="s">
        <v>180</v>
      </c>
      <c r="AT15" s="75" t="s">
        <v>117</v>
      </c>
      <c r="AU15" s="240" t="s">
        <v>138</v>
      </c>
      <c r="AV15" s="75" t="s">
        <v>2601</v>
      </c>
      <c r="AW15" s="123">
        <f>IFERROR(VLOOKUP(AV15,'공직유관단체 코드'!$C$5:$D$1037,2,),"")</f>
        <v>660</v>
      </c>
      <c r="AX15" s="133">
        <v>0.373</v>
      </c>
      <c r="AY15" s="23">
        <v>41696</v>
      </c>
      <c r="AZ15" s="23">
        <v>42993</v>
      </c>
      <c r="BA15" s="173">
        <f t="shared" si="2"/>
        <v>3.5534246575342467</v>
      </c>
      <c r="BB15" s="88"/>
      <c r="BC15" s="245" t="s">
        <v>2922</v>
      </c>
      <c r="BD15" s="72" t="s">
        <v>2924</v>
      </c>
      <c r="BE15" s="55" t="s">
        <v>2923</v>
      </c>
    </row>
    <row r="16" spans="5:57" ht="27">
      <c r="E16" s="240" t="s">
        <v>2440</v>
      </c>
      <c r="F16" s="87">
        <f t="shared" ref="F16:F93" si="3">IF(ISBLANK($E16), "", VLOOKUP($E16,대표이사_참여인력_개요,2,FALSE))</f>
        <v>770126</v>
      </c>
      <c r="G16" s="72" t="s">
        <v>2686</v>
      </c>
      <c r="H16" s="139">
        <f t="shared" ca="1" si="0"/>
        <v>4.0849315068493155</v>
      </c>
      <c r="I16" s="70" t="s">
        <v>2444</v>
      </c>
      <c r="J16" s="243">
        <v>39314</v>
      </c>
      <c r="K16" s="243">
        <v>40805</v>
      </c>
      <c r="L16" s="139">
        <f t="shared" ref="L16:L24" ca="1" si="4">IF(ISBLANK(I16),"",SUMPRODUCT( (OFFSET(대표이사_참여인력_경력,0,0,ROWS(대표이사_참여인력_경력),1)=$E16)*1, (OFFSET(대표이사_참여인력_경력,0,3,ROWS(대표이사_참여인력_경력),1)=$G16)*1, (OFFSET(대표이사_참여인력_경력,0,8,ROWS(대표이사_참여인력_경력),1)=$I16)*1, OFFSET(대표이사_참여인력_경력,0,13,ROWS(대표이사_참여인력_경력),1) ) /COUNTIFS(OFFSET(대표이사_참여인력_경력,0,0,ROWS(대표이사_참여인력_경력),1),$E16,OFFSET(대표이사_참여인력_경력,0,3,ROWS(대표이사_참여인력_경력),1),$G16,OFFSET(대표이사_참여인력_경력,0,8,ROWS(대표이사_참여인력_경력),1),$I16 ))</f>
        <v>4.0849315068493155</v>
      </c>
      <c r="M16" s="88" t="s">
        <v>2454</v>
      </c>
      <c r="N16" s="159" t="s">
        <v>71</v>
      </c>
      <c r="O16" s="156" t="s">
        <v>2463</v>
      </c>
      <c r="P16" s="268" t="s">
        <v>131</v>
      </c>
      <c r="Q16" s="240" t="s">
        <v>2983</v>
      </c>
      <c r="R16" s="243">
        <v>39618</v>
      </c>
      <c r="S16" s="240" t="s">
        <v>112</v>
      </c>
      <c r="T16" s="31">
        <v>7861</v>
      </c>
      <c r="U16" s="136">
        <v>2.1999999999999999E-2</v>
      </c>
      <c r="V16" s="70" t="s">
        <v>113</v>
      </c>
      <c r="W16" s="71">
        <v>8.6999999999999994E-2</v>
      </c>
      <c r="X16" s="23">
        <v>41444</v>
      </c>
      <c r="Y16" s="31">
        <v>12093</v>
      </c>
      <c r="Z16" s="31">
        <v>7861</v>
      </c>
      <c r="AA16" s="70" t="s">
        <v>1615</v>
      </c>
      <c r="AB16" s="52">
        <f t="shared" si="1"/>
        <v>5.0027397260273974</v>
      </c>
      <c r="AC16" s="73"/>
      <c r="AD16" s="174"/>
      <c r="AE16" s="245"/>
      <c r="AF16" s="31"/>
      <c r="AG16" s="31"/>
      <c r="AH16" s="239"/>
      <c r="AI16" s="243">
        <v>39618</v>
      </c>
      <c r="AJ16" s="243">
        <v>40805</v>
      </c>
      <c r="AK16" s="167" t="s">
        <v>1281</v>
      </c>
      <c r="AL16" s="245" t="s">
        <v>117</v>
      </c>
      <c r="AM16" s="245" t="s">
        <v>117</v>
      </c>
      <c r="AN16" s="245" t="s">
        <v>117</v>
      </c>
      <c r="AO16" s="245" t="s">
        <v>131</v>
      </c>
      <c r="AP16" s="245" t="s">
        <v>131</v>
      </c>
      <c r="AQ16" s="168" t="s">
        <v>2995</v>
      </c>
      <c r="AR16" s="171"/>
      <c r="AS16" s="75"/>
      <c r="AT16" s="75"/>
      <c r="AU16" s="240"/>
      <c r="AV16" s="75"/>
      <c r="AW16" s="123" t="str">
        <f>IFERROR(VLOOKUP(AV16,'공직유관단체 코드'!$C$5:$D$1037,2,),"")</f>
        <v/>
      </c>
      <c r="AX16" s="133"/>
      <c r="AY16" s="23"/>
      <c r="AZ16" s="23"/>
      <c r="BA16" s="173" t="str">
        <f t="shared" si="2"/>
        <v/>
      </c>
      <c r="BB16" s="88"/>
      <c r="BC16" s="245" t="s">
        <v>2472</v>
      </c>
      <c r="BD16" s="72" t="s">
        <v>2686</v>
      </c>
      <c r="BE16" s="55" t="s">
        <v>2473</v>
      </c>
    </row>
    <row r="17" spans="5:57" ht="27">
      <c r="E17" s="245" t="s">
        <v>2440</v>
      </c>
      <c r="F17" s="87">
        <f t="shared" si="3"/>
        <v>770126</v>
      </c>
      <c r="G17" s="72" t="s">
        <v>2686</v>
      </c>
      <c r="H17" s="139">
        <f t="shared" ref="H17:H24" ca="1" si="5">IF(ISBLANK(G17),"",SUMPRODUCT( (OFFSET(대표이사_참여인력_경력,0,0,ROWS(대표이사_참여인력_경력),1)=$E17)*1, (OFFSET(대표이사_참여인력_경력,0,3,ROWS(대표이사_참여인력_경력),1)=$G17)*1, OFFSET(대표이사_참여인력_경력,0,7,ROWS(대표이사_참여인력_경력),1) ) /COUNTIFS(OFFSET(대표이사_참여인력_경력,0,0,ROWS(대표이사_참여인력_경력),1),$E17,OFFSET(대표이사_참여인력_경력,0,3,ROWS(대표이사_참여인력_경력),1),$G17))</f>
        <v>4.0849315068493155</v>
      </c>
      <c r="I17" s="70" t="s">
        <v>2453</v>
      </c>
      <c r="J17" s="243">
        <v>39314</v>
      </c>
      <c r="K17" s="243">
        <v>40805</v>
      </c>
      <c r="L17" s="139">
        <f t="shared" ca="1" si="4"/>
        <v>4.0849315068493155</v>
      </c>
      <c r="M17" s="88" t="s">
        <v>2455</v>
      </c>
      <c r="N17" s="159" t="s">
        <v>71</v>
      </c>
      <c r="O17" s="156" t="s">
        <v>2464</v>
      </c>
      <c r="P17" s="268" t="s">
        <v>117</v>
      </c>
      <c r="Q17" s="240" t="s">
        <v>2917</v>
      </c>
      <c r="R17" s="243">
        <v>39989</v>
      </c>
      <c r="S17" s="240" t="s">
        <v>179</v>
      </c>
      <c r="T17" s="31">
        <v>6000</v>
      </c>
      <c r="U17" s="136">
        <v>4.2000000000000003E-2</v>
      </c>
      <c r="V17" s="70" t="s">
        <v>113</v>
      </c>
      <c r="W17" s="71">
        <v>0.115</v>
      </c>
      <c r="X17" s="23">
        <v>40354</v>
      </c>
      <c r="Y17" s="31">
        <v>6690</v>
      </c>
      <c r="Z17" s="31">
        <v>6000</v>
      </c>
      <c r="AA17" s="70" t="s">
        <v>1617</v>
      </c>
      <c r="AB17" s="52">
        <f t="shared" ref="AB17:AB24" si="6">IF(ISBLANK(X17),"",DATEDIF(R17,X17,"d")/365)</f>
        <v>1</v>
      </c>
      <c r="AC17" s="73"/>
      <c r="AD17" s="174"/>
      <c r="AE17" s="245"/>
      <c r="AF17" s="31"/>
      <c r="AG17" s="31"/>
      <c r="AH17" s="239"/>
      <c r="AI17" s="243">
        <v>39989</v>
      </c>
      <c r="AJ17" s="243">
        <v>40354</v>
      </c>
      <c r="AK17" s="167" t="s">
        <v>1281</v>
      </c>
      <c r="AL17" s="245" t="s">
        <v>117</v>
      </c>
      <c r="AM17" s="245" t="s">
        <v>117</v>
      </c>
      <c r="AN17" s="245" t="s">
        <v>131</v>
      </c>
      <c r="AO17" s="245" t="s">
        <v>131</v>
      </c>
      <c r="AP17" s="245" t="s">
        <v>131</v>
      </c>
      <c r="AQ17" s="168" t="s">
        <v>2996</v>
      </c>
      <c r="AR17" s="171"/>
      <c r="AS17" s="75"/>
      <c r="AT17" s="75"/>
      <c r="AU17" s="240"/>
      <c r="AV17" s="75"/>
      <c r="AW17" s="123" t="str">
        <f>IFERROR(VLOOKUP(AV17,'공직유관단체 코드'!$C$5:$D$1037,2,),"")</f>
        <v/>
      </c>
      <c r="AX17" s="133"/>
      <c r="AY17" s="23"/>
      <c r="AZ17" s="23"/>
      <c r="BA17" s="173" t="str">
        <f t="shared" ref="BA17:BA24" si="7">IF(ISBLANK(AY17),"",DATEDIF(AY17,AZ17,"d")/365)</f>
        <v/>
      </c>
      <c r="BB17" s="88"/>
      <c r="BC17" s="245" t="s">
        <v>2472</v>
      </c>
      <c r="BD17" s="72" t="s">
        <v>2686</v>
      </c>
      <c r="BE17" s="55" t="s">
        <v>2473</v>
      </c>
    </row>
    <row r="18" spans="5:57" ht="27">
      <c r="E18" s="245" t="s">
        <v>2440</v>
      </c>
      <c r="F18" s="87">
        <f t="shared" si="3"/>
        <v>770126</v>
      </c>
      <c r="G18" s="72" t="s">
        <v>2686</v>
      </c>
      <c r="H18" s="139">
        <f t="shared" ca="1" si="5"/>
        <v>4.0849315068493155</v>
      </c>
      <c r="I18" s="70" t="s">
        <v>2453</v>
      </c>
      <c r="J18" s="243">
        <v>39314</v>
      </c>
      <c r="K18" s="243">
        <v>40805</v>
      </c>
      <c r="L18" s="139">
        <f t="shared" ca="1" si="4"/>
        <v>4.0849315068493155</v>
      </c>
      <c r="M18" s="88" t="s">
        <v>2456</v>
      </c>
      <c r="N18" s="159" t="s">
        <v>71</v>
      </c>
      <c r="O18" s="156" t="s">
        <v>2465</v>
      </c>
      <c r="P18" s="268" t="s">
        <v>117</v>
      </c>
      <c r="Q18" s="240" t="s">
        <v>2916</v>
      </c>
      <c r="R18" s="243">
        <v>39994</v>
      </c>
      <c r="S18" s="240" t="s">
        <v>116</v>
      </c>
      <c r="T18" s="31">
        <v>1800</v>
      </c>
      <c r="U18" s="136">
        <v>1.9E-2</v>
      </c>
      <c r="V18" s="70" t="s">
        <v>113</v>
      </c>
      <c r="W18" s="71">
        <v>0.249</v>
      </c>
      <c r="X18" s="23">
        <v>40724</v>
      </c>
      <c r="Y18" s="31">
        <v>2809</v>
      </c>
      <c r="Z18" s="31">
        <v>1800</v>
      </c>
      <c r="AA18" s="70" t="s">
        <v>114</v>
      </c>
      <c r="AB18" s="52">
        <f t="shared" si="6"/>
        <v>2</v>
      </c>
      <c r="AC18" s="73"/>
      <c r="AD18" s="174"/>
      <c r="AE18" s="245"/>
      <c r="AF18" s="31"/>
      <c r="AG18" s="31"/>
      <c r="AH18" s="239"/>
      <c r="AI18" s="243">
        <v>39994</v>
      </c>
      <c r="AJ18" s="243">
        <v>40724</v>
      </c>
      <c r="AK18" s="167" t="s">
        <v>1281</v>
      </c>
      <c r="AL18" s="245" t="s">
        <v>117</v>
      </c>
      <c r="AM18" s="245" t="s">
        <v>117</v>
      </c>
      <c r="AN18" s="245" t="s">
        <v>131</v>
      </c>
      <c r="AO18" s="245" t="s">
        <v>131</v>
      </c>
      <c r="AP18" s="245" t="s">
        <v>131</v>
      </c>
      <c r="AQ18" s="168" t="s">
        <v>2996</v>
      </c>
      <c r="AR18" s="171"/>
      <c r="AS18" s="75"/>
      <c r="AT18" s="75"/>
      <c r="AU18" s="240"/>
      <c r="AV18" s="75"/>
      <c r="AW18" s="123" t="str">
        <f>IFERROR(VLOOKUP(AV18,'공직유관단체 코드'!$C$5:$D$1037,2,),"")</f>
        <v/>
      </c>
      <c r="AX18" s="133"/>
      <c r="AY18" s="23"/>
      <c r="AZ18" s="23"/>
      <c r="BA18" s="173" t="str">
        <f t="shared" si="7"/>
        <v/>
      </c>
      <c r="BB18" s="88"/>
      <c r="BC18" s="245" t="s">
        <v>2472</v>
      </c>
      <c r="BD18" s="72" t="s">
        <v>2686</v>
      </c>
      <c r="BE18" s="55" t="s">
        <v>2473</v>
      </c>
    </row>
    <row r="19" spans="5:57" ht="27">
      <c r="E19" s="245" t="s">
        <v>2440</v>
      </c>
      <c r="F19" s="87">
        <f t="shared" si="3"/>
        <v>770126</v>
      </c>
      <c r="G19" s="72" t="s">
        <v>2686</v>
      </c>
      <c r="H19" s="139">
        <f t="shared" ca="1" si="5"/>
        <v>4.0849315068493155</v>
      </c>
      <c r="I19" s="70" t="s">
        <v>2453</v>
      </c>
      <c r="J19" s="243">
        <v>39314</v>
      </c>
      <c r="K19" s="243">
        <v>40805</v>
      </c>
      <c r="L19" s="139">
        <f t="shared" ca="1" si="4"/>
        <v>4.0849315068493155</v>
      </c>
      <c r="M19" s="88" t="s">
        <v>2457</v>
      </c>
      <c r="N19" s="159" t="s">
        <v>71</v>
      </c>
      <c r="O19" s="156" t="s">
        <v>2466</v>
      </c>
      <c r="P19" s="268" t="s">
        <v>117</v>
      </c>
      <c r="Q19" s="240" t="s">
        <v>2915</v>
      </c>
      <c r="R19" s="243">
        <v>40031</v>
      </c>
      <c r="S19" s="240" t="s">
        <v>179</v>
      </c>
      <c r="T19" s="31">
        <v>5000</v>
      </c>
      <c r="U19" s="136">
        <v>3.4000000000000002E-2</v>
      </c>
      <c r="V19" s="70" t="s">
        <v>113</v>
      </c>
      <c r="W19" s="71">
        <v>0.08</v>
      </c>
      <c r="X19" s="23">
        <v>41127</v>
      </c>
      <c r="Y19" s="31">
        <v>5913</v>
      </c>
      <c r="Z19" s="31">
        <v>5000</v>
      </c>
      <c r="AA19" s="70" t="s">
        <v>114</v>
      </c>
      <c r="AB19" s="52">
        <f t="shared" si="6"/>
        <v>3.0027397260273974</v>
      </c>
      <c r="AC19" s="73"/>
      <c r="AD19" s="174"/>
      <c r="AE19" s="245"/>
      <c r="AF19" s="31"/>
      <c r="AG19" s="31"/>
      <c r="AH19" s="239"/>
      <c r="AI19" s="243">
        <v>40031</v>
      </c>
      <c r="AJ19" s="243">
        <v>40805</v>
      </c>
      <c r="AK19" s="167" t="s">
        <v>1281</v>
      </c>
      <c r="AL19" s="245" t="s">
        <v>117</v>
      </c>
      <c r="AM19" s="245" t="s">
        <v>117</v>
      </c>
      <c r="AN19" s="245" t="s">
        <v>131</v>
      </c>
      <c r="AO19" s="245" t="s">
        <v>131</v>
      </c>
      <c r="AP19" s="245" t="s">
        <v>131</v>
      </c>
      <c r="AQ19" s="168" t="s">
        <v>2996</v>
      </c>
      <c r="AR19" s="171"/>
      <c r="AS19" s="75"/>
      <c r="AT19" s="75"/>
      <c r="AU19" s="240"/>
      <c r="AV19" s="75"/>
      <c r="AW19" s="123" t="str">
        <f>IFERROR(VLOOKUP(AV19,'공직유관단체 코드'!$C$5:$D$1037,2,),"")</f>
        <v/>
      </c>
      <c r="AX19" s="133"/>
      <c r="AY19" s="23"/>
      <c r="AZ19" s="23"/>
      <c r="BA19" s="173" t="str">
        <f t="shared" si="7"/>
        <v/>
      </c>
      <c r="BB19" s="88"/>
      <c r="BC19" s="245" t="s">
        <v>2472</v>
      </c>
      <c r="BD19" s="72" t="s">
        <v>2686</v>
      </c>
      <c r="BE19" s="55" t="s">
        <v>2473</v>
      </c>
    </row>
    <row r="20" spans="5:57" ht="40.5">
      <c r="E20" s="245" t="s">
        <v>2440</v>
      </c>
      <c r="F20" s="87">
        <f t="shared" si="3"/>
        <v>770126</v>
      </c>
      <c r="G20" s="72" t="s">
        <v>2686</v>
      </c>
      <c r="H20" s="139">
        <f t="shared" ca="1" si="5"/>
        <v>4.0849315068493155</v>
      </c>
      <c r="I20" s="70" t="s">
        <v>2453</v>
      </c>
      <c r="J20" s="243">
        <v>39314</v>
      </c>
      <c r="K20" s="243">
        <v>40805</v>
      </c>
      <c r="L20" s="139">
        <f t="shared" ca="1" si="4"/>
        <v>4.0849315068493155</v>
      </c>
      <c r="M20" s="88" t="s">
        <v>2458</v>
      </c>
      <c r="N20" s="159" t="s">
        <v>71</v>
      </c>
      <c r="O20" s="156" t="s">
        <v>2467</v>
      </c>
      <c r="P20" s="268" t="s">
        <v>117</v>
      </c>
      <c r="Q20" s="240" t="s">
        <v>2914</v>
      </c>
      <c r="R20" s="243">
        <v>40109</v>
      </c>
      <c r="S20" s="240" t="s">
        <v>179</v>
      </c>
      <c r="T20" s="31">
        <v>6000</v>
      </c>
      <c r="U20" s="136">
        <v>3.3000000000000002E-2</v>
      </c>
      <c r="V20" s="70" t="s">
        <v>113</v>
      </c>
      <c r="W20" s="71">
        <v>0.248</v>
      </c>
      <c r="X20" s="23">
        <v>40554</v>
      </c>
      <c r="Y20" s="31">
        <v>7860</v>
      </c>
      <c r="Z20" s="31">
        <v>6000</v>
      </c>
      <c r="AA20" s="70" t="s">
        <v>114</v>
      </c>
      <c r="AB20" s="52">
        <f t="shared" si="6"/>
        <v>1.2191780821917808</v>
      </c>
      <c r="AC20" s="73"/>
      <c r="AD20" s="174"/>
      <c r="AE20" s="245"/>
      <c r="AF20" s="31"/>
      <c r="AG20" s="31"/>
      <c r="AH20" s="239"/>
      <c r="AI20" s="243">
        <v>40109</v>
      </c>
      <c r="AJ20" s="243">
        <v>40554</v>
      </c>
      <c r="AK20" s="167" t="s">
        <v>1281</v>
      </c>
      <c r="AL20" s="245" t="s">
        <v>117</v>
      </c>
      <c r="AM20" s="245" t="s">
        <v>117</v>
      </c>
      <c r="AN20" s="245" t="s">
        <v>131</v>
      </c>
      <c r="AO20" s="245" t="s">
        <v>131</v>
      </c>
      <c r="AP20" s="245" t="s">
        <v>131</v>
      </c>
      <c r="AQ20" s="168" t="s">
        <v>2996</v>
      </c>
      <c r="AR20" s="171"/>
      <c r="AS20" s="75"/>
      <c r="AT20" s="75"/>
      <c r="AU20" s="240"/>
      <c r="AV20" s="75"/>
      <c r="AW20" s="123" t="str">
        <f>IFERROR(VLOOKUP(AV20,'공직유관단체 코드'!$C$5:$D$1037,2,),"")</f>
        <v/>
      </c>
      <c r="AX20" s="133"/>
      <c r="AY20" s="23"/>
      <c r="AZ20" s="23"/>
      <c r="BA20" s="173" t="str">
        <f t="shared" si="7"/>
        <v/>
      </c>
      <c r="BB20" s="88"/>
      <c r="BC20" s="245" t="s">
        <v>2472</v>
      </c>
      <c r="BD20" s="72" t="s">
        <v>2686</v>
      </c>
      <c r="BE20" s="55" t="s">
        <v>2473</v>
      </c>
    </row>
    <row r="21" spans="5:57" ht="27">
      <c r="E21" s="245" t="s">
        <v>2440</v>
      </c>
      <c r="F21" s="87">
        <f t="shared" si="3"/>
        <v>770126</v>
      </c>
      <c r="G21" s="72" t="s">
        <v>2686</v>
      </c>
      <c r="H21" s="139">
        <f t="shared" ca="1" si="5"/>
        <v>4.0849315068493155</v>
      </c>
      <c r="I21" s="70" t="s">
        <v>2453</v>
      </c>
      <c r="J21" s="243">
        <v>39314</v>
      </c>
      <c r="K21" s="243">
        <v>40805</v>
      </c>
      <c r="L21" s="139">
        <f t="shared" ca="1" si="4"/>
        <v>4.0849315068493155</v>
      </c>
      <c r="M21" s="88" t="s">
        <v>2459</v>
      </c>
      <c r="N21" s="159" t="s">
        <v>71</v>
      </c>
      <c r="O21" s="156" t="s">
        <v>2468</v>
      </c>
      <c r="P21" s="268" t="s">
        <v>117</v>
      </c>
      <c r="Q21" s="240" t="s">
        <v>2919</v>
      </c>
      <c r="R21" s="243">
        <v>40268</v>
      </c>
      <c r="S21" s="240" t="s">
        <v>179</v>
      </c>
      <c r="T21" s="31">
        <v>4000</v>
      </c>
      <c r="U21" s="136">
        <v>4.3999999999999997E-2</v>
      </c>
      <c r="V21" s="70" t="s">
        <v>113</v>
      </c>
      <c r="W21" s="71">
        <v>3.2000000000000001E-2</v>
      </c>
      <c r="X21" s="23">
        <v>40987</v>
      </c>
      <c r="Y21" s="31">
        <v>4253</v>
      </c>
      <c r="Z21" s="31">
        <v>4000</v>
      </c>
      <c r="AA21" s="70" t="s">
        <v>1617</v>
      </c>
      <c r="AB21" s="52">
        <f t="shared" si="6"/>
        <v>1.9698630136986301</v>
      </c>
      <c r="AC21" s="73"/>
      <c r="AD21" s="174"/>
      <c r="AE21" s="245"/>
      <c r="AF21" s="31"/>
      <c r="AG21" s="31"/>
      <c r="AH21" s="239"/>
      <c r="AI21" s="243">
        <v>40268</v>
      </c>
      <c r="AJ21" s="243">
        <v>40805</v>
      </c>
      <c r="AK21" s="167" t="s">
        <v>1281</v>
      </c>
      <c r="AL21" s="245" t="s">
        <v>117</v>
      </c>
      <c r="AM21" s="245" t="s">
        <v>117</v>
      </c>
      <c r="AN21" s="245" t="s">
        <v>131</v>
      </c>
      <c r="AO21" s="245" t="s">
        <v>131</v>
      </c>
      <c r="AP21" s="245" t="s">
        <v>131</v>
      </c>
      <c r="AQ21" s="168" t="s">
        <v>2996</v>
      </c>
      <c r="AR21" s="171"/>
      <c r="AS21" s="75"/>
      <c r="AT21" s="75"/>
      <c r="AU21" s="240"/>
      <c r="AV21" s="75"/>
      <c r="AW21" s="123" t="str">
        <f>IFERROR(VLOOKUP(AV21,'공직유관단체 코드'!$C$5:$D$1037,2,),"")</f>
        <v/>
      </c>
      <c r="AX21" s="133"/>
      <c r="AY21" s="23"/>
      <c r="AZ21" s="23"/>
      <c r="BA21" s="173" t="str">
        <f t="shared" si="7"/>
        <v/>
      </c>
      <c r="BB21" s="88"/>
      <c r="BC21" s="245" t="s">
        <v>2472</v>
      </c>
      <c r="BD21" s="72" t="s">
        <v>2686</v>
      </c>
      <c r="BE21" s="55" t="s">
        <v>2473</v>
      </c>
    </row>
    <row r="22" spans="5:57" ht="27">
      <c r="E22" s="245" t="s">
        <v>2440</v>
      </c>
      <c r="F22" s="87">
        <f t="shared" si="3"/>
        <v>770126</v>
      </c>
      <c r="G22" s="72" t="s">
        <v>2686</v>
      </c>
      <c r="H22" s="139">
        <f t="shared" ca="1" si="5"/>
        <v>4.0849315068493155</v>
      </c>
      <c r="I22" s="70" t="s">
        <v>2453</v>
      </c>
      <c r="J22" s="243">
        <v>39314</v>
      </c>
      <c r="K22" s="243">
        <v>40805</v>
      </c>
      <c r="L22" s="139">
        <f t="shared" ca="1" si="4"/>
        <v>4.0849315068493155</v>
      </c>
      <c r="M22" s="88" t="s">
        <v>2460</v>
      </c>
      <c r="N22" s="159" t="s">
        <v>71</v>
      </c>
      <c r="O22" s="156" t="s">
        <v>2469</v>
      </c>
      <c r="P22" s="268" t="s">
        <v>117</v>
      </c>
      <c r="Q22" s="240" t="s">
        <v>2913</v>
      </c>
      <c r="R22" s="243">
        <v>40427</v>
      </c>
      <c r="S22" s="240" t="s">
        <v>179</v>
      </c>
      <c r="T22" s="31">
        <v>2000</v>
      </c>
      <c r="U22" s="136">
        <v>5.1999999999999998E-2</v>
      </c>
      <c r="V22" s="70" t="s">
        <v>113</v>
      </c>
      <c r="W22" s="71">
        <v>6.4000000000000001E-2</v>
      </c>
      <c r="X22" s="23">
        <v>41171</v>
      </c>
      <c r="Y22" s="31">
        <v>2270</v>
      </c>
      <c r="Z22" s="31">
        <v>2000</v>
      </c>
      <c r="AA22" s="70" t="s">
        <v>1617</v>
      </c>
      <c r="AB22" s="52">
        <f t="shared" si="6"/>
        <v>2.0383561643835617</v>
      </c>
      <c r="AC22" s="73"/>
      <c r="AD22" s="174"/>
      <c r="AE22" s="245"/>
      <c r="AF22" s="31"/>
      <c r="AG22" s="31"/>
      <c r="AH22" s="239"/>
      <c r="AI22" s="243">
        <v>40427</v>
      </c>
      <c r="AJ22" s="243">
        <v>40805</v>
      </c>
      <c r="AK22" s="167" t="s">
        <v>1281</v>
      </c>
      <c r="AL22" s="245" t="s">
        <v>117</v>
      </c>
      <c r="AM22" s="245" t="s">
        <v>117</v>
      </c>
      <c r="AN22" s="245" t="s">
        <v>131</v>
      </c>
      <c r="AO22" s="245" t="s">
        <v>131</v>
      </c>
      <c r="AP22" s="245" t="s">
        <v>131</v>
      </c>
      <c r="AQ22" s="168" t="s">
        <v>2996</v>
      </c>
      <c r="AR22" s="171"/>
      <c r="AS22" s="75"/>
      <c r="AT22" s="75"/>
      <c r="AU22" s="240"/>
      <c r="AV22" s="75"/>
      <c r="AW22" s="123" t="str">
        <f>IFERROR(VLOOKUP(AV22,'공직유관단체 코드'!$C$5:$D$1037,2,),"")</f>
        <v/>
      </c>
      <c r="AX22" s="133"/>
      <c r="AY22" s="23"/>
      <c r="AZ22" s="23"/>
      <c r="BA22" s="173" t="str">
        <f t="shared" si="7"/>
        <v/>
      </c>
      <c r="BB22" s="88"/>
      <c r="BC22" s="245" t="s">
        <v>2472</v>
      </c>
      <c r="BD22" s="72" t="s">
        <v>2686</v>
      </c>
      <c r="BE22" s="55" t="s">
        <v>2473</v>
      </c>
    </row>
    <row r="23" spans="5:57" ht="27">
      <c r="E23" s="245" t="s">
        <v>2440</v>
      </c>
      <c r="F23" s="87">
        <f t="shared" si="3"/>
        <v>770126</v>
      </c>
      <c r="G23" s="72" t="s">
        <v>2686</v>
      </c>
      <c r="H23" s="139">
        <f t="shared" ca="1" si="5"/>
        <v>4.0849315068493155</v>
      </c>
      <c r="I23" s="70" t="s">
        <v>2453</v>
      </c>
      <c r="J23" s="243">
        <v>39314</v>
      </c>
      <c r="K23" s="243">
        <v>40805</v>
      </c>
      <c r="L23" s="139">
        <f t="shared" ca="1" si="4"/>
        <v>4.0849315068493155</v>
      </c>
      <c r="M23" s="88" t="s">
        <v>2461</v>
      </c>
      <c r="N23" s="159" t="s">
        <v>135</v>
      </c>
      <c r="O23" s="156" t="s">
        <v>2470</v>
      </c>
      <c r="P23" s="268" t="s">
        <v>117</v>
      </c>
      <c r="Q23" s="240" t="s">
        <v>2918</v>
      </c>
      <c r="R23" s="243">
        <v>40535</v>
      </c>
      <c r="S23" s="240" t="s">
        <v>179</v>
      </c>
      <c r="T23" s="31">
        <v>4000</v>
      </c>
      <c r="U23" s="136">
        <v>1.4999999999999999E-2</v>
      </c>
      <c r="V23" s="70" t="s">
        <v>113</v>
      </c>
      <c r="W23" s="71">
        <v>2.3E-2</v>
      </c>
      <c r="X23" s="23">
        <v>41171</v>
      </c>
      <c r="Y23" s="31">
        <v>4162</v>
      </c>
      <c r="Z23" s="31">
        <v>4000</v>
      </c>
      <c r="AA23" s="70" t="s">
        <v>1617</v>
      </c>
      <c r="AB23" s="52">
        <f t="shared" si="6"/>
        <v>1.7424657534246575</v>
      </c>
      <c r="AC23" s="73"/>
      <c r="AD23" s="174"/>
      <c r="AE23" s="245"/>
      <c r="AF23" s="31"/>
      <c r="AG23" s="31"/>
      <c r="AH23" s="239"/>
      <c r="AI23" s="243">
        <v>40535</v>
      </c>
      <c r="AJ23" s="243">
        <v>40805</v>
      </c>
      <c r="AK23" s="167" t="s">
        <v>1281</v>
      </c>
      <c r="AL23" s="245" t="s">
        <v>117</v>
      </c>
      <c r="AM23" s="245" t="s">
        <v>131</v>
      </c>
      <c r="AN23" s="245" t="s">
        <v>131</v>
      </c>
      <c r="AO23" s="245" t="s">
        <v>131</v>
      </c>
      <c r="AP23" s="245" t="s">
        <v>131</v>
      </c>
      <c r="AQ23" s="168" t="s">
        <v>2997</v>
      </c>
      <c r="AR23" s="171"/>
      <c r="AS23" s="75"/>
      <c r="AT23" s="75"/>
      <c r="AU23" s="240"/>
      <c r="AV23" s="75"/>
      <c r="AW23" s="123" t="str">
        <f>IFERROR(VLOOKUP(AV23,'공직유관단체 코드'!$C$5:$D$1037,2,),"")</f>
        <v/>
      </c>
      <c r="AX23" s="133"/>
      <c r="AY23" s="23"/>
      <c r="AZ23" s="23"/>
      <c r="BA23" s="173" t="str">
        <f t="shared" si="7"/>
        <v/>
      </c>
      <c r="BB23" s="88"/>
      <c r="BC23" s="245" t="s">
        <v>2472</v>
      </c>
      <c r="BD23" s="72" t="s">
        <v>2686</v>
      </c>
      <c r="BE23" s="55" t="s">
        <v>2473</v>
      </c>
    </row>
    <row r="24" spans="5:57">
      <c r="E24" s="245" t="s">
        <v>2440</v>
      </c>
      <c r="F24" s="87">
        <f t="shared" si="3"/>
        <v>770126</v>
      </c>
      <c r="G24" s="72" t="s">
        <v>2686</v>
      </c>
      <c r="H24" s="139">
        <f t="shared" ca="1" si="5"/>
        <v>4.0849315068493155</v>
      </c>
      <c r="I24" s="70" t="s">
        <v>2453</v>
      </c>
      <c r="J24" s="243">
        <v>39314</v>
      </c>
      <c r="K24" s="243">
        <v>40805</v>
      </c>
      <c r="L24" s="139">
        <f t="shared" ca="1" si="4"/>
        <v>4.0849315068493155</v>
      </c>
      <c r="M24" s="88" t="s">
        <v>2462</v>
      </c>
      <c r="N24" s="159" t="s">
        <v>71</v>
      </c>
      <c r="O24" s="156" t="s">
        <v>2471</v>
      </c>
      <c r="P24" s="268" t="s">
        <v>131</v>
      </c>
      <c r="Q24" s="240" t="s">
        <v>2912</v>
      </c>
      <c r="R24" s="243">
        <v>40637</v>
      </c>
      <c r="S24" s="240" t="s">
        <v>72</v>
      </c>
      <c r="T24" s="31">
        <v>1000</v>
      </c>
      <c r="U24" s="136"/>
      <c r="V24" s="70" t="s">
        <v>113</v>
      </c>
      <c r="W24" s="71">
        <v>25.12</v>
      </c>
      <c r="X24" s="23">
        <v>40774</v>
      </c>
      <c r="Y24" s="31">
        <v>3403</v>
      </c>
      <c r="Z24" s="31">
        <v>1000</v>
      </c>
      <c r="AA24" s="70" t="s">
        <v>114</v>
      </c>
      <c r="AB24" s="52">
        <f t="shared" si="6"/>
        <v>0.37534246575342467</v>
      </c>
      <c r="AC24" s="73"/>
      <c r="AD24" s="174"/>
      <c r="AE24" s="245"/>
      <c r="AF24" s="31"/>
      <c r="AG24" s="31"/>
      <c r="AH24" s="239"/>
      <c r="AI24" s="243">
        <v>40637</v>
      </c>
      <c r="AJ24" s="243">
        <v>40774</v>
      </c>
      <c r="AK24" s="167" t="s">
        <v>1281</v>
      </c>
      <c r="AL24" s="245" t="s">
        <v>117</v>
      </c>
      <c r="AM24" s="245" t="s">
        <v>131</v>
      </c>
      <c r="AN24" s="245" t="s">
        <v>131</v>
      </c>
      <c r="AO24" s="245" t="s">
        <v>131</v>
      </c>
      <c r="AP24" s="245" t="s">
        <v>131</v>
      </c>
      <c r="AQ24" s="168" t="s">
        <v>2997</v>
      </c>
      <c r="AR24" s="171"/>
      <c r="AS24" s="75"/>
      <c r="AT24" s="75"/>
      <c r="AU24" s="240"/>
      <c r="AV24" s="75"/>
      <c r="AW24" s="123" t="str">
        <f>IFERROR(VLOOKUP(AV24,'공직유관단체 코드'!$C$5:$D$1037,2,),"")</f>
        <v/>
      </c>
      <c r="AX24" s="133"/>
      <c r="AY24" s="23"/>
      <c r="AZ24" s="23"/>
      <c r="BA24" s="173" t="str">
        <f t="shared" si="7"/>
        <v/>
      </c>
      <c r="BB24" s="88"/>
      <c r="BC24" s="245" t="s">
        <v>2472</v>
      </c>
      <c r="BD24" s="72" t="s">
        <v>2686</v>
      </c>
      <c r="BE24" s="55" t="s">
        <v>2473</v>
      </c>
    </row>
    <row r="25" spans="5:57">
      <c r="E25" s="245" t="s">
        <v>2440</v>
      </c>
      <c r="F25" s="87">
        <f t="shared" si="3"/>
        <v>770126</v>
      </c>
      <c r="G25" s="72" t="s">
        <v>2474</v>
      </c>
      <c r="H25" s="139">
        <f t="shared" ref="H25:H85" ca="1" si="8">IF(ISBLANK(G25),"",SUMPRODUCT( (OFFSET(대표이사_참여인력_경력,0,0,ROWS(대표이사_참여인력_경력),1)=$E25)*1, (OFFSET(대표이사_참여인력_경력,0,3,ROWS(대표이사_참여인력_경력),1)=$G25)*1, OFFSET(대표이사_참여인력_경력,0,7,ROWS(대표이사_참여인력_경력),1) ) /COUNTIFS(OFFSET(대표이사_참여인력_경력,0,0,ROWS(대표이사_참여인력_경력),1),$E25,OFFSET(대표이사_참여인력_경력,0,3,ROWS(대표이사_참여인력_경력),1),$G25))</f>
        <v>5.9534246575342467</v>
      </c>
      <c r="I25" s="70" t="s">
        <v>2442</v>
      </c>
      <c r="J25" s="243">
        <v>40820</v>
      </c>
      <c r="K25" s="243">
        <v>42993</v>
      </c>
      <c r="L25" s="139">
        <f t="shared" ref="L25:L84" ca="1" si="9">IF(ISBLANK(I25),"",SUMPRODUCT( (OFFSET(대표이사_참여인력_경력,0,0,ROWS(대표이사_참여인력_경력),1)=$E25)*1, (OFFSET(대표이사_참여인력_경력,0,3,ROWS(대표이사_참여인력_경력),1)=$G25)*1, (OFFSET(대표이사_참여인력_경력,0,8,ROWS(대표이사_참여인력_경력),1)=$I25)*1, OFFSET(대표이사_참여인력_경력,0,13,ROWS(대표이사_참여인력_경력),1) ) /COUNTIFS(OFFSET(대표이사_참여인력_경력,0,0,ROWS(대표이사_참여인력_경력),1),$E25,OFFSET(대표이사_참여인력_경력,0,3,ROWS(대표이사_참여인력_경력),1),$G25,OFFSET(대표이사_참여인력_경력,0,8,ROWS(대표이사_참여인력_경력),1),$I25 ))</f>
        <v>5.9534246575342467</v>
      </c>
      <c r="M25" s="88" t="s">
        <v>2163</v>
      </c>
      <c r="N25" s="159" t="s">
        <v>71</v>
      </c>
      <c r="O25" s="156" t="s">
        <v>2556</v>
      </c>
      <c r="P25" s="268" t="s">
        <v>131</v>
      </c>
      <c r="Q25" s="240" t="s">
        <v>2600</v>
      </c>
      <c r="R25" s="243">
        <v>41422</v>
      </c>
      <c r="S25" s="240" t="s">
        <v>72</v>
      </c>
      <c r="T25" s="31">
        <v>600</v>
      </c>
      <c r="U25" s="136">
        <v>5.6000000000000001E-2</v>
      </c>
      <c r="V25" s="70" t="s">
        <v>1193</v>
      </c>
      <c r="W25" s="71"/>
      <c r="X25" s="23"/>
      <c r="Y25" s="31"/>
      <c r="Z25" s="31"/>
      <c r="AA25" s="70"/>
      <c r="AB25" s="52" t="str">
        <f t="shared" ref="AB25:AB83" si="10">IF(ISBLANK(X25),"",DATEDIF(R25,X25,"d")/365)</f>
        <v/>
      </c>
      <c r="AC25" s="73" t="s">
        <v>117</v>
      </c>
      <c r="AD25" s="174"/>
      <c r="AE25" s="245" t="s">
        <v>117</v>
      </c>
      <c r="AF25" s="31">
        <v>600</v>
      </c>
      <c r="AG25" s="31">
        <v>600</v>
      </c>
      <c r="AH25" s="239" t="s">
        <v>2540</v>
      </c>
      <c r="AI25" s="243">
        <v>41422</v>
      </c>
      <c r="AJ25" s="243"/>
      <c r="AK25" s="167" t="s">
        <v>1618</v>
      </c>
      <c r="AL25" s="245" t="s">
        <v>117</v>
      </c>
      <c r="AM25" s="245" t="s">
        <v>131</v>
      </c>
      <c r="AN25" s="245" t="s">
        <v>131</v>
      </c>
      <c r="AO25" s="245" t="s">
        <v>131</v>
      </c>
      <c r="AP25" s="245"/>
      <c r="AQ25" s="168" t="s">
        <v>3001</v>
      </c>
      <c r="AR25" s="171" t="s">
        <v>2475</v>
      </c>
      <c r="AS25" s="75" t="s">
        <v>180</v>
      </c>
      <c r="AT25" s="75" t="s">
        <v>131</v>
      </c>
      <c r="AU25" s="240" t="s">
        <v>138</v>
      </c>
      <c r="AV25" s="75" t="s">
        <v>1110</v>
      </c>
      <c r="AW25" s="123">
        <f>IFERROR(VLOOKUP(AV25,'공직유관단체 코드'!$C$5:$D$1037,2,),"")</f>
        <v>957</v>
      </c>
      <c r="AX25" s="133">
        <v>0.6</v>
      </c>
      <c r="AY25" s="23">
        <v>40872</v>
      </c>
      <c r="AZ25" s="23">
        <v>42993</v>
      </c>
      <c r="BA25" s="173">
        <f t="shared" ref="BA25:BA84" si="11">IF(ISBLANK(AY25),"",DATEDIF(AY25,AZ25,"d")/365)</f>
        <v>5.8109589041095893</v>
      </c>
      <c r="BB25" s="88"/>
      <c r="BC25" s="245" t="s">
        <v>2922</v>
      </c>
      <c r="BD25" s="72" t="s">
        <v>2924</v>
      </c>
      <c r="BE25" s="55" t="s">
        <v>2923</v>
      </c>
    </row>
    <row r="26" spans="5:57">
      <c r="E26" s="245" t="s">
        <v>2440</v>
      </c>
      <c r="F26" s="87">
        <f t="shared" si="3"/>
        <v>770126</v>
      </c>
      <c r="G26" s="72" t="s">
        <v>2474</v>
      </c>
      <c r="H26" s="139">
        <f t="shared" ca="1" si="8"/>
        <v>5.9534246575342467</v>
      </c>
      <c r="I26" s="70" t="s">
        <v>2442</v>
      </c>
      <c r="J26" s="243">
        <v>40820</v>
      </c>
      <c r="K26" s="243">
        <v>42993</v>
      </c>
      <c r="L26" s="139">
        <f t="shared" ca="1" si="9"/>
        <v>5.9534246575342467</v>
      </c>
      <c r="M26" s="88" t="s">
        <v>2135</v>
      </c>
      <c r="N26" s="159" t="s">
        <v>71</v>
      </c>
      <c r="O26" s="156" t="s">
        <v>2548</v>
      </c>
      <c r="P26" s="268" t="s">
        <v>131</v>
      </c>
      <c r="Q26" s="240" t="s">
        <v>2550</v>
      </c>
      <c r="R26" s="243">
        <v>40836</v>
      </c>
      <c r="S26" s="240" t="s">
        <v>137</v>
      </c>
      <c r="T26" s="31">
        <v>1290</v>
      </c>
      <c r="U26" s="136">
        <v>1.2999999999999999E-2</v>
      </c>
      <c r="V26" s="70" t="s">
        <v>132</v>
      </c>
      <c r="W26" s="71">
        <v>2.4E-2</v>
      </c>
      <c r="X26" s="23">
        <v>41778</v>
      </c>
      <c r="Y26" s="31">
        <v>1365</v>
      </c>
      <c r="Z26" s="31">
        <v>1290</v>
      </c>
      <c r="AA26" s="70" t="s">
        <v>1615</v>
      </c>
      <c r="AB26" s="52">
        <f t="shared" si="10"/>
        <v>2.580821917808219</v>
      </c>
      <c r="AC26" s="73"/>
      <c r="AD26" s="174"/>
      <c r="AE26" s="245"/>
      <c r="AF26" s="31"/>
      <c r="AG26" s="31"/>
      <c r="AH26" s="239"/>
      <c r="AI26" s="243">
        <v>40836</v>
      </c>
      <c r="AJ26" s="243">
        <v>41778</v>
      </c>
      <c r="AK26" s="167" t="s">
        <v>1618</v>
      </c>
      <c r="AL26" s="245" t="s">
        <v>117</v>
      </c>
      <c r="AM26" s="245" t="s">
        <v>117</v>
      </c>
      <c r="AN26" s="245" t="s">
        <v>131</v>
      </c>
      <c r="AO26" s="245" t="s">
        <v>131</v>
      </c>
      <c r="AP26" s="245" t="s">
        <v>131</v>
      </c>
      <c r="AQ26" s="168" t="s">
        <v>2996</v>
      </c>
      <c r="AR26" s="171" t="s">
        <v>2018</v>
      </c>
      <c r="AS26" s="75" t="s">
        <v>180</v>
      </c>
      <c r="AT26" s="75" t="s">
        <v>117</v>
      </c>
      <c r="AU26" s="240" t="s">
        <v>138</v>
      </c>
      <c r="AV26" s="75" t="s">
        <v>1231</v>
      </c>
      <c r="AW26" s="123">
        <f>IFERROR(VLOOKUP(AV26,'공직유관단체 코드'!$C$5:$D$1037,2,),"")</f>
        <v>569</v>
      </c>
      <c r="AX26" s="133">
        <v>0.7</v>
      </c>
      <c r="AY26" s="23">
        <v>40820</v>
      </c>
      <c r="AZ26" s="23">
        <v>42993</v>
      </c>
      <c r="BA26" s="173">
        <f t="shared" si="11"/>
        <v>5.9534246575342467</v>
      </c>
      <c r="BB26" s="88"/>
      <c r="BC26" s="245" t="s">
        <v>2922</v>
      </c>
      <c r="BD26" s="72" t="s">
        <v>2924</v>
      </c>
      <c r="BE26" s="55" t="s">
        <v>2923</v>
      </c>
    </row>
    <row r="27" spans="5:57">
      <c r="E27" s="245" t="s">
        <v>2440</v>
      </c>
      <c r="F27" s="87">
        <f t="shared" si="3"/>
        <v>770126</v>
      </c>
      <c r="G27" s="72" t="s">
        <v>2474</v>
      </c>
      <c r="H27" s="139">
        <f t="shared" ca="1" si="8"/>
        <v>5.9534246575342467</v>
      </c>
      <c r="I27" s="70" t="s">
        <v>2442</v>
      </c>
      <c r="J27" s="243">
        <v>40820</v>
      </c>
      <c r="K27" s="243">
        <v>42993</v>
      </c>
      <c r="L27" s="139">
        <f t="shared" ca="1" si="9"/>
        <v>5.9534246575342467</v>
      </c>
      <c r="M27" s="88" t="s">
        <v>2155</v>
      </c>
      <c r="N27" s="159" t="s">
        <v>71</v>
      </c>
      <c r="O27" s="156" t="s">
        <v>2549</v>
      </c>
      <c r="P27" s="268" t="s">
        <v>131</v>
      </c>
      <c r="Q27" s="240" t="s">
        <v>2551</v>
      </c>
      <c r="R27" s="243">
        <v>41026</v>
      </c>
      <c r="S27" s="240" t="s">
        <v>72</v>
      </c>
      <c r="T27" s="31">
        <v>1230</v>
      </c>
      <c r="U27" s="136">
        <v>8.0000000000000002E-3</v>
      </c>
      <c r="V27" s="70" t="s">
        <v>132</v>
      </c>
      <c r="W27" s="71">
        <v>0.61599999999999999</v>
      </c>
      <c r="X27" s="23">
        <v>41456</v>
      </c>
      <c r="Y27" s="31">
        <v>1981</v>
      </c>
      <c r="Z27" s="31">
        <v>1230</v>
      </c>
      <c r="AA27" s="70" t="s">
        <v>114</v>
      </c>
      <c r="AB27" s="52">
        <f t="shared" si="10"/>
        <v>1.178082191780822</v>
      </c>
      <c r="AC27" s="73"/>
      <c r="AD27" s="174"/>
      <c r="AE27" s="245"/>
      <c r="AF27" s="31"/>
      <c r="AG27" s="31"/>
      <c r="AH27" s="239"/>
      <c r="AI27" s="243">
        <v>41026</v>
      </c>
      <c r="AJ27" s="243">
        <v>41456</v>
      </c>
      <c r="AK27" s="167" t="s">
        <v>1618</v>
      </c>
      <c r="AL27" s="245" t="s">
        <v>117</v>
      </c>
      <c r="AM27" s="245" t="s">
        <v>117</v>
      </c>
      <c r="AN27" s="245" t="s">
        <v>131</v>
      </c>
      <c r="AO27" s="245" t="s">
        <v>131</v>
      </c>
      <c r="AP27" s="245" t="s">
        <v>131</v>
      </c>
      <c r="AQ27" s="168" t="s">
        <v>2996</v>
      </c>
      <c r="AR27" s="171" t="s">
        <v>2684</v>
      </c>
      <c r="AS27" s="75" t="s">
        <v>3</v>
      </c>
      <c r="AT27" s="75" t="s">
        <v>117</v>
      </c>
      <c r="AU27" s="240" t="s">
        <v>138</v>
      </c>
      <c r="AV27" s="75"/>
      <c r="AW27" s="123" t="str">
        <f>IFERROR(VLOOKUP(AV27,'공직유관단체 코드'!$C$5:$D$1037,2,),"")</f>
        <v/>
      </c>
      <c r="AX27" s="133"/>
      <c r="AY27" s="23">
        <v>40820</v>
      </c>
      <c r="AZ27" s="23">
        <v>42993</v>
      </c>
      <c r="BA27" s="173">
        <f t="shared" si="11"/>
        <v>5.9534246575342467</v>
      </c>
      <c r="BB27" s="88"/>
      <c r="BC27" s="245" t="s">
        <v>2922</v>
      </c>
      <c r="BD27" s="72" t="s">
        <v>2924</v>
      </c>
      <c r="BE27" s="55" t="s">
        <v>2923</v>
      </c>
    </row>
    <row r="28" spans="5:57">
      <c r="E28" s="245" t="s">
        <v>2440</v>
      </c>
      <c r="F28" s="87">
        <f t="shared" si="3"/>
        <v>770126</v>
      </c>
      <c r="G28" s="72" t="s">
        <v>2474</v>
      </c>
      <c r="H28" s="139">
        <f t="shared" ca="1" si="8"/>
        <v>5.9534246575342467</v>
      </c>
      <c r="I28" s="70" t="s">
        <v>2442</v>
      </c>
      <c r="J28" s="243">
        <v>40820</v>
      </c>
      <c r="K28" s="243">
        <v>42993</v>
      </c>
      <c r="L28" s="139">
        <f t="shared" ca="1" si="9"/>
        <v>5.9534246575342467</v>
      </c>
      <c r="M28" s="88" t="s">
        <v>2155</v>
      </c>
      <c r="N28" s="159" t="s">
        <v>71</v>
      </c>
      <c r="O28" s="156" t="s">
        <v>2549</v>
      </c>
      <c r="P28" s="268" t="s">
        <v>131</v>
      </c>
      <c r="Q28" s="240" t="s">
        <v>2551</v>
      </c>
      <c r="R28" s="243">
        <v>41026</v>
      </c>
      <c r="S28" s="240" t="s">
        <v>72</v>
      </c>
      <c r="T28" s="31">
        <v>3383</v>
      </c>
      <c r="U28" s="136">
        <v>2.1000000000000001E-2</v>
      </c>
      <c r="V28" s="70" t="s">
        <v>132</v>
      </c>
      <c r="W28" s="71">
        <v>0.61599999999999999</v>
      </c>
      <c r="X28" s="23">
        <v>41456</v>
      </c>
      <c r="Y28" s="31">
        <v>5445</v>
      </c>
      <c r="Z28" s="31">
        <v>3383</v>
      </c>
      <c r="AA28" s="70" t="s">
        <v>114</v>
      </c>
      <c r="AB28" s="52">
        <f t="shared" si="10"/>
        <v>1.178082191780822</v>
      </c>
      <c r="AC28" s="73"/>
      <c r="AD28" s="174"/>
      <c r="AE28" s="245"/>
      <c r="AF28" s="31"/>
      <c r="AG28" s="31"/>
      <c r="AH28" s="239"/>
      <c r="AI28" s="243">
        <v>41026</v>
      </c>
      <c r="AJ28" s="243">
        <v>41456</v>
      </c>
      <c r="AK28" s="167" t="s">
        <v>1618</v>
      </c>
      <c r="AL28" s="245" t="s">
        <v>117</v>
      </c>
      <c r="AM28" s="245" t="s">
        <v>117</v>
      </c>
      <c r="AN28" s="245" t="s">
        <v>131</v>
      </c>
      <c r="AO28" s="245" t="s">
        <v>131</v>
      </c>
      <c r="AP28" s="245" t="s">
        <v>131</v>
      </c>
      <c r="AQ28" s="168" t="s">
        <v>2996</v>
      </c>
      <c r="AR28" s="171" t="s">
        <v>2475</v>
      </c>
      <c r="AS28" s="75" t="s">
        <v>180</v>
      </c>
      <c r="AT28" s="75" t="s">
        <v>131</v>
      </c>
      <c r="AU28" s="240" t="s">
        <v>138</v>
      </c>
      <c r="AV28" s="75" t="s">
        <v>1110</v>
      </c>
      <c r="AW28" s="123">
        <f>IFERROR(VLOOKUP(AV28,'공직유관단체 코드'!$C$5:$D$1037,2,),"")</f>
        <v>957</v>
      </c>
      <c r="AX28" s="133">
        <v>0.6</v>
      </c>
      <c r="AY28" s="23">
        <v>40872</v>
      </c>
      <c r="AZ28" s="23">
        <v>42993</v>
      </c>
      <c r="BA28" s="173">
        <f t="shared" si="11"/>
        <v>5.8109589041095893</v>
      </c>
      <c r="BB28" s="88"/>
      <c r="BC28" s="245" t="s">
        <v>2922</v>
      </c>
      <c r="BD28" s="72" t="s">
        <v>2924</v>
      </c>
      <c r="BE28" s="55" t="s">
        <v>2923</v>
      </c>
    </row>
    <row r="29" spans="5:57">
      <c r="E29" s="245" t="s">
        <v>2440</v>
      </c>
      <c r="F29" s="87">
        <f t="shared" si="3"/>
        <v>770126</v>
      </c>
      <c r="G29" s="72" t="s">
        <v>2474</v>
      </c>
      <c r="H29" s="139">
        <f t="shared" ca="1" si="8"/>
        <v>5.9534246575342467</v>
      </c>
      <c r="I29" s="70" t="s">
        <v>2442</v>
      </c>
      <c r="J29" s="243">
        <v>40820</v>
      </c>
      <c r="K29" s="243">
        <v>42993</v>
      </c>
      <c r="L29" s="139">
        <f t="shared" ca="1" si="9"/>
        <v>5.9534246575342467</v>
      </c>
      <c r="M29" s="88" t="s">
        <v>2158</v>
      </c>
      <c r="N29" s="159" t="s">
        <v>71</v>
      </c>
      <c r="O29" s="156" t="s">
        <v>2552</v>
      </c>
      <c r="P29" s="268" t="s">
        <v>131</v>
      </c>
      <c r="Q29" s="240" t="s">
        <v>2553</v>
      </c>
      <c r="R29" s="243">
        <v>41089</v>
      </c>
      <c r="S29" s="240" t="s">
        <v>133</v>
      </c>
      <c r="T29" s="31">
        <v>2842</v>
      </c>
      <c r="U29" s="136">
        <v>8.6999999999999994E-2</v>
      </c>
      <c r="V29" s="70" t="s">
        <v>132</v>
      </c>
      <c r="W29" s="71">
        <v>1E-3</v>
      </c>
      <c r="X29" s="23">
        <v>42332</v>
      </c>
      <c r="Y29" s="31">
        <v>2846</v>
      </c>
      <c r="Z29" s="31">
        <v>2842</v>
      </c>
      <c r="AA29" s="70" t="s">
        <v>114</v>
      </c>
      <c r="AB29" s="52">
        <f t="shared" si="10"/>
        <v>3.4054794520547946</v>
      </c>
      <c r="AC29" s="73"/>
      <c r="AD29" s="174"/>
      <c r="AE29" s="245"/>
      <c r="AF29" s="31"/>
      <c r="AG29" s="31"/>
      <c r="AH29" s="239"/>
      <c r="AI29" s="243">
        <v>41089</v>
      </c>
      <c r="AJ29" s="243">
        <v>42332</v>
      </c>
      <c r="AK29" s="167" t="s">
        <v>1618</v>
      </c>
      <c r="AL29" s="245" t="s">
        <v>117</v>
      </c>
      <c r="AM29" s="245" t="s">
        <v>117</v>
      </c>
      <c r="AN29" s="245" t="s">
        <v>131</v>
      </c>
      <c r="AO29" s="245" t="s">
        <v>131</v>
      </c>
      <c r="AP29" s="245" t="s">
        <v>131</v>
      </c>
      <c r="AQ29" s="168" t="s">
        <v>2996</v>
      </c>
      <c r="AR29" s="171" t="s">
        <v>2475</v>
      </c>
      <c r="AS29" s="75" t="s">
        <v>180</v>
      </c>
      <c r="AT29" s="75" t="s">
        <v>131</v>
      </c>
      <c r="AU29" s="240" t="s">
        <v>138</v>
      </c>
      <c r="AV29" s="75" t="s">
        <v>1110</v>
      </c>
      <c r="AW29" s="123">
        <f>IFERROR(VLOOKUP(AV29,'공직유관단체 코드'!$C$5:$D$1037,2,),"")</f>
        <v>957</v>
      </c>
      <c r="AX29" s="133">
        <v>0.6</v>
      </c>
      <c r="AY29" s="23">
        <v>40872</v>
      </c>
      <c r="AZ29" s="23">
        <v>42993</v>
      </c>
      <c r="BA29" s="173">
        <f t="shared" si="11"/>
        <v>5.8109589041095893</v>
      </c>
      <c r="BB29" s="88"/>
      <c r="BC29" s="245" t="s">
        <v>2922</v>
      </c>
      <c r="BD29" s="72" t="s">
        <v>2924</v>
      </c>
      <c r="BE29" s="55" t="s">
        <v>2923</v>
      </c>
    </row>
    <row r="30" spans="5:57">
      <c r="E30" s="245" t="s">
        <v>2440</v>
      </c>
      <c r="F30" s="87">
        <f t="shared" si="3"/>
        <v>770126</v>
      </c>
      <c r="G30" s="72" t="s">
        <v>2474</v>
      </c>
      <c r="H30" s="139">
        <f t="shared" ca="1" si="8"/>
        <v>5.9534246575342467</v>
      </c>
      <c r="I30" s="70" t="s">
        <v>2442</v>
      </c>
      <c r="J30" s="243">
        <v>40820</v>
      </c>
      <c r="K30" s="243">
        <v>42993</v>
      </c>
      <c r="L30" s="139">
        <f t="shared" ca="1" si="9"/>
        <v>5.9534246575342467</v>
      </c>
      <c r="M30" s="88" t="s">
        <v>2159</v>
      </c>
      <c r="N30" s="159" t="s">
        <v>71</v>
      </c>
      <c r="O30" s="156" t="s">
        <v>2554</v>
      </c>
      <c r="P30" s="268" t="s">
        <v>131</v>
      </c>
      <c r="Q30" s="240" t="s">
        <v>2555</v>
      </c>
      <c r="R30" s="243">
        <v>41100</v>
      </c>
      <c r="S30" s="240" t="s">
        <v>72</v>
      </c>
      <c r="T30" s="31">
        <v>2635</v>
      </c>
      <c r="U30" s="136">
        <v>7.0999999999999994E-2</v>
      </c>
      <c r="V30" s="70" t="s">
        <v>132</v>
      </c>
      <c r="W30" s="71">
        <v>3.5000000000000003E-2</v>
      </c>
      <c r="X30" s="23">
        <v>41992</v>
      </c>
      <c r="Y30" s="31">
        <v>2865</v>
      </c>
      <c r="Z30" s="31">
        <v>2635</v>
      </c>
      <c r="AA30" s="70" t="s">
        <v>134</v>
      </c>
      <c r="AB30" s="52">
        <f t="shared" si="10"/>
        <v>2.4438356164383563</v>
      </c>
      <c r="AC30" s="73"/>
      <c r="AD30" s="174"/>
      <c r="AE30" s="245"/>
      <c r="AF30" s="31"/>
      <c r="AG30" s="31"/>
      <c r="AH30" s="239"/>
      <c r="AI30" s="243">
        <v>41100</v>
      </c>
      <c r="AJ30" s="243">
        <v>41992</v>
      </c>
      <c r="AK30" s="167" t="s">
        <v>1618</v>
      </c>
      <c r="AL30" s="245" t="s">
        <v>117</v>
      </c>
      <c r="AM30" s="245" t="s">
        <v>117</v>
      </c>
      <c r="AN30" s="245" t="s">
        <v>131</v>
      </c>
      <c r="AO30" s="245" t="s">
        <v>131</v>
      </c>
      <c r="AP30" s="245" t="s">
        <v>131</v>
      </c>
      <c r="AQ30" s="168" t="s">
        <v>2996</v>
      </c>
      <c r="AR30" s="171" t="s">
        <v>2475</v>
      </c>
      <c r="AS30" s="75" t="s">
        <v>180</v>
      </c>
      <c r="AT30" s="75" t="s">
        <v>131</v>
      </c>
      <c r="AU30" s="240" t="s">
        <v>138</v>
      </c>
      <c r="AV30" s="75" t="s">
        <v>1110</v>
      </c>
      <c r="AW30" s="123">
        <f>IFERROR(VLOOKUP(AV30,'공직유관단체 코드'!$C$5:$D$1037,2,),"")</f>
        <v>957</v>
      </c>
      <c r="AX30" s="133">
        <v>0.6</v>
      </c>
      <c r="AY30" s="23">
        <v>40872</v>
      </c>
      <c r="AZ30" s="23">
        <v>42993</v>
      </c>
      <c r="BA30" s="173">
        <f t="shared" si="11"/>
        <v>5.8109589041095893</v>
      </c>
      <c r="BB30" s="88"/>
      <c r="BC30" s="245" t="s">
        <v>2922</v>
      </c>
      <c r="BD30" s="72" t="s">
        <v>2924</v>
      </c>
      <c r="BE30" s="55" t="s">
        <v>2923</v>
      </c>
    </row>
    <row r="31" spans="5:57">
      <c r="E31" s="245" t="s">
        <v>2440</v>
      </c>
      <c r="F31" s="87">
        <f t="shared" si="3"/>
        <v>770126</v>
      </c>
      <c r="G31" s="72" t="s">
        <v>2474</v>
      </c>
      <c r="H31" s="139">
        <f t="shared" ca="1" si="8"/>
        <v>5.9534246575342467</v>
      </c>
      <c r="I31" s="70" t="s">
        <v>2442</v>
      </c>
      <c r="J31" s="243">
        <v>40820</v>
      </c>
      <c r="K31" s="243">
        <v>42993</v>
      </c>
      <c r="L31" s="139">
        <f t="shared" ca="1" si="9"/>
        <v>5.9534246575342467</v>
      </c>
      <c r="M31" s="88" t="s">
        <v>2163</v>
      </c>
      <c r="N31" s="159" t="s">
        <v>71</v>
      </c>
      <c r="O31" s="156" t="s">
        <v>2556</v>
      </c>
      <c r="P31" s="268" t="s">
        <v>117</v>
      </c>
      <c r="Q31" s="240" t="s">
        <v>2558</v>
      </c>
      <c r="R31" s="243">
        <v>41422</v>
      </c>
      <c r="S31" s="240" t="s">
        <v>133</v>
      </c>
      <c r="T31" s="31">
        <v>1000</v>
      </c>
      <c r="U31" s="136">
        <v>5.8999999999999997E-2</v>
      </c>
      <c r="V31" s="70" t="s">
        <v>132</v>
      </c>
      <c r="W31" s="71">
        <v>7.0000000000000007E-2</v>
      </c>
      <c r="X31" s="23">
        <v>42741</v>
      </c>
      <c r="Y31" s="31">
        <v>1173</v>
      </c>
      <c r="Z31" s="31">
        <v>1000</v>
      </c>
      <c r="AA31" s="70" t="s">
        <v>1617</v>
      </c>
      <c r="AB31" s="52">
        <f t="shared" si="10"/>
        <v>3.6136986301369864</v>
      </c>
      <c r="AC31" s="73"/>
      <c r="AD31" s="174"/>
      <c r="AE31" s="245"/>
      <c r="AF31" s="31"/>
      <c r="AG31" s="31"/>
      <c r="AH31" s="239"/>
      <c r="AI31" s="243">
        <v>41422</v>
      </c>
      <c r="AJ31" s="243">
        <v>42741</v>
      </c>
      <c r="AK31" s="167" t="s">
        <v>1618</v>
      </c>
      <c r="AL31" s="245" t="s">
        <v>117</v>
      </c>
      <c r="AM31" s="245" t="s">
        <v>131</v>
      </c>
      <c r="AN31" s="245" t="s">
        <v>131</v>
      </c>
      <c r="AO31" s="245" t="s">
        <v>131</v>
      </c>
      <c r="AP31" s="245" t="s">
        <v>131</v>
      </c>
      <c r="AQ31" s="168" t="s">
        <v>2997</v>
      </c>
      <c r="AR31" s="171" t="s">
        <v>2475</v>
      </c>
      <c r="AS31" s="75" t="s">
        <v>180</v>
      </c>
      <c r="AT31" s="75" t="s">
        <v>131</v>
      </c>
      <c r="AU31" s="240" t="s">
        <v>138</v>
      </c>
      <c r="AV31" s="75" t="s">
        <v>1110</v>
      </c>
      <c r="AW31" s="123">
        <f>IFERROR(VLOOKUP(AV31,'공직유관단체 코드'!$C$5:$D$1037,2,),"")</f>
        <v>957</v>
      </c>
      <c r="AX31" s="133">
        <v>0.6</v>
      </c>
      <c r="AY31" s="23">
        <v>40872</v>
      </c>
      <c r="AZ31" s="23">
        <v>42993</v>
      </c>
      <c r="BA31" s="173">
        <f t="shared" si="11"/>
        <v>5.8109589041095893</v>
      </c>
      <c r="BB31" s="88"/>
      <c r="BC31" s="245" t="s">
        <v>2922</v>
      </c>
      <c r="BD31" s="72" t="s">
        <v>2924</v>
      </c>
      <c r="BE31" s="55" t="s">
        <v>2923</v>
      </c>
    </row>
    <row r="32" spans="5:57">
      <c r="E32" s="245" t="s">
        <v>2440</v>
      </c>
      <c r="F32" s="87">
        <f t="shared" si="3"/>
        <v>770126</v>
      </c>
      <c r="G32" s="72" t="s">
        <v>2474</v>
      </c>
      <c r="H32" s="139">
        <f t="shared" ca="1" si="8"/>
        <v>5.9534246575342467</v>
      </c>
      <c r="I32" s="70" t="s">
        <v>2442</v>
      </c>
      <c r="J32" s="243">
        <v>40820</v>
      </c>
      <c r="K32" s="243">
        <v>42993</v>
      </c>
      <c r="L32" s="139">
        <f t="shared" ca="1" si="9"/>
        <v>5.9534246575342467</v>
      </c>
      <c r="M32" s="88" t="s">
        <v>2164</v>
      </c>
      <c r="N32" s="159" t="s">
        <v>71</v>
      </c>
      <c r="O32" s="156" t="s">
        <v>2559</v>
      </c>
      <c r="P32" s="268" t="s">
        <v>131</v>
      </c>
      <c r="Q32" s="240" t="s">
        <v>2560</v>
      </c>
      <c r="R32" s="243">
        <v>41446</v>
      </c>
      <c r="S32" s="240" t="s">
        <v>72</v>
      </c>
      <c r="T32" s="31">
        <v>2400</v>
      </c>
      <c r="U32" s="136">
        <v>8.3000000000000004E-2</v>
      </c>
      <c r="V32" s="70" t="s">
        <v>132</v>
      </c>
      <c r="W32" s="71">
        <v>7.0000000000000001E-3</v>
      </c>
      <c r="X32" s="23">
        <v>42549</v>
      </c>
      <c r="Y32" s="31">
        <v>2448</v>
      </c>
      <c r="Z32" s="31">
        <v>2400</v>
      </c>
      <c r="AA32" s="70" t="s">
        <v>134</v>
      </c>
      <c r="AB32" s="52">
        <f t="shared" si="10"/>
        <v>3.021917808219178</v>
      </c>
      <c r="AC32" s="73"/>
      <c r="AD32" s="174"/>
      <c r="AE32" s="245"/>
      <c r="AF32" s="31"/>
      <c r="AG32" s="31"/>
      <c r="AH32" s="239"/>
      <c r="AI32" s="243">
        <v>41446</v>
      </c>
      <c r="AJ32" s="243">
        <v>42549</v>
      </c>
      <c r="AK32" s="167" t="s">
        <v>1618</v>
      </c>
      <c r="AL32" s="245" t="s">
        <v>117</v>
      </c>
      <c r="AM32" s="245" t="s">
        <v>131</v>
      </c>
      <c r="AN32" s="245" t="s">
        <v>131</v>
      </c>
      <c r="AO32" s="245" t="s">
        <v>131</v>
      </c>
      <c r="AP32" s="245" t="s">
        <v>131</v>
      </c>
      <c r="AQ32" s="168" t="s">
        <v>2997</v>
      </c>
      <c r="AR32" s="171" t="s">
        <v>2475</v>
      </c>
      <c r="AS32" s="75" t="s">
        <v>180</v>
      </c>
      <c r="AT32" s="75" t="s">
        <v>131</v>
      </c>
      <c r="AU32" s="240" t="s">
        <v>138</v>
      </c>
      <c r="AV32" s="75" t="s">
        <v>1110</v>
      </c>
      <c r="AW32" s="123">
        <f>IFERROR(VLOOKUP(AV32,'공직유관단체 코드'!$C$5:$D$1037,2,),"")</f>
        <v>957</v>
      </c>
      <c r="AX32" s="133">
        <v>0.6</v>
      </c>
      <c r="AY32" s="23">
        <v>40872</v>
      </c>
      <c r="AZ32" s="23">
        <v>42993</v>
      </c>
      <c r="BA32" s="173">
        <f t="shared" si="11"/>
        <v>5.8109589041095893</v>
      </c>
      <c r="BB32" s="88"/>
      <c r="BC32" s="245" t="s">
        <v>2922</v>
      </c>
      <c r="BD32" s="72" t="s">
        <v>2924</v>
      </c>
      <c r="BE32" s="55" t="s">
        <v>2923</v>
      </c>
    </row>
    <row r="33" spans="5:57" ht="27">
      <c r="E33" s="245" t="s">
        <v>2440</v>
      </c>
      <c r="F33" s="87">
        <f t="shared" si="3"/>
        <v>770126</v>
      </c>
      <c r="G33" s="72" t="s">
        <v>2474</v>
      </c>
      <c r="H33" s="139">
        <f t="shared" ca="1" si="8"/>
        <v>5.9534246575342467</v>
      </c>
      <c r="I33" s="70" t="s">
        <v>2442</v>
      </c>
      <c r="J33" s="243">
        <v>40820</v>
      </c>
      <c r="K33" s="243">
        <v>42993</v>
      </c>
      <c r="L33" s="139">
        <f t="shared" ca="1" si="9"/>
        <v>5.9534246575342467</v>
      </c>
      <c r="M33" s="88" t="s">
        <v>2165</v>
      </c>
      <c r="N33" s="159" t="s">
        <v>71</v>
      </c>
      <c r="O33" s="156" t="s">
        <v>2561</v>
      </c>
      <c r="P33" s="268" t="s">
        <v>117</v>
      </c>
      <c r="Q33" s="240" t="s">
        <v>2562</v>
      </c>
      <c r="R33" s="243">
        <v>41452</v>
      </c>
      <c r="S33" s="240" t="s">
        <v>116</v>
      </c>
      <c r="T33" s="31">
        <v>1000</v>
      </c>
      <c r="U33" s="136">
        <v>0.2</v>
      </c>
      <c r="V33" s="70" t="s">
        <v>132</v>
      </c>
      <c r="W33" s="71">
        <v>8.1000000000000003E-2</v>
      </c>
      <c r="X33" s="23">
        <v>42601</v>
      </c>
      <c r="Y33" s="31">
        <v>1274</v>
      </c>
      <c r="Z33" s="31">
        <v>1000</v>
      </c>
      <c r="AA33" s="70" t="s">
        <v>1617</v>
      </c>
      <c r="AB33" s="52">
        <f t="shared" si="10"/>
        <v>3.1479452054794521</v>
      </c>
      <c r="AC33" s="73"/>
      <c r="AD33" s="174"/>
      <c r="AE33" s="245"/>
      <c r="AF33" s="31"/>
      <c r="AG33" s="31"/>
      <c r="AH33" s="239"/>
      <c r="AI33" s="243">
        <v>41452</v>
      </c>
      <c r="AJ33" s="243">
        <v>42601</v>
      </c>
      <c r="AK33" s="167" t="s">
        <v>1618</v>
      </c>
      <c r="AL33" s="245" t="s">
        <v>117</v>
      </c>
      <c r="AM33" s="245" t="s">
        <v>117</v>
      </c>
      <c r="AN33" s="245" t="s">
        <v>131</v>
      </c>
      <c r="AO33" s="245" t="s">
        <v>131</v>
      </c>
      <c r="AP33" s="245" t="s">
        <v>131</v>
      </c>
      <c r="AQ33" s="168" t="s">
        <v>2996</v>
      </c>
      <c r="AR33" s="171" t="s">
        <v>2475</v>
      </c>
      <c r="AS33" s="75" t="s">
        <v>180</v>
      </c>
      <c r="AT33" s="75" t="s">
        <v>131</v>
      </c>
      <c r="AU33" s="240" t="s">
        <v>138</v>
      </c>
      <c r="AV33" s="75" t="s">
        <v>1110</v>
      </c>
      <c r="AW33" s="123">
        <f>IFERROR(VLOOKUP(AV33,'공직유관단체 코드'!$C$5:$D$1037,2,),"")</f>
        <v>957</v>
      </c>
      <c r="AX33" s="133">
        <v>0.6</v>
      </c>
      <c r="AY33" s="23">
        <v>40872</v>
      </c>
      <c r="AZ33" s="23">
        <v>42993</v>
      </c>
      <c r="BA33" s="173">
        <f t="shared" si="11"/>
        <v>5.8109589041095893</v>
      </c>
      <c r="BB33" s="88"/>
      <c r="BC33" s="245" t="s">
        <v>2922</v>
      </c>
      <c r="BD33" s="72" t="s">
        <v>2924</v>
      </c>
      <c r="BE33" s="55" t="s">
        <v>2923</v>
      </c>
    </row>
    <row r="34" spans="5:57">
      <c r="E34" s="245" t="s">
        <v>2440</v>
      </c>
      <c r="F34" s="87">
        <f t="shared" si="3"/>
        <v>770126</v>
      </c>
      <c r="G34" s="72" t="s">
        <v>2474</v>
      </c>
      <c r="H34" s="139">
        <f t="shared" ca="1" si="8"/>
        <v>5.9534246575342467</v>
      </c>
      <c r="I34" s="70" t="s">
        <v>2442</v>
      </c>
      <c r="J34" s="243">
        <v>40820</v>
      </c>
      <c r="K34" s="243">
        <v>42993</v>
      </c>
      <c r="L34" s="139">
        <f t="shared" ca="1" si="9"/>
        <v>5.9534246575342467</v>
      </c>
      <c r="M34" s="88" t="s">
        <v>2211</v>
      </c>
      <c r="N34" s="159" t="s">
        <v>71</v>
      </c>
      <c r="O34" s="156" t="s">
        <v>2563</v>
      </c>
      <c r="P34" s="268" t="s">
        <v>117</v>
      </c>
      <c r="Q34" s="240" t="s">
        <v>2564</v>
      </c>
      <c r="R34" s="243">
        <v>41584</v>
      </c>
      <c r="S34" s="240" t="s">
        <v>116</v>
      </c>
      <c r="T34" s="31">
        <v>2500</v>
      </c>
      <c r="U34" s="136">
        <v>0.10299999999999999</v>
      </c>
      <c r="V34" s="70" t="s">
        <v>132</v>
      </c>
      <c r="W34" s="71">
        <v>3.47</v>
      </c>
      <c r="X34" s="23">
        <v>42194</v>
      </c>
      <c r="Y34" s="31">
        <v>28691</v>
      </c>
      <c r="Z34" s="31">
        <v>2500</v>
      </c>
      <c r="AA34" s="70" t="s">
        <v>114</v>
      </c>
      <c r="AB34" s="52">
        <f t="shared" si="10"/>
        <v>1.6712328767123288</v>
      </c>
      <c r="AC34" s="73"/>
      <c r="AD34" s="174"/>
      <c r="AE34" s="245"/>
      <c r="AF34" s="31"/>
      <c r="AG34" s="31"/>
      <c r="AH34" s="239"/>
      <c r="AI34" s="243">
        <v>41584</v>
      </c>
      <c r="AJ34" s="243">
        <v>42194</v>
      </c>
      <c r="AK34" s="167" t="s">
        <v>1618</v>
      </c>
      <c r="AL34" s="245" t="s">
        <v>117</v>
      </c>
      <c r="AM34" s="245" t="s">
        <v>131</v>
      </c>
      <c r="AN34" s="245" t="s">
        <v>131</v>
      </c>
      <c r="AO34" s="245" t="s">
        <v>131</v>
      </c>
      <c r="AP34" s="245" t="s">
        <v>131</v>
      </c>
      <c r="AQ34" s="168" t="s">
        <v>2997</v>
      </c>
      <c r="AR34" s="171" t="s">
        <v>2021</v>
      </c>
      <c r="AS34" s="75" t="s">
        <v>180</v>
      </c>
      <c r="AT34" s="75" t="s">
        <v>117</v>
      </c>
      <c r="AU34" s="240" t="s">
        <v>138</v>
      </c>
      <c r="AV34" s="75" t="s">
        <v>1110</v>
      </c>
      <c r="AW34" s="123">
        <f>IFERROR(VLOOKUP(AV34,'공직유관단체 코드'!$C$5:$D$1037,2,),"")</f>
        <v>957</v>
      </c>
      <c r="AX34" s="133">
        <v>0.50900000000000001</v>
      </c>
      <c r="AY34" s="23">
        <v>41528</v>
      </c>
      <c r="AZ34" s="23">
        <v>42993</v>
      </c>
      <c r="BA34" s="173">
        <f t="shared" si="11"/>
        <v>4.0136986301369859</v>
      </c>
      <c r="BB34" s="239" t="s">
        <v>2240</v>
      </c>
      <c r="BC34" s="245" t="s">
        <v>2922</v>
      </c>
      <c r="BD34" s="72" t="s">
        <v>2924</v>
      </c>
      <c r="BE34" s="55" t="s">
        <v>2923</v>
      </c>
    </row>
    <row r="35" spans="5:57">
      <c r="E35" s="245" t="s">
        <v>2440</v>
      </c>
      <c r="F35" s="87">
        <f t="shared" si="3"/>
        <v>770126</v>
      </c>
      <c r="G35" s="72" t="s">
        <v>2474</v>
      </c>
      <c r="H35" s="139">
        <f t="shared" ca="1" si="8"/>
        <v>5.9534246575342467</v>
      </c>
      <c r="I35" s="70" t="s">
        <v>2442</v>
      </c>
      <c r="J35" s="243">
        <v>40820</v>
      </c>
      <c r="K35" s="243">
        <v>42993</v>
      </c>
      <c r="L35" s="139">
        <f t="shared" ca="1" si="9"/>
        <v>5.9534246575342467</v>
      </c>
      <c r="M35" s="88" t="s">
        <v>2167</v>
      </c>
      <c r="N35" s="159" t="s">
        <v>71</v>
      </c>
      <c r="O35" s="156" t="s">
        <v>2565</v>
      </c>
      <c r="P35" s="268" t="s">
        <v>131</v>
      </c>
      <c r="Q35" s="240" t="s">
        <v>2566</v>
      </c>
      <c r="R35" s="243">
        <v>41694</v>
      </c>
      <c r="S35" s="240" t="s">
        <v>133</v>
      </c>
      <c r="T35" s="31">
        <v>5615</v>
      </c>
      <c r="U35" s="136">
        <v>0.112</v>
      </c>
      <c r="V35" s="70" t="s">
        <v>132</v>
      </c>
      <c r="W35" s="71">
        <v>0.98599999999999999</v>
      </c>
      <c r="X35" s="23">
        <v>42353</v>
      </c>
      <c r="Y35" s="31">
        <v>17653</v>
      </c>
      <c r="Z35" s="31">
        <v>5616</v>
      </c>
      <c r="AA35" s="70" t="s">
        <v>114</v>
      </c>
      <c r="AB35" s="52">
        <f t="shared" si="10"/>
        <v>1.8054794520547945</v>
      </c>
      <c r="AC35" s="73"/>
      <c r="AD35" s="174"/>
      <c r="AE35" s="245"/>
      <c r="AF35" s="31"/>
      <c r="AG35" s="31"/>
      <c r="AH35" s="239"/>
      <c r="AI35" s="243">
        <v>41694</v>
      </c>
      <c r="AJ35" s="243">
        <v>42353</v>
      </c>
      <c r="AK35" s="167" t="s">
        <v>1618</v>
      </c>
      <c r="AL35" s="245" t="s">
        <v>117</v>
      </c>
      <c r="AM35" s="245" t="s">
        <v>117</v>
      </c>
      <c r="AN35" s="245" t="s">
        <v>131</v>
      </c>
      <c r="AO35" s="245" t="s">
        <v>131</v>
      </c>
      <c r="AP35" s="245" t="s">
        <v>131</v>
      </c>
      <c r="AQ35" s="168" t="s">
        <v>2996</v>
      </c>
      <c r="AR35" s="171" t="s">
        <v>2475</v>
      </c>
      <c r="AS35" s="75" t="s">
        <v>180</v>
      </c>
      <c r="AT35" s="75" t="s">
        <v>131</v>
      </c>
      <c r="AU35" s="240" t="s">
        <v>138</v>
      </c>
      <c r="AV35" s="75" t="s">
        <v>1110</v>
      </c>
      <c r="AW35" s="123">
        <f>IFERROR(VLOOKUP(AV35,'공직유관단체 코드'!$C$5:$D$1037,2,),"")</f>
        <v>957</v>
      </c>
      <c r="AX35" s="133">
        <v>0.6</v>
      </c>
      <c r="AY35" s="23">
        <v>40872</v>
      </c>
      <c r="AZ35" s="23">
        <v>42993</v>
      </c>
      <c r="BA35" s="173">
        <f t="shared" si="11"/>
        <v>5.8109589041095893</v>
      </c>
      <c r="BB35" s="88"/>
      <c r="BC35" s="245" t="s">
        <v>2922</v>
      </c>
      <c r="BD35" s="72" t="s">
        <v>2924</v>
      </c>
      <c r="BE35" s="55" t="s">
        <v>2923</v>
      </c>
    </row>
    <row r="36" spans="5:57" ht="27">
      <c r="E36" s="245" t="s">
        <v>2440</v>
      </c>
      <c r="F36" s="87">
        <f t="shared" si="3"/>
        <v>770126</v>
      </c>
      <c r="G36" s="72" t="s">
        <v>2474</v>
      </c>
      <c r="H36" s="139">
        <f t="shared" ca="1" si="8"/>
        <v>5.9534246575342467</v>
      </c>
      <c r="I36" s="70" t="s">
        <v>2442</v>
      </c>
      <c r="J36" s="243">
        <v>40820</v>
      </c>
      <c r="K36" s="243">
        <v>42993</v>
      </c>
      <c r="L36" s="139">
        <f t="shared" ca="1" si="9"/>
        <v>5.9534246575342467</v>
      </c>
      <c r="M36" s="88" t="s">
        <v>2168</v>
      </c>
      <c r="N36" s="159" t="s">
        <v>71</v>
      </c>
      <c r="O36" s="156" t="s">
        <v>2568</v>
      </c>
      <c r="P36" s="268" t="s">
        <v>131</v>
      </c>
      <c r="Q36" s="240" t="s">
        <v>2567</v>
      </c>
      <c r="R36" s="243">
        <v>41712</v>
      </c>
      <c r="S36" s="240" t="s">
        <v>133</v>
      </c>
      <c r="T36" s="31">
        <v>2545</v>
      </c>
      <c r="U36" s="136">
        <v>5.0999999999999997E-2</v>
      </c>
      <c r="V36" s="70" t="s">
        <v>132</v>
      </c>
      <c r="W36" s="71">
        <v>-0.127</v>
      </c>
      <c r="X36" s="23">
        <v>42361</v>
      </c>
      <c r="Y36" s="31">
        <v>2000</v>
      </c>
      <c r="Z36" s="31">
        <v>2544</v>
      </c>
      <c r="AA36" s="70" t="s">
        <v>134</v>
      </c>
      <c r="AB36" s="52">
        <f t="shared" si="10"/>
        <v>1.7780821917808218</v>
      </c>
      <c r="AC36" s="73"/>
      <c r="AD36" s="174"/>
      <c r="AE36" s="245"/>
      <c r="AF36" s="31"/>
      <c r="AG36" s="31"/>
      <c r="AH36" s="239"/>
      <c r="AI36" s="243">
        <v>41712</v>
      </c>
      <c r="AJ36" s="243">
        <v>42361</v>
      </c>
      <c r="AK36" s="167" t="s">
        <v>1618</v>
      </c>
      <c r="AL36" s="245" t="s">
        <v>117</v>
      </c>
      <c r="AM36" s="245" t="s">
        <v>131</v>
      </c>
      <c r="AN36" s="245" t="s">
        <v>131</v>
      </c>
      <c r="AO36" s="245" t="s">
        <v>131</v>
      </c>
      <c r="AP36" s="245" t="s">
        <v>131</v>
      </c>
      <c r="AQ36" s="168" t="s">
        <v>2997</v>
      </c>
      <c r="AR36" s="171" t="s">
        <v>2475</v>
      </c>
      <c r="AS36" s="75" t="s">
        <v>180</v>
      </c>
      <c r="AT36" s="75" t="s">
        <v>131</v>
      </c>
      <c r="AU36" s="240" t="s">
        <v>138</v>
      </c>
      <c r="AV36" s="75" t="s">
        <v>1110</v>
      </c>
      <c r="AW36" s="123">
        <f>IFERROR(VLOOKUP(AV36,'공직유관단체 코드'!$C$5:$D$1037,2,),"")</f>
        <v>957</v>
      </c>
      <c r="AX36" s="133">
        <v>0.6</v>
      </c>
      <c r="AY36" s="23">
        <v>40872</v>
      </c>
      <c r="AZ36" s="23">
        <v>42993</v>
      </c>
      <c r="BA36" s="173">
        <f t="shared" si="11"/>
        <v>5.8109589041095893</v>
      </c>
      <c r="BB36" s="88"/>
      <c r="BC36" s="245" t="s">
        <v>2922</v>
      </c>
      <c r="BD36" s="72" t="s">
        <v>2924</v>
      </c>
      <c r="BE36" s="55" t="s">
        <v>2923</v>
      </c>
    </row>
    <row r="37" spans="5:57" ht="27">
      <c r="E37" s="245" t="s">
        <v>2440</v>
      </c>
      <c r="F37" s="87">
        <f t="shared" si="3"/>
        <v>770126</v>
      </c>
      <c r="G37" s="72" t="s">
        <v>2474</v>
      </c>
      <c r="H37" s="139">
        <f t="shared" ca="1" si="8"/>
        <v>5.9534246575342467</v>
      </c>
      <c r="I37" s="70" t="s">
        <v>2442</v>
      </c>
      <c r="J37" s="243">
        <v>40820</v>
      </c>
      <c r="K37" s="243">
        <v>42993</v>
      </c>
      <c r="L37" s="139">
        <f t="shared" ca="1" si="9"/>
        <v>5.9534246575342467</v>
      </c>
      <c r="M37" s="88" t="s">
        <v>2218</v>
      </c>
      <c r="N37" s="159" t="s">
        <v>71</v>
      </c>
      <c r="O37" s="156" t="s">
        <v>2569</v>
      </c>
      <c r="P37" s="268" t="s">
        <v>117</v>
      </c>
      <c r="Q37" s="240" t="s">
        <v>2570</v>
      </c>
      <c r="R37" s="243">
        <v>41886</v>
      </c>
      <c r="S37" s="240" t="s">
        <v>116</v>
      </c>
      <c r="T37" s="31">
        <v>1000</v>
      </c>
      <c r="U37" s="136">
        <v>4.9000000000000002E-2</v>
      </c>
      <c r="V37" s="70" t="s">
        <v>1192</v>
      </c>
      <c r="W37" s="71"/>
      <c r="X37" s="23">
        <v>42982</v>
      </c>
      <c r="Y37" s="31">
        <v>49</v>
      </c>
      <c r="Z37" s="31">
        <v>0</v>
      </c>
      <c r="AA37" s="70" t="s">
        <v>137</v>
      </c>
      <c r="AB37" s="52">
        <f t="shared" si="10"/>
        <v>3.0027397260273974</v>
      </c>
      <c r="AC37" s="73" t="s">
        <v>117</v>
      </c>
      <c r="AD37" s="174"/>
      <c r="AE37" s="245" t="s">
        <v>117</v>
      </c>
      <c r="AF37" s="31">
        <v>1000</v>
      </c>
      <c r="AG37" s="31">
        <v>1000</v>
      </c>
      <c r="AH37" s="239" t="s">
        <v>2540</v>
      </c>
      <c r="AI37" s="243">
        <v>41886</v>
      </c>
      <c r="AJ37" s="243">
        <v>42993</v>
      </c>
      <c r="AK37" s="167" t="s">
        <v>1618</v>
      </c>
      <c r="AL37" s="245" t="s">
        <v>117</v>
      </c>
      <c r="AM37" s="245" t="s">
        <v>131</v>
      </c>
      <c r="AN37" s="245" t="s">
        <v>131</v>
      </c>
      <c r="AO37" s="245" t="s">
        <v>131</v>
      </c>
      <c r="AP37" s="245" t="s">
        <v>131</v>
      </c>
      <c r="AQ37" s="168" t="s">
        <v>2997</v>
      </c>
      <c r="AR37" s="171" t="s">
        <v>2685</v>
      </c>
      <c r="AS37" s="75" t="s">
        <v>180</v>
      </c>
      <c r="AT37" s="75" t="s">
        <v>117</v>
      </c>
      <c r="AU37" s="240" t="s">
        <v>128</v>
      </c>
      <c r="AV37" s="75" t="s">
        <v>2601</v>
      </c>
      <c r="AW37" s="123">
        <f>IFERROR(VLOOKUP(AV37,'공직유관단체 코드'!$C$5:$D$1037,2,),"")</f>
        <v>660</v>
      </c>
      <c r="AX37" s="133">
        <v>0.373</v>
      </c>
      <c r="AY37" s="23">
        <v>41696</v>
      </c>
      <c r="AZ37" s="23">
        <v>42993</v>
      </c>
      <c r="BA37" s="173">
        <f t="shared" si="11"/>
        <v>3.5534246575342467</v>
      </c>
      <c r="BB37" s="239" t="s">
        <v>2121</v>
      </c>
      <c r="BC37" s="245" t="s">
        <v>2922</v>
      </c>
      <c r="BD37" s="72" t="s">
        <v>2924</v>
      </c>
      <c r="BE37" s="55" t="s">
        <v>2923</v>
      </c>
    </row>
    <row r="38" spans="5:57" ht="27">
      <c r="E38" s="245" t="s">
        <v>2440</v>
      </c>
      <c r="F38" s="87">
        <f t="shared" si="3"/>
        <v>770126</v>
      </c>
      <c r="G38" s="72" t="s">
        <v>2474</v>
      </c>
      <c r="H38" s="139">
        <f t="shared" ca="1" si="8"/>
        <v>5.9534246575342467</v>
      </c>
      <c r="I38" s="70" t="s">
        <v>2442</v>
      </c>
      <c r="J38" s="243">
        <v>40820</v>
      </c>
      <c r="K38" s="243">
        <v>42993</v>
      </c>
      <c r="L38" s="139">
        <f t="shared" ca="1" si="9"/>
        <v>5.9534246575342467</v>
      </c>
      <c r="M38" s="88" t="s">
        <v>2218</v>
      </c>
      <c r="N38" s="159" t="s">
        <v>71</v>
      </c>
      <c r="O38" s="156" t="s">
        <v>2569</v>
      </c>
      <c r="P38" s="268" t="s">
        <v>117</v>
      </c>
      <c r="Q38" s="240" t="s">
        <v>2570</v>
      </c>
      <c r="R38" s="243">
        <v>41886</v>
      </c>
      <c r="S38" s="240" t="s">
        <v>116</v>
      </c>
      <c r="T38" s="31">
        <v>1000</v>
      </c>
      <c r="U38" s="136">
        <v>1.0489999999999999</v>
      </c>
      <c r="V38" s="70" t="s">
        <v>1192</v>
      </c>
      <c r="W38" s="71"/>
      <c r="X38" s="23">
        <v>42982</v>
      </c>
      <c r="Y38" s="31">
        <v>49</v>
      </c>
      <c r="Z38" s="31">
        <v>0</v>
      </c>
      <c r="AA38" s="70" t="s">
        <v>137</v>
      </c>
      <c r="AB38" s="52">
        <f t="shared" si="10"/>
        <v>3.0027397260273974</v>
      </c>
      <c r="AC38" s="73" t="s">
        <v>117</v>
      </c>
      <c r="AD38" s="174"/>
      <c r="AE38" s="245" t="s">
        <v>117</v>
      </c>
      <c r="AF38" s="31">
        <v>1000</v>
      </c>
      <c r="AG38" s="31">
        <v>1000</v>
      </c>
      <c r="AH38" s="239" t="s">
        <v>2540</v>
      </c>
      <c r="AI38" s="243">
        <v>41886</v>
      </c>
      <c r="AJ38" s="243">
        <v>42993</v>
      </c>
      <c r="AK38" s="167" t="s">
        <v>1618</v>
      </c>
      <c r="AL38" s="245" t="s">
        <v>117</v>
      </c>
      <c r="AM38" s="245" t="s">
        <v>131</v>
      </c>
      <c r="AN38" s="245" t="s">
        <v>131</v>
      </c>
      <c r="AO38" s="245" t="s">
        <v>131</v>
      </c>
      <c r="AP38" s="245" t="s">
        <v>131</v>
      </c>
      <c r="AQ38" s="168" t="s">
        <v>2997</v>
      </c>
      <c r="AR38" s="171" t="s">
        <v>2021</v>
      </c>
      <c r="AS38" s="75" t="s">
        <v>180</v>
      </c>
      <c r="AT38" s="75" t="s">
        <v>117</v>
      </c>
      <c r="AU38" s="240" t="s">
        <v>138</v>
      </c>
      <c r="AV38" s="75" t="s">
        <v>1110</v>
      </c>
      <c r="AW38" s="123">
        <f>IFERROR(VLOOKUP(AV38,'공직유관단체 코드'!$C$5:$D$1037,2,),"")</f>
        <v>957</v>
      </c>
      <c r="AX38" s="133">
        <v>0.50900000000000001</v>
      </c>
      <c r="AY38" s="23">
        <v>41528</v>
      </c>
      <c r="AZ38" s="23">
        <v>42993</v>
      </c>
      <c r="BA38" s="173">
        <f t="shared" si="11"/>
        <v>4.0136986301369859</v>
      </c>
      <c r="BB38" s="239" t="s">
        <v>2121</v>
      </c>
      <c r="BC38" s="245" t="s">
        <v>2922</v>
      </c>
      <c r="BD38" s="72" t="s">
        <v>2924</v>
      </c>
      <c r="BE38" s="55" t="s">
        <v>2923</v>
      </c>
    </row>
    <row r="39" spans="5:57">
      <c r="E39" s="245" t="s">
        <v>2440</v>
      </c>
      <c r="F39" s="87">
        <f t="shared" si="3"/>
        <v>770126</v>
      </c>
      <c r="G39" s="72" t="s">
        <v>2474</v>
      </c>
      <c r="H39" s="139">
        <f t="shared" ca="1" si="8"/>
        <v>5.9534246575342467</v>
      </c>
      <c r="I39" s="70" t="s">
        <v>2442</v>
      </c>
      <c r="J39" s="243">
        <v>40820</v>
      </c>
      <c r="K39" s="243">
        <v>42993</v>
      </c>
      <c r="L39" s="139">
        <f t="shared" ca="1" si="9"/>
        <v>5.9534246575342467</v>
      </c>
      <c r="M39" s="88" t="s">
        <v>2281</v>
      </c>
      <c r="N39" s="159" t="s">
        <v>71</v>
      </c>
      <c r="O39" s="156" t="s">
        <v>2571</v>
      </c>
      <c r="P39" s="268" t="s">
        <v>131</v>
      </c>
      <c r="Q39" s="240" t="s">
        <v>2572</v>
      </c>
      <c r="R39" s="243">
        <v>42033</v>
      </c>
      <c r="S39" s="240" t="s">
        <v>72</v>
      </c>
      <c r="T39" s="31">
        <v>3035</v>
      </c>
      <c r="U39" s="136">
        <v>4.7E-2</v>
      </c>
      <c r="V39" s="70" t="s">
        <v>1192</v>
      </c>
      <c r="W39" s="71"/>
      <c r="X39" s="23">
        <v>42972</v>
      </c>
      <c r="Y39" s="31">
        <v>3404</v>
      </c>
      <c r="Z39" s="31">
        <v>2285</v>
      </c>
      <c r="AA39" s="70" t="s">
        <v>134</v>
      </c>
      <c r="AB39" s="52">
        <f t="shared" si="10"/>
        <v>2.5726027397260274</v>
      </c>
      <c r="AC39" s="73" t="s">
        <v>117</v>
      </c>
      <c r="AD39" s="174"/>
      <c r="AE39" s="245" t="s">
        <v>117</v>
      </c>
      <c r="AF39" s="31">
        <v>750</v>
      </c>
      <c r="AG39" s="31">
        <v>750</v>
      </c>
      <c r="AH39" s="239" t="s">
        <v>2540</v>
      </c>
      <c r="AI39" s="243">
        <v>42033</v>
      </c>
      <c r="AJ39" s="243">
        <v>42993</v>
      </c>
      <c r="AK39" s="167" t="s">
        <v>1618</v>
      </c>
      <c r="AL39" s="245" t="s">
        <v>117</v>
      </c>
      <c r="AM39" s="245" t="s">
        <v>117</v>
      </c>
      <c r="AN39" s="245" t="s">
        <v>131</v>
      </c>
      <c r="AO39" s="245" t="s">
        <v>131</v>
      </c>
      <c r="AP39" s="245" t="s">
        <v>131</v>
      </c>
      <c r="AQ39" s="168" t="s">
        <v>2996</v>
      </c>
      <c r="AR39" s="171" t="s">
        <v>2024</v>
      </c>
      <c r="AS39" s="75" t="s">
        <v>180</v>
      </c>
      <c r="AT39" s="75" t="s">
        <v>131</v>
      </c>
      <c r="AU39" s="240" t="s">
        <v>138</v>
      </c>
      <c r="AV39" s="75" t="s">
        <v>1231</v>
      </c>
      <c r="AW39" s="123">
        <f>IFERROR(VLOOKUP(AV39,'공직유관단체 코드'!$C$5:$D$1037,2,),"")</f>
        <v>569</v>
      </c>
      <c r="AX39" s="133">
        <v>0.02</v>
      </c>
      <c r="AY39" s="23">
        <v>41862</v>
      </c>
      <c r="AZ39" s="23">
        <v>42993</v>
      </c>
      <c r="BA39" s="173">
        <f t="shared" si="11"/>
        <v>3.0986301369863014</v>
      </c>
      <c r="BB39" s="88"/>
      <c r="BC39" s="245" t="s">
        <v>2922</v>
      </c>
      <c r="BD39" s="72" t="s">
        <v>2924</v>
      </c>
      <c r="BE39" s="55" t="s">
        <v>2923</v>
      </c>
    </row>
    <row r="40" spans="5:57">
      <c r="E40" s="245" t="s">
        <v>2440</v>
      </c>
      <c r="F40" s="87">
        <f t="shared" si="3"/>
        <v>770126</v>
      </c>
      <c r="G40" s="72" t="s">
        <v>2474</v>
      </c>
      <c r="H40" s="139">
        <f t="shared" ca="1" si="8"/>
        <v>5.9534246575342467</v>
      </c>
      <c r="I40" s="70" t="s">
        <v>2442</v>
      </c>
      <c r="J40" s="243">
        <v>40820</v>
      </c>
      <c r="K40" s="243">
        <v>42993</v>
      </c>
      <c r="L40" s="139">
        <f t="shared" ca="1" si="9"/>
        <v>5.9534246575342467</v>
      </c>
      <c r="M40" s="88" t="s">
        <v>2283</v>
      </c>
      <c r="N40" s="159" t="s">
        <v>71</v>
      </c>
      <c r="O40" s="156" t="s">
        <v>2573</v>
      </c>
      <c r="P40" s="268" t="s">
        <v>131</v>
      </c>
      <c r="Q40" s="240" t="s">
        <v>2574</v>
      </c>
      <c r="R40" s="243">
        <v>42094</v>
      </c>
      <c r="S40" s="240" t="s">
        <v>72</v>
      </c>
      <c r="T40" s="31">
        <v>4001</v>
      </c>
      <c r="U40" s="136">
        <v>7.0999999999999994E-2</v>
      </c>
      <c r="V40" s="70" t="s">
        <v>1192</v>
      </c>
      <c r="W40" s="71"/>
      <c r="X40" s="23">
        <v>42851</v>
      </c>
      <c r="Y40" s="31">
        <v>1303</v>
      </c>
      <c r="Z40" s="31">
        <v>1125</v>
      </c>
      <c r="AA40" s="70" t="s">
        <v>134</v>
      </c>
      <c r="AB40" s="52">
        <f t="shared" si="10"/>
        <v>2.0739726027397261</v>
      </c>
      <c r="AC40" s="73" t="s">
        <v>117</v>
      </c>
      <c r="AD40" s="174"/>
      <c r="AE40" s="245" t="s">
        <v>117</v>
      </c>
      <c r="AF40" s="31">
        <v>2876</v>
      </c>
      <c r="AG40" s="31">
        <v>2876</v>
      </c>
      <c r="AH40" s="239" t="s">
        <v>2540</v>
      </c>
      <c r="AI40" s="243">
        <v>42094</v>
      </c>
      <c r="AJ40" s="243">
        <v>42993</v>
      </c>
      <c r="AK40" s="167" t="s">
        <v>1618</v>
      </c>
      <c r="AL40" s="245" t="s">
        <v>117</v>
      </c>
      <c r="AM40" s="245" t="s">
        <v>131</v>
      </c>
      <c r="AN40" s="245" t="s">
        <v>131</v>
      </c>
      <c r="AO40" s="245" t="s">
        <v>131</v>
      </c>
      <c r="AP40" s="245" t="s">
        <v>131</v>
      </c>
      <c r="AQ40" s="168" t="s">
        <v>2997</v>
      </c>
      <c r="AR40" s="171" t="s">
        <v>2024</v>
      </c>
      <c r="AS40" s="75" t="s">
        <v>180</v>
      </c>
      <c r="AT40" s="75" t="s">
        <v>131</v>
      </c>
      <c r="AU40" s="240" t="s">
        <v>138</v>
      </c>
      <c r="AV40" s="75" t="s">
        <v>1231</v>
      </c>
      <c r="AW40" s="123">
        <f>IFERROR(VLOOKUP(AV40,'공직유관단체 코드'!$C$5:$D$1037,2,),"")</f>
        <v>569</v>
      </c>
      <c r="AX40" s="133">
        <v>0.02</v>
      </c>
      <c r="AY40" s="23">
        <v>41862</v>
      </c>
      <c r="AZ40" s="23">
        <v>42993</v>
      </c>
      <c r="BA40" s="173">
        <f t="shared" si="11"/>
        <v>3.0986301369863014</v>
      </c>
      <c r="BB40" s="239" t="s">
        <v>2295</v>
      </c>
      <c r="BC40" s="245" t="s">
        <v>2922</v>
      </c>
      <c r="BD40" s="72" t="s">
        <v>2924</v>
      </c>
      <c r="BE40" s="55" t="s">
        <v>2923</v>
      </c>
    </row>
    <row r="41" spans="5:57">
      <c r="E41" s="245" t="s">
        <v>2440</v>
      </c>
      <c r="F41" s="87">
        <f t="shared" si="3"/>
        <v>770126</v>
      </c>
      <c r="G41" s="72" t="s">
        <v>2474</v>
      </c>
      <c r="H41" s="139">
        <f t="shared" ca="1" si="8"/>
        <v>5.9534246575342467</v>
      </c>
      <c r="I41" s="70" t="s">
        <v>2442</v>
      </c>
      <c r="J41" s="243">
        <v>40820</v>
      </c>
      <c r="K41" s="243">
        <v>42993</v>
      </c>
      <c r="L41" s="139">
        <f t="shared" ca="1" si="9"/>
        <v>5.9534246575342467</v>
      </c>
      <c r="M41" s="88" t="s">
        <v>2284</v>
      </c>
      <c r="N41" s="159" t="s">
        <v>71</v>
      </c>
      <c r="O41" s="156" t="s">
        <v>2575</v>
      </c>
      <c r="P41" s="268" t="s">
        <v>131</v>
      </c>
      <c r="Q41" s="240" t="s">
        <v>2576</v>
      </c>
      <c r="R41" s="243">
        <v>42109</v>
      </c>
      <c r="S41" s="240" t="s">
        <v>72</v>
      </c>
      <c r="T41" s="31">
        <v>1800</v>
      </c>
      <c r="U41" s="136">
        <v>4.0000000000000001E-3</v>
      </c>
      <c r="V41" s="70" t="s">
        <v>1192</v>
      </c>
      <c r="W41" s="71"/>
      <c r="X41" s="23">
        <v>42195</v>
      </c>
      <c r="Y41" s="31">
        <v>2600</v>
      </c>
      <c r="Z41" s="31">
        <v>900</v>
      </c>
      <c r="AA41" s="70" t="s">
        <v>134</v>
      </c>
      <c r="AB41" s="52">
        <f t="shared" si="10"/>
        <v>0.23561643835616439</v>
      </c>
      <c r="AC41" s="73" t="s">
        <v>117</v>
      </c>
      <c r="AD41" s="174"/>
      <c r="AE41" s="245" t="s">
        <v>117</v>
      </c>
      <c r="AF41" s="31">
        <v>900</v>
      </c>
      <c r="AG41" s="31">
        <v>900</v>
      </c>
      <c r="AH41" s="239" t="s">
        <v>2540</v>
      </c>
      <c r="AI41" s="243">
        <v>42109</v>
      </c>
      <c r="AJ41" s="243">
        <v>42993</v>
      </c>
      <c r="AK41" s="167" t="s">
        <v>1618</v>
      </c>
      <c r="AL41" s="245" t="s">
        <v>117</v>
      </c>
      <c r="AM41" s="245" t="s">
        <v>131</v>
      </c>
      <c r="AN41" s="245" t="s">
        <v>131</v>
      </c>
      <c r="AO41" s="245" t="s">
        <v>131</v>
      </c>
      <c r="AP41" s="245" t="s">
        <v>131</v>
      </c>
      <c r="AQ41" s="168" t="s">
        <v>2997</v>
      </c>
      <c r="AR41" s="171" t="s">
        <v>2024</v>
      </c>
      <c r="AS41" s="75" t="s">
        <v>180</v>
      </c>
      <c r="AT41" s="75" t="s">
        <v>131</v>
      </c>
      <c r="AU41" s="240" t="s">
        <v>138</v>
      </c>
      <c r="AV41" s="75" t="s">
        <v>1231</v>
      </c>
      <c r="AW41" s="123">
        <f>IFERROR(VLOOKUP(AV41,'공직유관단체 코드'!$C$5:$D$1037,2,),"")</f>
        <v>569</v>
      </c>
      <c r="AX41" s="133">
        <v>0.02</v>
      </c>
      <c r="AY41" s="23">
        <v>41862</v>
      </c>
      <c r="AZ41" s="23">
        <v>42993</v>
      </c>
      <c r="BA41" s="173">
        <f t="shared" si="11"/>
        <v>3.0986301369863014</v>
      </c>
      <c r="BB41" s="88"/>
      <c r="BC41" s="245" t="s">
        <v>2922</v>
      </c>
      <c r="BD41" s="72" t="s">
        <v>2924</v>
      </c>
      <c r="BE41" s="55" t="s">
        <v>2923</v>
      </c>
    </row>
    <row r="42" spans="5:57">
      <c r="E42" s="245" t="s">
        <v>2440</v>
      </c>
      <c r="F42" s="87">
        <f t="shared" si="3"/>
        <v>770126</v>
      </c>
      <c r="G42" s="72" t="s">
        <v>2474</v>
      </c>
      <c r="H42" s="139">
        <f t="shared" ref="H42:H43" ca="1" si="12">IF(ISBLANK(G42),"",SUMPRODUCT( (OFFSET(대표이사_참여인력_경력,0,0,ROWS(대표이사_참여인력_경력),1)=$E42)*1, (OFFSET(대표이사_참여인력_경력,0,3,ROWS(대표이사_참여인력_경력),1)=$G42)*1, OFFSET(대표이사_참여인력_경력,0,7,ROWS(대표이사_참여인력_경력),1) ) /COUNTIFS(OFFSET(대표이사_참여인력_경력,0,0,ROWS(대표이사_참여인력_경력),1),$E42,OFFSET(대표이사_참여인력_경력,0,3,ROWS(대표이사_참여인력_경력),1),$G42))</f>
        <v>5.9534246575342467</v>
      </c>
      <c r="I42" s="70" t="s">
        <v>2442</v>
      </c>
      <c r="J42" s="243">
        <v>40820</v>
      </c>
      <c r="K42" s="243">
        <v>42993</v>
      </c>
      <c r="L42" s="139">
        <f t="shared" ref="L42:L43" ca="1" si="13">IF(ISBLANK(I42),"",SUMPRODUCT( (OFFSET(대표이사_참여인력_경력,0,0,ROWS(대표이사_참여인력_경력),1)=$E42)*1, (OFFSET(대표이사_참여인력_경력,0,3,ROWS(대표이사_참여인력_경력),1)=$G42)*1, (OFFSET(대표이사_참여인력_경력,0,8,ROWS(대표이사_참여인력_경력),1)=$I42)*1, OFFSET(대표이사_참여인력_경력,0,13,ROWS(대표이사_참여인력_경력),1) ) /COUNTIFS(OFFSET(대표이사_참여인력_경력,0,0,ROWS(대표이사_참여인력_경력),1),$E42,OFFSET(대표이사_참여인력_경력,0,3,ROWS(대표이사_참여인력_경력),1),$G42,OFFSET(대표이사_참여인력_경력,0,8,ROWS(대표이사_참여인력_경력),1),$I42 ))</f>
        <v>5.9534246575342467</v>
      </c>
      <c r="M42" s="88" t="s">
        <v>2284</v>
      </c>
      <c r="N42" s="159" t="s">
        <v>71</v>
      </c>
      <c r="O42" s="156" t="s">
        <v>2575</v>
      </c>
      <c r="P42" s="268" t="s">
        <v>131</v>
      </c>
      <c r="Q42" s="240" t="s">
        <v>2576</v>
      </c>
      <c r="R42" s="243">
        <v>42109</v>
      </c>
      <c r="S42" s="240" t="s">
        <v>72</v>
      </c>
      <c r="T42" s="31">
        <v>987</v>
      </c>
      <c r="U42" s="136">
        <v>2E-3</v>
      </c>
      <c r="V42" s="70" t="s">
        <v>1193</v>
      </c>
      <c r="W42" s="71"/>
      <c r="X42" s="23"/>
      <c r="Y42" s="31"/>
      <c r="Z42" s="31"/>
      <c r="AA42" s="70"/>
      <c r="AB42" s="52" t="str">
        <f t="shared" ref="AB42:AB43" si="14">IF(ISBLANK(X42),"",DATEDIF(R42,X42,"d")/365)</f>
        <v/>
      </c>
      <c r="AC42" s="73" t="s">
        <v>117</v>
      </c>
      <c r="AD42" s="174"/>
      <c r="AE42" s="245" t="s">
        <v>117</v>
      </c>
      <c r="AF42" s="31">
        <v>987</v>
      </c>
      <c r="AG42" s="31">
        <v>987</v>
      </c>
      <c r="AH42" s="239" t="s">
        <v>2540</v>
      </c>
      <c r="AI42" s="243">
        <v>42109</v>
      </c>
      <c r="AJ42" s="243">
        <v>42993</v>
      </c>
      <c r="AK42" s="167" t="s">
        <v>1618</v>
      </c>
      <c r="AL42" s="245" t="s">
        <v>117</v>
      </c>
      <c r="AM42" s="245" t="s">
        <v>131</v>
      </c>
      <c r="AN42" s="245" t="s">
        <v>131</v>
      </c>
      <c r="AO42" s="245" t="s">
        <v>131</v>
      </c>
      <c r="AP42" s="245"/>
      <c r="AQ42" s="168" t="s">
        <v>3001</v>
      </c>
      <c r="AR42" s="171" t="s">
        <v>2024</v>
      </c>
      <c r="AS42" s="75" t="s">
        <v>180</v>
      </c>
      <c r="AT42" s="75" t="s">
        <v>131</v>
      </c>
      <c r="AU42" s="240" t="s">
        <v>138</v>
      </c>
      <c r="AV42" s="75" t="s">
        <v>1231</v>
      </c>
      <c r="AW42" s="123">
        <f>IFERROR(VLOOKUP(AV42,'공직유관단체 코드'!$C$5:$D$1037,2,),"")</f>
        <v>569</v>
      </c>
      <c r="AX42" s="133">
        <v>0.02</v>
      </c>
      <c r="AY42" s="23">
        <v>41862</v>
      </c>
      <c r="AZ42" s="23">
        <v>42993</v>
      </c>
      <c r="BA42" s="173">
        <f t="shared" ref="BA42:BA43" si="15">IF(ISBLANK(AY42),"",DATEDIF(AY42,AZ42,"d")/365)</f>
        <v>3.0986301369863014</v>
      </c>
      <c r="BB42" s="88"/>
      <c r="BC42" s="245" t="s">
        <v>2922</v>
      </c>
      <c r="BD42" s="72" t="s">
        <v>2924</v>
      </c>
      <c r="BE42" s="55" t="s">
        <v>2923</v>
      </c>
    </row>
    <row r="43" spans="5:57">
      <c r="E43" s="245" t="s">
        <v>2440</v>
      </c>
      <c r="F43" s="87">
        <f t="shared" si="3"/>
        <v>770126</v>
      </c>
      <c r="G43" s="72" t="s">
        <v>2474</v>
      </c>
      <c r="H43" s="139">
        <f t="shared" ca="1" si="12"/>
        <v>5.9534246575342467</v>
      </c>
      <c r="I43" s="70" t="s">
        <v>2442</v>
      </c>
      <c r="J43" s="243">
        <v>40820</v>
      </c>
      <c r="K43" s="243">
        <v>42993</v>
      </c>
      <c r="L43" s="139">
        <f t="shared" ca="1" si="13"/>
        <v>5.9534246575342467</v>
      </c>
      <c r="M43" s="88" t="s">
        <v>2284</v>
      </c>
      <c r="N43" s="159" t="s">
        <v>71</v>
      </c>
      <c r="O43" s="156" t="s">
        <v>2575</v>
      </c>
      <c r="P43" s="268" t="s">
        <v>117</v>
      </c>
      <c r="Q43" s="240" t="s">
        <v>2577</v>
      </c>
      <c r="R43" s="243">
        <v>42109</v>
      </c>
      <c r="S43" s="240" t="s">
        <v>72</v>
      </c>
      <c r="T43" s="31">
        <v>800</v>
      </c>
      <c r="U43" s="136">
        <v>2E-3</v>
      </c>
      <c r="V43" s="70" t="s">
        <v>1193</v>
      </c>
      <c r="W43" s="71"/>
      <c r="X43" s="23"/>
      <c r="Y43" s="31"/>
      <c r="Z43" s="31"/>
      <c r="AA43" s="70"/>
      <c r="AB43" s="52" t="str">
        <f t="shared" si="14"/>
        <v/>
      </c>
      <c r="AC43" s="73" t="s">
        <v>117</v>
      </c>
      <c r="AD43" s="174"/>
      <c r="AE43" s="245" t="s">
        <v>117</v>
      </c>
      <c r="AF43" s="31">
        <v>800</v>
      </c>
      <c r="AG43" s="31">
        <v>800</v>
      </c>
      <c r="AH43" s="239" t="s">
        <v>2540</v>
      </c>
      <c r="AI43" s="243">
        <v>42109</v>
      </c>
      <c r="AJ43" s="243">
        <v>42993</v>
      </c>
      <c r="AK43" s="167" t="s">
        <v>1618</v>
      </c>
      <c r="AL43" s="245" t="s">
        <v>117</v>
      </c>
      <c r="AM43" s="245" t="s">
        <v>131</v>
      </c>
      <c r="AN43" s="245" t="s">
        <v>131</v>
      </c>
      <c r="AO43" s="245" t="s">
        <v>131</v>
      </c>
      <c r="AP43" s="245"/>
      <c r="AQ43" s="168" t="s">
        <v>3001</v>
      </c>
      <c r="AR43" s="171" t="s">
        <v>2024</v>
      </c>
      <c r="AS43" s="75" t="s">
        <v>180</v>
      </c>
      <c r="AT43" s="75" t="s">
        <v>131</v>
      </c>
      <c r="AU43" s="240" t="s">
        <v>138</v>
      </c>
      <c r="AV43" s="75" t="s">
        <v>1231</v>
      </c>
      <c r="AW43" s="123">
        <f>IFERROR(VLOOKUP(AV43,'공직유관단체 코드'!$C$5:$D$1037,2,),"")</f>
        <v>569</v>
      </c>
      <c r="AX43" s="133">
        <v>0.02</v>
      </c>
      <c r="AY43" s="23">
        <v>41862</v>
      </c>
      <c r="AZ43" s="23">
        <v>42993</v>
      </c>
      <c r="BA43" s="173">
        <f t="shared" si="15"/>
        <v>3.0986301369863014</v>
      </c>
      <c r="BB43" s="88"/>
      <c r="BC43" s="245" t="s">
        <v>2922</v>
      </c>
      <c r="BD43" s="72" t="s">
        <v>2924</v>
      </c>
      <c r="BE43" s="55" t="s">
        <v>2923</v>
      </c>
    </row>
    <row r="44" spans="5:57">
      <c r="E44" s="245" t="s">
        <v>2440</v>
      </c>
      <c r="F44" s="87">
        <f t="shared" si="3"/>
        <v>770126</v>
      </c>
      <c r="G44" s="72" t="s">
        <v>2474</v>
      </c>
      <c r="H44" s="139">
        <f t="shared" ca="1" si="8"/>
        <v>5.9534246575342467</v>
      </c>
      <c r="I44" s="70" t="s">
        <v>2442</v>
      </c>
      <c r="J44" s="243">
        <v>40820</v>
      </c>
      <c r="K44" s="243">
        <v>42993</v>
      </c>
      <c r="L44" s="139">
        <f t="shared" ca="1" si="9"/>
        <v>5.9534246575342467</v>
      </c>
      <c r="M44" s="88" t="s">
        <v>2284</v>
      </c>
      <c r="N44" s="159" t="s">
        <v>71</v>
      </c>
      <c r="O44" s="156" t="s">
        <v>2575</v>
      </c>
      <c r="P44" s="268" t="s">
        <v>131</v>
      </c>
      <c r="Q44" s="240" t="s">
        <v>2576</v>
      </c>
      <c r="R44" s="243">
        <v>42109</v>
      </c>
      <c r="S44" s="240" t="s">
        <v>72</v>
      </c>
      <c r="T44" s="31">
        <v>2500</v>
      </c>
      <c r="U44" s="136">
        <v>4.0000000000000001E-3</v>
      </c>
      <c r="V44" s="70" t="s">
        <v>1193</v>
      </c>
      <c r="W44" s="71"/>
      <c r="X44" s="23"/>
      <c r="Y44" s="31"/>
      <c r="Z44" s="31"/>
      <c r="AA44" s="70"/>
      <c r="AB44" s="52" t="str">
        <f t="shared" si="10"/>
        <v/>
      </c>
      <c r="AC44" s="73" t="s">
        <v>117</v>
      </c>
      <c r="AD44" s="174"/>
      <c r="AE44" s="245" t="s">
        <v>117</v>
      </c>
      <c r="AF44" s="31">
        <v>2500</v>
      </c>
      <c r="AG44" s="31">
        <v>2500</v>
      </c>
      <c r="AH44" s="239" t="s">
        <v>2540</v>
      </c>
      <c r="AI44" s="243">
        <v>42109</v>
      </c>
      <c r="AJ44" s="243">
        <v>42993</v>
      </c>
      <c r="AK44" s="167" t="s">
        <v>1618</v>
      </c>
      <c r="AL44" s="245" t="s">
        <v>117</v>
      </c>
      <c r="AM44" s="245" t="s">
        <v>131</v>
      </c>
      <c r="AN44" s="245" t="s">
        <v>131</v>
      </c>
      <c r="AO44" s="245" t="s">
        <v>131</v>
      </c>
      <c r="AP44" s="245"/>
      <c r="AQ44" s="168" t="s">
        <v>3002</v>
      </c>
      <c r="AR44" s="171" t="s">
        <v>2336</v>
      </c>
      <c r="AS44" s="75" t="s">
        <v>180</v>
      </c>
      <c r="AT44" s="75" t="s">
        <v>131</v>
      </c>
      <c r="AU44" s="240" t="s">
        <v>127</v>
      </c>
      <c r="AV44" s="75" t="s">
        <v>1231</v>
      </c>
      <c r="AW44" s="123">
        <f>IFERROR(VLOOKUP(AV44,'공직유관단체 코드'!$C$5:$D$1037,2,),"")</f>
        <v>569</v>
      </c>
      <c r="AX44" s="133">
        <v>4.0000000000000001E-3</v>
      </c>
      <c r="AY44" s="23">
        <v>42521</v>
      </c>
      <c r="AZ44" s="23">
        <v>42993</v>
      </c>
      <c r="BA44" s="173">
        <f t="shared" si="11"/>
        <v>1.2931506849315069</v>
      </c>
      <c r="BB44" s="88"/>
      <c r="BC44" s="245" t="s">
        <v>2922</v>
      </c>
      <c r="BD44" s="72" t="s">
        <v>2924</v>
      </c>
      <c r="BE44" s="55" t="s">
        <v>2923</v>
      </c>
    </row>
    <row r="45" spans="5:57" ht="27">
      <c r="E45" s="245" t="s">
        <v>2440</v>
      </c>
      <c r="F45" s="87">
        <f t="shared" si="3"/>
        <v>770126</v>
      </c>
      <c r="G45" s="72" t="s">
        <v>2474</v>
      </c>
      <c r="H45" s="139">
        <f t="shared" ca="1" si="8"/>
        <v>5.9534246575342467</v>
      </c>
      <c r="I45" s="70" t="s">
        <v>2442</v>
      </c>
      <c r="J45" s="243">
        <v>40820</v>
      </c>
      <c r="K45" s="243">
        <v>42993</v>
      </c>
      <c r="L45" s="139">
        <f t="shared" ca="1" si="9"/>
        <v>5.9534246575342467</v>
      </c>
      <c r="M45" s="88" t="s">
        <v>2224</v>
      </c>
      <c r="N45" s="159" t="s">
        <v>71</v>
      </c>
      <c r="O45" s="156" t="s">
        <v>2579</v>
      </c>
      <c r="P45" s="268" t="s">
        <v>117</v>
      </c>
      <c r="Q45" s="240" t="s">
        <v>2578</v>
      </c>
      <c r="R45" s="243">
        <v>42167</v>
      </c>
      <c r="S45" s="240" t="s">
        <v>116</v>
      </c>
      <c r="T45" s="31">
        <v>3000</v>
      </c>
      <c r="U45" s="136">
        <v>8.6999999999999994E-2</v>
      </c>
      <c r="V45" s="70" t="s">
        <v>1193</v>
      </c>
      <c r="W45" s="71"/>
      <c r="X45" s="23"/>
      <c r="Y45" s="31"/>
      <c r="Z45" s="31"/>
      <c r="AA45" s="70"/>
      <c r="AB45" s="52" t="str">
        <f t="shared" si="10"/>
        <v/>
      </c>
      <c r="AC45" s="73" t="s">
        <v>117</v>
      </c>
      <c r="AD45" s="174"/>
      <c r="AE45" s="245" t="s">
        <v>117</v>
      </c>
      <c r="AF45" s="31">
        <v>3000</v>
      </c>
      <c r="AG45" s="31">
        <v>3000</v>
      </c>
      <c r="AH45" s="239" t="s">
        <v>2540</v>
      </c>
      <c r="AI45" s="243">
        <v>42167</v>
      </c>
      <c r="AJ45" s="243">
        <v>42993</v>
      </c>
      <c r="AK45" s="167" t="s">
        <v>1618</v>
      </c>
      <c r="AL45" s="245" t="s">
        <v>117</v>
      </c>
      <c r="AM45" s="245" t="s">
        <v>131</v>
      </c>
      <c r="AN45" s="245" t="s">
        <v>131</v>
      </c>
      <c r="AO45" s="245" t="s">
        <v>131</v>
      </c>
      <c r="AP45" s="245"/>
      <c r="AQ45" s="168" t="s">
        <v>3001</v>
      </c>
      <c r="AR45" s="171" t="s">
        <v>2021</v>
      </c>
      <c r="AS45" s="75" t="s">
        <v>180</v>
      </c>
      <c r="AT45" s="75" t="s">
        <v>117</v>
      </c>
      <c r="AU45" s="240" t="s">
        <v>138</v>
      </c>
      <c r="AV45" s="75" t="s">
        <v>1110</v>
      </c>
      <c r="AW45" s="123">
        <f>IFERROR(VLOOKUP(AV45,'공직유관단체 코드'!$C$5:$D$1037,2,),"")</f>
        <v>957</v>
      </c>
      <c r="AX45" s="133">
        <v>0.50900000000000001</v>
      </c>
      <c r="AY45" s="23">
        <v>41528</v>
      </c>
      <c r="AZ45" s="23">
        <v>42993</v>
      </c>
      <c r="BA45" s="173">
        <f t="shared" si="11"/>
        <v>4.0136986301369859</v>
      </c>
      <c r="BB45" s="88"/>
      <c r="BC45" s="245" t="s">
        <v>2922</v>
      </c>
      <c r="BD45" s="72" t="s">
        <v>2924</v>
      </c>
      <c r="BE45" s="55" t="s">
        <v>2923</v>
      </c>
    </row>
    <row r="46" spans="5:57" ht="27">
      <c r="E46" s="245" t="s">
        <v>2440</v>
      </c>
      <c r="F46" s="87">
        <f t="shared" si="3"/>
        <v>770126</v>
      </c>
      <c r="G46" s="72" t="s">
        <v>2474</v>
      </c>
      <c r="H46" s="139">
        <f t="shared" ca="1" si="8"/>
        <v>5.9534246575342467</v>
      </c>
      <c r="I46" s="70" t="s">
        <v>2442</v>
      </c>
      <c r="J46" s="243">
        <v>40820</v>
      </c>
      <c r="K46" s="243">
        <v>42993</v>
      </c>
      <c r="L46" s="139">
        <f t="shared" ca="1" si="9"/>
        <v>5.9534246575342467</v>
      </c>
      <c r="M46" s="88" t="s">
        <v>2288</v>
      </c>
      <c r="N46" s="159" t="s">
        <v>71</v>
      </c>
      <c r="O46" s="156" t="s">
        <v>2580</v>
      </c>
      <c r="P46" s="268" t="s">
        <v>131</v>
      </c>
      <c r="Q46" s="240" t="s">
        <v>2581</v>
      </c>
      <c r="R46" s="243">
        <v>42362</v>
      </c>
      <c r="S46" s="240" t="s">
        <v>133</v>
      </c>
      <c r="T46" s="31">
        <v>2055</v>
      </c>
      <c r="U46" s="136">
        <v>1.6E-2</v>
      </c>
      <c r="V46" s="70" t="s">
        <v>1192</v>
      </c>
      <c r="W46" s="71"/>
      <c r="X46" s="23">
        <v>42494</v>
      </c>
      <c r="Y46" s="31">
        <v>2650</v>
      </c>
      <c r="Z46" s="31">
        <v>685</v>
      </c>
      <c r="AA46" s="70" t="s">
        <v>134</v>
      </c>
      <c r="AB46" s="52">
        <f t="shared" si="10"/>
        <v>0.36164383561643837</v>
      </c>
      <c r="AC46" s="73" t="s">
        <v>117</v>
      </c>
      <c r="AD46" s="174"/>
      <c r="AE46" s="245" t="s">
        <v>131</v>
      </c>
      <c r="AF46" s="31">
        <v>1370</v>
      </c>
      <c r="AG46" s="31">
        <v>11880</v>
      </c>
      <c r="AH46" s="239" t="s">
        <v>2397</v>
      </c>
      <c r="AI46" s="243">
        <v>42362</v>
      </c>
      <c r="AJ46" s="243">
        <v>42993</v>
      </c>
      <c r="AK46" s="167" t="s">
        <v>1618</v>
      </c>
      <c r="AL46" s="245" t="s">
        <v>117</v>
      </c>
      <c r="AM46" s="245" t="s">
        <v>131</v>
      </c>
      <c r="AN46" s="245" t="s">
        <v>131</v>
      </c>
      <c r="AO46" s="245" t="s">
        <v>131</v>
      </c>
      <c r="AP46" s="245" t="s">
        <v>131</v>
      </c>
      <c r="AQ46" s="168" t="s">
        <v>2997</v>
      </c>
      <c r="AR46" s="171" t="s">
        <v>2024</v>
      </c>
      <c r="AS46" s="75" t="s">
        <v>180</v>
      </c>
      <c r="AT46" s="75" t="s">
        <v>131</v>
      </c>
      <c r="AU46" s="240" t="s">
        <v>138</v>
      </c>
      <c r="AV46" s="75" t="s">
        <v>1231</v>
      </c>
      <c r="AW46" s="123">
        <f>IFERROR(VLOOKUP(AV46,'공직유관단체 코드'!$C$5:$D$1037,2,),"")</f>
        <v>569</v>
      </c>
      <c r="AX46" s="133">
        <v>0.02</v>
      </c>
      <c r="AY46" s="23">
        <v>41862</v>
      </c>
      <c r="AZ46" s="23">
        <v>42993</v>
      </c>
      <c r="BA46" s="173">
        <f t="shared" si="11"/>
        <v>3.0986301369863014</v>
      </c>
      <c r="BB46" s="239" t="s">
        <v>2602</v>
      </c>
      <c r="BC46" s="245" t="s">
        <v>2922</v>
      </c>
      <c r="BD46" s="72" t="s">
        <v>2924</v>
      </c>
      <c r="BE46" s="55" t="s">
        <v>2923</v>
      </c>
    </row>
    <row r="47" spans="5:57" ht="27">
      <c r="E47" s="245" t="s">
        <v>2440</v>
      </c>
      <c r="F47" s="87">
        <f t="shared" si="3"/>
        <v>770126</v>
      </c>
      <c r="G47" s="72" t="s">
        <v>2474</v>
      </c>
      <c r="H47" s="139">
        <f t="shared" ca="1" si="8"/>
        <v>5.9534246575342467</v>
      </c>
      <c r="I47" s="70" t="s">
        <v>2442</v>
      </c>
      <c r="J47" s="243">
        <v>40820</v>
      </c>
      <c r="K47" s="243">
        <v>42993</v>
      </c>
      <c r="L47" s="139">
        <f t="shared" ca="1" si="9"/>
        <v>5.9534246575342467</v>
      </c>
      <c r="M47" s="88" t="s">
        <v>2229</v>
      </c>
      <c r="N47" s="159" t="s">
        <v>71</v>
      </c>
      <c r="O47" s="156" t="s">
        <v>2582</v>
      </c>
      <c r="P47" s="268" t="s">
        <v>117</v>
      </c>
      <c r="Q47" s="240" t="s">
        <v>2583</v>
      </c>
      <c r="R47" s="243">
        <v>42374</v>
      </c>
      <c r="S47" s="240" t="s">
        <v>133</v>
      </c>
      <c r="T47" s="31">
        <v>1001</v>
      </c>
      <c r="U47" s="136">
        <v>3.7999999999999999E-2</v>
      </c>
      <c r="V47" s="70" t="s">
        <v>132</v>
      </c>
      <c r="W47" s="71">
        <v>-1</v>
      </c>
      <c r="X47" s="23">
        <v>42769</v>
      </c>
      <c r="Y47" s="31"/>
      <c r="Z47" s="31"/>
      <c r="AA47" s="70"/>
      <c r="AB47" s="52">
        <f t="shared" si="10"/>
        <v>1.0821917808219179</v>
      </c>
      <c r="AC47" s="73" t="s">
        <v>131</v>
      </c>
      <c r="AD47" s="174">
        <v>1001</v>
      </c>
      <c r="AE47" s="245" t="s">
        <v>117</v>
      </c>
      <c r="AF47" s="31">
        <v>0</v>
      </c>
      <c r="AG47" s="31">
        <v>0</v>
      </c>
      <c r="AH47" s="239" t="s">
        <v>2540</v>
      </c>
      <c r="AI47" s="243">
        <v>42374</v>
      </c>
      <c r="AJ47" s="243">
        <v>42993</v>
      </c>
      <c r="AK47" s="167" t="s">
        <v>1618</v>
      </c>
      <c r="AL47" s="245" t="s">
        <v>117</v>
      </c>
      <c r="AM47" s="245" t="s">
        <v>131</v>
      </c>
      <c r="AN47" s="245" t="s">
        <v>131</v>
      </c>
      <c r="AO47" s="245" t="s">
        <v>131</v>
      </c>
      <c r="AP47" s="245"/>
      <c r="AQ47" s="168" t="s">
        <v>3001</v>
      </c>
      <c r="AR47" s="171" t="s">
        <v>2685</v>
      </c>
      <c r="AS47" s="75" t="s">
        <v>180</v>
      </c>
      <c r="AT47" s="75" t="s">
        <v>117</v>
      </c>
      <c r="AU47" s="240" t="s">
        <v>128</v>
      </c>
      <c r="AV47" s="75" t="s">
        <v>2601</v>
      </c>
      <c r="AW47" s="123">
        <f>IFERROR(VLOOKUP(AV47,'공직유관단체 코드'!$C$5:$D$1037,2,),"")</f>
        <v>660</v>
      </c>
      <c r="AX47" s="133">
        <v>0.373</v>
      </c>
      <c r="AY47" s="23">
        <v>41696</v>
      </c>
      <c r="AZ47" s="23">
        <v>42993</v>
      </c>
      <c r="BA47" s="173">
        <f t="shared" si="11"/>
        <v>3.5534246575342467</v>
      </c>
      <c r="BB47" s="88" t="s">
        <v>2603</v>
      </c>
      <c r="BC47" s="245" t="s">
        <v>2922</v>
      </c>
      <c r="BD47" s="72" t="s">
        <v>2924</v>
      </c>
      <c r="BE47" s="55" t="s">
        <v>2923</v>
      </c>
    </row>
    <row r="48" spans="5:57" ht="27">
      <c r="E48" s="245" t="s">
        <v>2440</v>
      </c>
      <c r="F48" s="87">
        <f t="shared" si="3"/>
        <v>770126</v>
      </c>
      <c r="G48" s="72" t="s">
        <v>2474</v>
      </c>
      <c r="H48" s="139">
        <f t="shared" ca="1" si="8"/>
        <v>5.9534246575342467</v>
      </c>
      <c r="I48" s="70" t="s">
        <v>2442</v>
      </c>
      <c r="J48" s="243">
        <v>40820</v>
      </c>
      <c r="K48" s="243">
        <v>42993</v>
      </c>
      <c r="L48" s="139">
        <f t="shared" ca="1" si="9"/>
        <v>5.9534246575342467</v>
      </c>
      <c r="M48" s="88" t="s">
        <v>2229</v>
      </c>
      <c r="N48" s="159" t="s">
        <v>71</v>
      </c>
      <c r="O48" s="156" t="s">
        <v>2582</v>
      </c>
      <c r="P48" s="268" t="s">
        <v>117</v>
      </c>
      <c r="Q48" s="240" t="s">
        <v>2583</v>
      </c>
      <c r="R48" s="243">
        <v>42374</v>
      </c>
      <c r="S48" s="240" t="s">
        <v>133</v>
      </c>
      <c r="T48" s="31">
        <v>1001</v>
      </c>
      <c r="U48" s="136">
        <v>3.7999999999999999E-2</v>
      </c>
      <c r="V48" s="70" t="s">
        <v>132</v>
      </c>
      <c r="W48" s="71">
        <v>-1</v>
      </c>
      <c r="X48" s="23">
        <v>42769</v>
      </c>
      <c r="Y48" s="31"/>
      <c r="Z48" s="31"/>
      <c r="AA48" s="70"/>
      <c r="AB48" s="52">
        <f t="shared" si="10"/>
        <v>1.0821917808219179</v>
      </c>
      <c r="AC48" s="73" t="s">
        <v>131</v>
      </c>
      <c r="AD48" s="174">
        <v>1001</v>
      </c>
      <c r="AE48" s="245" t="s">
        <v>117</v>
      </c>
      <c r="AF48" s="31">
        <v>0</v>
      </c>
      <c r="AG48" s="31">
        <v>0</v>
      </c>
      <c r="AH48" s="239" t="s">
        <v>2540</v>
      </c>
      <c r="AI48" s="243">
        <v>42374</v>
      </c>
      <c r="AJ48" s="243">
        <v>42993</v>
      </c>
      <c r="AK48" s="167" t="s">
        <v>1618</v>
      </c>
      <c r="AL48" s="245" t="s">
        <v>117</v>
      </c>
      <c r="AM48" s="245" t="s">
        <v>131</v>
      </c>
      <c r="AN48" s="245" t="s">
        <v>131</v>
      </c>
      <c r="AO48" s="245" t="s">
        <v>131</v>
      </c>
      <c r="AP48" s="245"/>
      <c r="AQ48" s="168" t="s">
        <v>3003</v>
      </c>
      <c r="AR48" s="171" t="s">
        <v>2021</v>
      </c>
      <c r="AS48" s="75" t="s">
        <v>180</v>
      </c>
      <c r="AT48" s="75" t="s">
        <v>117</v>
      </c>
      <c r="AU48" s="240" t="s">
        <v>138</v>
      </c>
      <c r="AV48" s="75" t="s">
        <v>1110</v>
      </c>
      <c r="AW48" s="123">
        <f>IFERROR(VLOOKUP(AV48,'공직유관단체 코드'!$C$5:$D$1037,2,),"")</f>
        <v>957</v>
      </c>
      <c r="AX48" s="133">
        <v>0.50900000000000001</v>
      </c>
      <c r="AY48" s="23">
        <v>41528</v>
      </c>
      <c r="AZ48" s="23">
        <v>42993</v>
      </c>
      <c r="BA48" s="173">
        <f t="shared" si="11"/>
        <v>4.0136986301369859</v>
      </c>
      <c r="BB48" s="88" t="s">
        <v>2603</v>
      </c>
      <c r="BC48" s="245" t="s">
        <v>2922</v>
      </c>
      <c r="BD48" s="72" t="s">
        <v>2924</v>
      </c>
      <c r="BE48" s="55" t="s">
        <v>2923</v>
      </c>
    </row>
    <row r="49" spans="5:57">
      <c r="E49" s="245" t="s">
        <v>2440</v>
      </c>
      <c r="F49" s="87">
        <f t="shared" si="3"/>
        <v>770126</v>
      </c>
      <c r="G49" s="72" t="s">
        <v>2474</v>
      </c>
      <c r="H49" s="139">
        <f t="shared" ca="1" si="8"/>
        <v>5.9534246575342467</v>
      </c>
      <c r="I49" s="70" t="s">
        <v>2442</v>
      </c>
      <c r="J49" s="243">
        <v>40820</v>
      </c>
      <c r="K49" s="243">
        <v>42993</v>
      </c>
      <c r="L49" s="139">
        <f t="shared" ca="1" si="9"/>
        <v>5.9534246575342467</v>
      </c>
      <c r="M49" s="88" t="s">
        <v>2291</v>
      </c>
      <c r="N49" s="159" t="s">
        <v>71</v>
      </c>
      <c r="O49" s="156" t="s">
        <v>2584</v>
      </c>
      <c r="P49" s="268" t="s">
        <v>131</v>
      </c>
      <c r="Q49" s="240" t="s">
        <v>2585</v>
      </c>
      <c r="R49" s="243">
        <v>42397</v>
      </c>
      <c r="S49" s="240" t="s">
        <v>72</v>
      </c>
      <c r="T49" s="31">
        <v>4990</v>
      </c>
      <c r="U49" s="136">
        <v>1.9E-2</v>
      </c>
      <c r="V49" s="70" t="s">
        <v>132</v>
      </c>
      <c r="W49" s="71">
        <v>0.65800000000000003</v>
      </c>
      <c r="X49" s="23">
        <v>42590</v>
      </c>
      <c r="Y49" s="31">
        <v>6480</v>
      </c>
      <c r="Z49" s="31">
        <v>4990</v>
      </c>
      <c r="AA49" s="70" t="s">
        <v>134</v>
      </c>
      <c r="AB49" s="52">
        <f t="shared" si="10"/>
        <v>0.52876712328767128</v>
      </c>
      <c r="AC49" s="73"/>
      <c r="AD49" s="174"/>
      <c r="AE49" s="245"/>
      <c r="AF49" s="31"/>
      <c r="AG49" s="31"/>
      <c r="AH49" s="239"/>
      <c r="AI49" s="243">
        <v>42397</v>
      </c>
      <c r="AJ49" s="243">
        <v>42590</v>
      </c>
      <c r="AK49" s="167" t="s">
        <v>1618</v>
      </c>
      <c r="AL49" s="245" t="s">
        <v>117</v>
      </c>
      <c r="AM49" s="245" t="s">
        <v>131</v>
      </c>
      <c r="AN49" s="245" t="s">
        <v>131</v>
      </c>
      <c r="AO49" s="245" t="s">
        <v>131</v>
      </c>
      <c r="AP49" s="245" t="s">
        <v>131</v>
      </c>
      <c r="AQ49" s="168" t="s">
        <v>2997</v>
      </c>
      <c r="AR49" s="171" t="s">
        <v>2024</v>
      </c>
      <c r="AS49" s="75" t="s">
        <v>180</v>
      </c>
      <c r="AT49" s="75" t="s">
        <v>131</v>
      </c>
      <c r="AU49" s="240" t="s">
        <v>138</v>
      </c>
      <c r="AV49" s="75" t="s">
        <v>1231</v>
      </c>
      <c r="AW49" s="123">
        <f>IFERROR(VLOOKUP(AV49,'공직유관단체 코드'!$C$5:$D$1037,2,),"")</f>
        <v>569</v>
      </c>
      <c r="AX49" s="133">
        <v>0.02</v>
      </c>
      <c r="AY49" s="23">
        <v>41862</v>
      </c>
      <c r="AZ49" s="23">
        <v>42993</v>
      </c>
      <c r="BA49" s="173">
        <f t="shared" si="11"/>
        <v>3.0986301369863014</v>
      </c>
      <c r="BB49" s="88"/>
      <c r="BC49" s="245" t="s">
        <v>2922</v>
      </c>
      <c r="BD49" s="72" t="s">
        <v>2924</v>
      </c>
      <c r="BE49" s="55" t="s">
        <v>2923</v>
      </c>
    </row>
    <row r="50" spans="5:57">
      <c r="E50" s="245" t="s">
        <v>2440</v>
      </c>
      <c r="F50" s="87">
        <f t="shared" si="3"/>
        <v>770126</v>
      </c>
      <c r="G50" s="72" t="s">
        <v>2474</v>
      </c>
      <c r="H50" s="139">
        <f t="shared" ca="1" si="8"/>
        <v>5.9534246575342467</v>
      </c>
      <c r="I50" s="70" t="s">
        <v>2442</v>
      </c>
      <c r="J50" s="243">
        <v>40820</v>
      </c>
      <c r="K50" s="243">
        <v>42993</v>
      </c>
      <c r="L50" s="139">
        <f t="shared" ca="1" si="9"/>
        <v>5.9534246575342467</v>
      </c>
      <c r="M50" s="88" t="s">
        <v>2291</v>
      </c>
      <c r="N50" s="159" t="s">
        <v>71</v>
      </c>
      <c r="O50" s="156" t="s">
        <v>2584</v>
      </c>
      <c r="P50" s="268" t="s">
        <v>131</v>
      </c>
      <c r="Q50" s="240" t="s">
        <v>2585</v>
      </c>
      <c r="R50" s="243">
        <v>42639</v>
      </c>
      <c r="S50" s="240" t="s">
        <v>72</v>
      </c>
      <c r="T50" s="31">
        <v>2564</v>
      </c>
      <c r="U50" s="136">
        <v>4.1000000000000003E-3</v>
      </c>
      <c r="V50" s="70" t="s">
        <v>1192</v>
      </c>
      <c r="W50" s="71"/>
      <c r="X50" s="23">
        <v>42976</v>
      </c>
      <c r="Y50" s="31">
        <v>470</v>
      </c>
      <c r="Z50" s="31">
        <v>0</v>
      </c>
      <c r="AA50" s="70" t="s">
        <v>137</v>
      </c>
      <c r="AB50" s="52">
        <f t="shared" si="10"/>
        <v>0.92328767123287669</v>
      </c>
      <c r="AC50" s="73" t="s">
        <v>117</v>
      </c>
      <c r="AD50" s="174"/>
      <c r="AE50" s="245" t="s">
        <v>117</v>
      </c>
      <c r="AF50" s="31">
        <v>2564</v>
      </c>
      <c r="AG50" s="31">
        <v>2564</v>
      </c>
      <c r="AH50" s="239" t="s">
        <v>2540</v>
      </c>
      <c r="AI50" s="243">
        <v>42397</v>
      </c>
      <c r="AJ50" s="243">
        <v>42993</v>
      </c>
      <c r="AK50" s="167" t="s">
        <v>1618</v>
      </c>
      <c r="AL50" s="245" t="s">
        <v>117</v>
      </c>
      <c r="AM50" s="245" t="s">
        <v>131</v>
      </c>
      <c r="AN50" s="245" t="s">
        <v>131</v>
      </c>
      <c r="AO50" s="245" t="s">
        <v>131</v>
      </c>
      <c r="AP50" s="245" t="s">
        <v>131</v>
      </c>
      <c r="AQ50" s="168" t="s">
        <v>2997</v>
      </c>
      <c r="AR50" s="171" t="s">
        <v>2336</v>
      </c>
      <c r="AS50" s="75" t="s">
        <v>180</v>
      </c>
      <c r="AT50" s="75" t="s">
        <v>131</v>
      </c>
      <c r="AU50" s="240" t="s">
        <v>127</v>
      </c>
      <c r="AV50" s="75" t="s">
        <v>1231</v>
      </c>
      <c r="AW50" s="123">
        <f>IFERROR(VLOOKUP(AV50,'공직유관단체 코드'!$C$5:$D$1037,2,),"")</f>
        <v>569</v>
      </c>
      <c r="AX50" s="133">
        <v>4.0000000000000001E-3</v>
      </c>
      <c r="AY50" s="23">
        <v>42521</v>
      </c>
      <c r="AZ50" s="23">
        <v>42993</v>
      </c>
      <c r="BA50" s="173">
        <f t="shared" si="11"/>
        <v>1.2931506849315069</v>
      </c>
      <c r="BB50" s="88"/>
      <c r="BC50" s="245" t="s">
        <v>2922</v>
      </c>
      <c r="BD50" s="72" t="s">
        <v>2924</v>
      </c>
      <c r="BE50" s="55" t="s">
        <v>2923</v>
      </c>
    </row>
    <row r="51" spans="5:57" ht="27">
      <c r="E51" s="245" t="s">
        <v>2440</v>
      </c>
      <c r="F51" s="87">
        <f t="shared" si="3"/>
        <v>770126</v>
      </c>
      <c r="G51" s="72" t="s">
        <v>2474</v>
      </c>
      <c r="H51" s="139">
        <f t="shared" ca="1" si="8"/>
        <v>5.9534246575342467</v>
      </c>
      <c r="I51" s="70" t="s">
        <v>2442</v>
      </c>
      <c r="J51" s="243">
        <v>40820</v>
      </c>
      <c r="K51" s="243">
        <v>42993</v>
      </c>
      <c r="L51" s="139">
        <f t="shared" ca="1" si="9"/>
        <v>5.9534246575342467</v>
      </c>
      <c r="M51" s="88" t="s">
        <v>2296</v>
      </c>
      <c r="N51" s="159" t="s">
        <v>71</v>
      </c>
      <c r="O51" s="156" t="s">
        <v>2586</v>
      </c>
      <c r="P51" s="268" t="s">
        <v>131</v>
      </c>
      <c r="Q51" s="240" t="s">
        <v>2587</v>
      </c>
      <c r="R51" s="243">
        <v>42545</v>
      </c>
      <c r="S51" s="240" t="s">
        <v>72</v>
      </c>
      <c r="T51" s="31">
        <v>2160</v>
      </c>
      <c r="U51" s="136">
        <v>2.12E-2</v>
      </c>
      <c r="V51" s="70" t="s">
        <v>1192</v>
      </c>
      <c r="W51" s="71"/>
      <c r="X51" s="23">
        <v>42842</v>
      </c>
      <c r="Y51" s="31">
        <v>12</v>
      </c>
      <c r="Z51" s="31">
        <v>0</v>
      </c>
      <c r="AA51" s="70" t="s">
        <v>137</v>
      </c>
      <c r="AB51" s="52">
        <f t="shared" si="10"/>
        <v>0.81369863013698629</v>
      </c>
      <c r="AC51" s="73" t="s">
        <v>117</v>
      </c>
      <c r="AD51" s="174"/>
      <c r="AE51" s="245" t="s">
        <v>131</v>
      </c>
      <c r="AF51" s="31">
        <v>2160</v>
      </c>
      <c r="AG51" s="31">
        <v>1716</v>
      </c>
      <c r="AH51" s="239" t="s">
        <v>2672</v>
      </c>
      <c r="AI51" s="243">
        <v>42545</v>
      </c>
      <c r="AJ51" s="243">
        <v>42993</v>
      </c>
      <c r="AK51" s="167" t="s">
        <v>1618</v>
      </c>
      <c r="AL51" s="245" t="s">
        <v>117</v>
      </c>
      <c r="AM51" s="245" t="s">
        <v>131</v>
      </c>
      <c r="AN51" s="245" t="s">
        <v>131</v>
      </c>
      <c r="AO51" s="245" t="s">
        <v>131</v>
      </c>
      <c r="AP51" s="245" t="s">
        <v>131</v>
      </c>
      <c r="AQ51" s="168" t="s">
        <v>2997</v>
      </c>
      <c r="AR51" s="171" t="s">
        <v>2336</v>
      </c>
      <c r="AS51" s="75" t="s">
        <v>180</v>
      </c>
      <c r="AT51" s="75" t="s">
        <v>131</v>
      </c>
      <c r="AU51" s="240" t="s">
        <v>127</v>
      </c>
      <c r="AV51" s="75" t="s">
        <v>1231</v>
      </c>
      <c r="AW51" s="123">
        <f>IFERROR(VLOOKUP(AV51,'공직유관단체 코드'!$C$5:$D$1037,2,),"")</f>
        <v>569</v>
      </c>
      <c r="AX51" s="133">
        <v>4.0000000000000001E-3</v>
      </c>
      <c r="AY51" s="23">
        <v>42521</v>
      </c>
      <c r="AZ51" s="23">
        <v>42993</v>
      </c>
      <c r="BA51" s="173">
        <f t="shared" si="11"/>
        <v>1.2931506849315069</v>
      </c>
      <c r="BB51" s="88" t="s">
        <v>2604</v>
      </c>
      <c r="BC51" s="245" t="s">
        <v>2922</v>
      </c>
      <c r="BD51" s="72" t="s">
        <v>2924</v>
      </c>
      <c r="BE51" s="55" t="s">
        <v>2923</v>
      </c>
    </row>
    <row r="52" spans="5:57">
      <c r="E52" s="245" t="s">
        <v>2440</v>
      </c>
      <c r="F52" s="87">
        <f t="shared" si="3"/>
        <v>770126</v>
      </c>
      <c r="G52" s="72" t="s">
        <v>2474</v>
      </c>
      <c r="H52" s="139">
        <f t="shared" ca="1" si="8"/>
        <v>5.9534246575342467</v>
      </c>
      <c r="I52" s="70" t="s">
        <v>2442</v>
      </c>
      <c r="J52" s="243">
        <v>40820</v>
      </c>
      <c r="K52" s="243">
        <v>42993</v>
      </c>
      <c r="L52" s="139">
        <f t="shared" ca="1" si="9"/>
        <v>5.9534246575342467</v>
      </c>
      <c r="M52" s="88" t="s">
        <v>2298</v>
      </c>
      <c r="N52" s="159" t="s">
        <v>71</v>
      </c>
      <c r="O52" s="156" t="s">
        <v>2588</v>
      </c>
      <c r="P52" s="268" t="s">
        <v>131</v>
      </c>
      <c r="Q52" s="240" t="s">
        <v>2589</v>
      </c>
      <c r="R52" s="243">
        <v>42585</v>
      </c>
      <c r="S52" s="240" t="s">
        <v>72</v>
      </c>
      <c r="T52" s="31">
        <v>1500</v>
      </c>
      <c r="U52" s="136">
        <v>2.5999999999999999E-2</v>
      </c>
      <c r="V52" s="70" t="s">
        <v>1193</v>
      </c>
      <c r="W52" s="71"/>
      <c r="X52" s="23"/>
      <c r="Y52" s="31"/>
      <c r="Z52" s="31"/>
      <c r="AA52" s="70"/>
      <c r="AB52" s="52" t="str">
        <f t="shared" si="10"/>
        <v/>
      </c>
      <c r="AC52" s="73" t="s">
        <v>117</v>
      </c>
      <c r="AD52" s="174"/>
      <c r="AE52" s="245" t="s">
        <v>117</v>
      </c>
      <c r="AF52" s="31">
        <v>1500</v>
      </c>
      <c r="AG52" s="31">
        <v>1500</v>
      </c>
      <c r="AH52" s="239" t="s">
        <v>2540</v>
      </c>
      <c r="AI52" s="243">
        <v>42585</v>
      </c>
      <c r="AJ52" s="243">
        <v>42993</v>
      </c>
      <c r="AK52" s="167" t="s">
        <v>1618</v>
      </c>
      <c r="AL52" s="245" t="s">
        <v>117</v>
      </c>
      <c r="AM52" s="245" t="s">
        <v>131</v>
      </c>
      <c r="AN52" s="245" t="s">
        <v>131</v>
      </c>
      <c r="AO52" s="245" t="s">
        <v>131</v>
      </c>
      <c r="AP52" s="245"/>
      <c r="AQ52" s="168" t="s">
        <v>3001</v>
      </c>
      <c r="AR52" s="171" t="s">
        <v>2336</v>
      </c>
      <c r="AS52" s="75" t="s">
        <v>180</v>
      </c>
      <c r="AT52" s="75" t="s">
        <v>131</v>
      </c>
      <c r="AU52" s="240" t="s">
        <v>127</v>
      </c>
      <c r="AV52" s="75" t="s">
        <v>1231</v>
      </c>
      <c r="AW52" s="123">
        <f>IFERROR(VLOOKUP(AV52,'공직유관단체 코드'!$C$5:$D$1037,2,),"")</f>
        <v>569</v>
      </c>
      <c r="AX52" s="133">
        <v>4.0000000000000001E-3</v>
      </c>
      <c r="AY52" s="23">
        <v>42521</v>
      </c>
      <c r="AZ52" s="23">
        <v>42993</v>
      </c>
      <c r="BA52" s="173">
        <f t="shared" si="11"/>
        <v>1.2931506849315069</v>
      </c>
      <c r="BB52" s="88"/>
      <c r="BC52" s="245" t="s">
        <v>2922</v>
      </c>
      <c r="BD52" s="72" t="s">
        <v>2924</v>
      </c>
      <c r="BE52" s="55" t="s">
        <v>2923</v>
      </c>
    </row>
    <row r="53" spans="5:57">
      <c r="E53" s="245" t="s">
        <v>2440</v>
      </c>
      <c r="F53" s="87">
        <f t="shared" si="3"/>
        <v>770126</v>
      </c>
      <c r="G53" s="72" t="s">
        <v>2474</v>
      </c>
      <c r="H53" s="139">
        <f t="shared" ca="1" si="8"/>
        <v>5.9534246575342467</v>
      </c>
      <c r="I53" s="70" t="s">
        <v>2442</v>
      </c>
      <c r="J53" s="243">
        <v>40820</v>
      </c>
      <c r="K53" s="243">
        <v>42993</v>
      </c>
      <c r="L53" s="139">
        <f t="shared" ca="1" si="9"/>
        <v>5.9534246575342467</v>
      </c>
      <c r="M53" s="88" t="s">
        <v>2304</v>
      </c>
      <c r="N53" s="159" t="s">
        <v>71</v>
      </c>
      <c r="O53" s="156" t="s">
        <v>2590</v>
      </c>
      <c r="P53" s="268" t="s">
        <v>131</v>
      </c>
      <c r="Q53" s="240" t="s">
        <v>2591</v>
      </c>
      <c r="R53" s="243">
        <v>42782</v>
      </c>
      <c r="S53" s="240" t="s">
        <v>72</v>
      </c>
      <c r="T53" s="31">
        <v>2013</v>
      </c>
      <c r="U53" s="136">
        <v>5.8000000000000003E-2</v>
      </c>
      <c r="V53" s="70" t="s">
        <v>1193</v>
      </c>
      <c r="W53" s="71"/>
      <c r="X53" s="23"/>
      <c r="Y53" s="31"/>
      <c r="Z53" s="31"/>
      <c r="AA53" s="70"/>
      <c r="AB53" s="52" t="str">
        <f t="shared" si="10"/>
        <v/>
      </c>
      <c r="AC53" s="73" t="s">
        <v>117</v>
      </c>
      <c r="AD53" s="174"/>
      <c r="AE53" s="245" t="s">
        <v>117</v>
      </c>
      <c r="AF53" s="31">
        <v>2012</v>
      </c>
      <c r="AG53" s="31">
        <v>2012</v>
      </c>
      <c r="AH53" s="239" t="s">
        <v>2540</v>
      </c>
      <c r="AI53" s="243">
        <v>42782</v>
      </c>
      <c r="AJ53" s="243">
        <v>42993</v>
      </c>
      <c r="AK53" s="167" t="s">
        <v>1618</v>
      </c>
      <c r="AL53" s="245" t="s">
        <v>117</v>
      </c>
      <c r="AM53" s="245" t="s">
        <v>131</v>
      </c>
      <c r="AN53" s="245" t="s">
        <v>131</v>
      </c>
      <c r="AO53" s="245" t="s">
        <v>131</v>
      </c>
      <c r="AP53" s="245"/>
      <c r="AQ53" s="168" t="s">
        <v>3001</v>
      </c>
      <c r="AR53" s="171" t="s">
        <v>2336</v>
      </c>
      <c r="AS53" s="75" t="s">
        <v>180</v>
      </c>
      <c r="AT53" s="75" t="s">
        <v>131</v>
      </c>
      <c r="AU53" s="240" t="s">
        <v>127</v>
      </c>
      <c r="AV53" s="75" t="s">
        <v>1231</v>
      </c>
      <c r="AW53" s="123">
        <f>IFERROR(VLOOKUP(AV53,'공직유관단체 코드'!$C$5:$D$1037,2,),"")</f>
        <v>569</v>
      </c>
      <c r="AX53" s="133">
        <v>4.0000000000000001E-3</v>
      </c>
      <c r="AY53" s="23">
        <v>42521</v>
      </c>
      <c r="AZ53" s="23">
        <v>42993</v>
      </c>
      <c r="BA53" s="173">
        <f t="shared" si="11"/>
        <v>1.2931506849315069</v>
      </c>
      <c r="BB53" s="88"/>
      <c r="BC53" s="245" t="s">
        <v>2922</v>
      </c>
      <c r="BD53" s="72" t="s">
        <v>2924</v>
      </c>
      <c r="BE53" s="55" t="s">
        <v>2923</v>
      </c>
    </row>
    <row r="54" spans="5:57">
      <c r="E54" s="245" t="s">
        <v>2440</v>
      </c>
      <c r="F54" s="87">
        <f t="shared" si="3"/>
        <v>770126</v>
      </c>
      <c r="G54" s="72" t="s">
        <v>2474</v>
      </c>
      <c r="H54" s="139">
        <f t="shared" ca="1" si="8"/>
        <v>5.9534246575342467</v>
      </c>
      <c r="I54" s="70" t="s">
        <v>2442</v>
      </c>
      <c r="J54" s="243">
        <v>40820</v>
      </c>
      <c r="K54" s="243">
        <v>42993</v>
      </c>
      <c r="L54" s="139">
        <f t="shared" ca="1" si="9"/>
        <v>5.9534246575342467</v>
      </c>
      <c r="M54" s="88" t="s">
        <v>2476</v>
      </c>
      <c r="N54" s="159" t="s">
        <v>71</v>
      </c>
      <c r="O54" s="156" t="s">
        <v>2592</v>
      </c>
      <c r="P54" s="268" t="s">
        <v>131</v>
      </c>
      <c r="Q54" s="240" t="s">
        <v>2593</v>
      </c>
      <c r="R54" s="243">
        <v>42863</v>
      </c>
      <c r="S54" s="240" t="s">
        <v>72</v>
      </c>
      <c r="T54" s="31">
        <v>70</v>
      </c>
      <c r="U54" s="136">
        <v>0</v>
      </c>
      <c r="V54" s="70" t="s">
        <v>132</v>
      </c>
      <c r="W54" s="71">
        <v>2.52</v>
      </c>
      <c r="X54" s="23">
        <v>42916</v>
      </c>
      <c r="Y54" s="31">
        <v>83</v>
      </c>
      <c r="Z54" s="31">
        <v>70</v>
      </c>
      <c r="AA54" s="70" t="s">
        <v>134</v>
      </c>
      <c r="AB54" s="52">
        <f t="shared" si="10"/>
        <v>0.14520547945205478</v>
      </c>
      <c r="AC54" s="73"/>
      <c r="AD54" s="174"/>
      <c r="AE54" s="245"/>
      <c r="AF54" s="31"/>
      <c r="AG54" s="31"/>
      <c r="AH54" s="239"/>
      <c r="AI54" s="243">
        <v>42863</v>
      </c>
      <c r="AJ54" s="243">
        <v>42916</v>
      </c>
      <c r="AK54" s="167" t="s">
        <v>1618</v>
      </c>
      <c r="AL54" s="245" t="s">
        <v>117</v>
      </c>
      <c r="AM54" s="245" t="s">
        <v>131</v>
      </c>
      <c r="AN54" s="245" t="s">
        <v>117</v>
      </c>
      <c r="AO54" s="245" t="s">
        <v>131</v>
      </c>
      <c r="AP54" s="245" t="s">
        <v>131</v>
      </c>
      <c r="AQ54" s="168" t="s">
        <v>3022</v>
      </c>
      <c r="AR54" s="171" t="s">
        <v>2336</v>
      </c>
      <c r="AS54" s="75" t="s">
        <v>180</v>
      </c>
      <c r="AT54" s="75" t="s">
        <v>131</v>
      </c>
      <c r="AU54" s="240" t="s">
        <v>127</v>
      </c>
      <c r="AV54" s="75" t="s">
        <v>1231</v>
      </c>
      <c r="AW54" s="123">
        <f>IFERROR(VLOOKUP(AV54,'공직유관단체 코드'!$C$5:$D$1037,2,),"")</f>
        <v>569</v>
      </c>
      <c r="AX54" s="133">
        <v>4.0000000000000001E-3</v>
      </c>
      <c r="AY54" s="23">
        <v>42521</v>
      </c>
      <c r="AZ54" s="23">
        <v>42993</v>
      </c>
      <c r="BA54" s="173">
        <f t="shared" si="11"/>
        <v>1.2931506849315069</v>
      </c>
      <c r="BB54" s="88"/>
      <c r="BC54" s="245" t="s">
        <v>2922</v>
      </c>
      <c r="BD54" s="72" t="s">
        <v>2924</v>
      </c>
      <c r="BE54" s="55" t="s">
        <v>2923</v>
      </c>
    </row>
    <row r="55" spans="5:57">
      <c r="E55" s="245" t="s">
        <v>2487</v>
      </c>
      <c r="F55" s="87">
        <f t="shared" si="3"/>
        <v>790712</v>
      </c>
      <c r="G55" s="72" t="s">
        <v>2474</v>
      </c>
      <c r="H55" s="139">
        <f t="shared" ca="1" si="8"/>
        <v>5.0356164383561648</v>
      </c>
      <c r="I55" s="70" t="s">
        <v>2491</v>
      </c>
      <c r="J55" s="243">
        <v>41155</v>
      </c>
      <c r="K55" s="243">
        <v>42993</v>
      </c>
      <c r="L55" s="139">
        <f t="shared" ca="1" si="9"/>
        <v>5.0356164383561648</v>
      </c>
      <c r="M55" s="88" t="s">
        <v>2104</v>
      </c>
      <c r="N55" s="159" t="s">
        <v>71</v>
      </c>
      <c r="O55" s="156" t="s">
        <v>2108</v>
      </c>
      <c r="P55" s="268" t="s">
        <v>117</v>
      </c>
      <c r="Q55" s="240" t="s">
        <v>2527</v>
      </c>
      <c r="R55" s="243">
        <v>41271</v>
      </c>
      <c r="S55" s="240" t="s">
        <v>133</v>
      </c>
      <c r="T55" s="31">
        <v>1000</v>
      </c>
      <c r="U55" s="136">
        <v>6.6000000000000003E-2</v>
      </c>
      <c r="V55" s="70" t="s">
        <v>132</v>
      </c>
      <c r="W55" s="71">
        <v>-0.253</v>
      </c>
      <c r="X55" s="23">
        <v>42643</v>
      </c>
      <c r="Y55" s="31">
        <v>333</v>
      </c>
      <c r="Z55" s="31">
        <v>1000</v>
      </c>
      <c r="AA55" s="70" t="s">
        <v>134</v>
      </c>
      <c r="AB55" s="52">
        <f t="shared" si="10"/>
        <v>3.7589041095890412</v>
      </c>
      <c r="AC55" s="73"/>
      <c r="AD55" s="174"/>
      <c r="AE55" s="245"/>
      <c r="AF55" s="31"/>
      <c r="AG55" s="31"/>
      <c r="AH55" s="239"/>
      <c r="AI55" s="243">
        <v>41271</v>
      </c>
      <c r="AJ55" s="243">
        <v>42643</v>
      </c>
      <c r="AK55" s="167" t="s">
        <v>1618</v>
      </c>
      <c r="AL55" s="245" t="s">
        <v>117</v>
      </c>
      <c r="AM55" s="245" t="s">
        <v>117</v>
      </c>
      <c r="AN55" s="245" t="s">
        <v>117</v>
      </c>
      <c r="AO55" s="245" t="s">
        <v>131</v>
      </c>
      <c r="AP55" s="245" t="s">
        <v>131</v>
      </c>
      <c r="AQ55" s="168" t="s">
        <v>2995</v>
      </c>
      <c r="AR55" s="171" t="s">
        <v>2019</v>
      </c>
      <c r="AS55" s="75" t="s">
        <v>3</v>
      </c>
      <c r="AT55" s="75" t="s">
        <v>117</v>
      </c>
      <c r="AU55" s="240" t="s">
        <v>138</v>
      </c>
      <c r="AV55" s="75"/>
      <c r="AW55" s="123" t="str">
        <f>IFERROR(VLOOKUP(AV55,'공직유관단체 코드'!$C$5:$D$1037,2,),"")</f>
        <v/>
      </c>
      <c r="AX55" s="133"/>
      <c r="AY55" s="23">
        <v>41155</v>
      </c>
      <c r="AZ55" s="23">
        <v>42993</v>
      </c>
      <c r="BA55" s="173">
        <f t="shared" si="11"/>
        <v>5.0356164383561648</v>
      </c>
      <c r="BB55" s="88" t="s">
        <v>2182</v>
      </c>
      <c r="BC55" s="245" t="s">
        <v>2922</v>
      </c>
      <c r="BD55" s="72" t="s">
        <v>2924</v>
      </c>
      <c r="BE55" s="55" t="s">
        <v>2923</v>
      </c>
    </row>
    <row r="56" spans="5:57">
      <c r="E56" s="245" t="s">
        <v>2487</v>
      </c>
      <c r="F56" s="87">
        <f t="shared" si="3"/>
        <v>790712</v>
      </c>
      <c r="G56" s="72" t="s">
        <v>2474</v>
      </c>
      <c r="H56" s="139">
        <f t="shared" ca="1" si="8"/>
        <v>5.0356164383561648</v>
      </c>
      <c r="I56" s="70" t="s">
        <v>2491</v>
      </c>
      <c r="J56" s="243">
        <v>41155</v>
      </c>
      <c r="K56" s="243">
        <v>42993</v>
      </c>
      <c r="L56" s="139">
        <f t="shared" ca="1" si="9"/>
        <v>5.0356164383561648</v>
      </c>
      <c r="M56" s="88" t="s">
        <v>2104</v>
      </c>
      <c r="N56" s="159" t="s">
        <v>71</v>
      </c>
      <c r="O56" s="156" t="s">
        <v>2108</v>
      </c>
      <c r="P56" s="268" t="s">
        <v>117</v>
      </c>
      <c r="Q56" s="240" t="s">
        <v>2527</v>
      </c>
      <c r="R56" s="243">
        <v>41271</v>
      </c>
      <c r="S56" s="240" t="s">
        <v>133</v>
      </c>
      <c r="T56" s="31">
        <v>500</v>
      </c>
      <c r="U56" s="136">
        <v>3.3000000000000002E-2</v>
      </c>
      <c r="V56" s="70" t="s">
        <v>132</v>
      </c>
      <c r="W56" s="71">
        <v>-0.253</v>
      </c>
      <c r="X56" s="23">
        <v>42643</v>
      </c>
      <c r="Y56" s="31">
        <v>167</v>
      </c>
      <c r="Z56" s="31">
        <v>500</v>
      </c>
      <c r="AA56" s="70" t="s">
        <v>134</v>
      </c>
      <c r="AB56" s="52">
        <f t="shared" si="10"/>
        <v>3.7589041095890412</v>
      </c>
      <c r="AC56" s="73"/>
      <c r="AD56" s="174"/>
      <c r="AE56" s="245"/>
      <c r="AF56" s="31"/>
      <c r="AG56" s="31"/>
      <c r="AH56" s="239"/>
      <c r="AI56" s="243">
        <v>41271</v>
      </c>
      <c r="AJ56" s="243">
        <v>42643</v>
      </c>
      <c r="AK56" s="167" t="s">
        <v>1618</v>
      </c>
      <c r="AL56" s="245" t="s">
        <v>117</v>
      </c>
      <c r="AM56" s="245" t="s">
        <v>117</v>
      </c>
      <c r="AN56" s="245" t="s">
        <v>117</v>
      </c>
      <c r="AO56" s="245" t="s">
        <v>131</v>
      </c>
      <c r="AP56" s="245" t="s">
        <v>131</v>
      </c>
      <c r="AQ56" s="168" t="s">
        <v>2995</v>
      </c>
      <c r="AR56" s="171" t="s">
        <v>2017</v>
      </c>
      <c r="AS56" s="75" t="s">
        <v>180</v>
      </c>
      <c r="AT56" s="75" t="s">
        <v>117</v>
      </c>
      <c r="AU56" s="240" t="s">
        <v>138</v>
      </c>
      <c r="AV56" s="75" t="s">
        <v>1231</v>
      </c>
      <c r="AW56" s="123">
        <f>IFERROR(VLOOKUP(AV56,'공직유관단체 코드'!$C$5:$D$1037,2,),"")</f>
        <v>569</v>
      </c>
      <c r="AX56" s="133">
        <v>3.2000000000000001E-2</v>
      </c>
      <c r="AY56" s="23">
        <v>41155</v>
      </c>
      <c r="AZ56" s="23">
        <v>42993</v>
      </c>
      <c r="BA56" s="173">
        <f t="shared" si="11"/>
        <v>5.0356164383561648</v>
      </c>
      <c r="BB56" s="88"/>
      <c r="BC56" s="245" t="s">
        <v>2922</v>
      </c>
      <c r="BD56" s="72" t="s">
        <v>2924</v>
      </c>
      <c r="BE56" s="55" t="s">
        <v>2923</v>
      </c>
    </row>
    <row r="57" spans="5:57">
      <c r="E57" s="245" t="s">
        <v>2487</v>
      </c>
      <c r="F57" s="87">
        <f t="shared" si="3"/>
        <v>790712</v>
      </c>
      <c r="G57" s="72" t="s">
        <v>2474</v>
      </c>
      <c r="H57" s="139">
        <f t="shared" ca="1" si="8"/>
        <v>5.0356164383561648</v>
      </c>
      <c r="I57" s="70" t="s">
        <v>2491</v>
      </c>
      <c r="J57" s="243">
        <v>41155</v>
      </c>
      <c r="K57" s="243">
        <v>42993</v>
      </c>
      <c r="L57" s="139">
        <f t="shared" ca="1" si="9"/>
        <v>5.0356164383561648</v>
      </c>
      <c r="M57" s="88" t="s">
        <v>2161</v>
      </c>
      <c r="N57" s="159" t="s">
        <v>71</v>
      </c>
      <c r="O57" s="156" t="s">
        <v>2107</v>
      </c>
      <c r="P57" s="268" t="s">
        <v>131</v>
      </c>
      <c r="Q57" s="240" t="s">
        <v>2528</v>
      </c>
      <c r="R57" s="243">
        <v>41386</v>
      </c>
      <c r="S57" s="240" t="s">
        <v>72</v>
      </c>
      <c r="T57" s="31">
        <v>1399</v>
      </c>
      <c r="U57" s="136">
        <v>0.154</v>
      </c>
      <c r="V57" s="70" t="s">
        <v>132</v>
      </c>
      <c r="W57" s="71">
        <v>-0.96599999999999997</v>
      </c>
      <c r="X57" s="23">
        <v>42916</v>
      </c>
      <c r="Y57" s="31">
        <v>1</v>
      </c>
      <c r="Z57" s="31">
        <v>1399</v>
      </c>
      <c r="AA57" s="70" t="s">
        <v>134</v>
      </c>
      <c r="AB57" s="52">
        <f t="shared" si="10"/>
        <v>4.1917808219178081</v>
      </c>
      <c r="AC57" s="73"/>
      <c r="AD57" s="174"/>
      <c r="AE57" s="245"/>
      <c r="AF57" s="31"/>
      <c r="AG57" s="31"/>
      <c r="AH57" s="239"/>
      <c r="AI57" s="243">
        <v>41386</v>
      </c>
      <c r="AJ57" s="243">
        <v>42993</v>
      </c>
      <c r="AK57" s="167" t="s">
        <v>1618</v>
      </c>
      <c r="AL57" s="245" t="s">
        <v>117</v>
      </c>
      <c r="AM57" s="245" t="s">
        <v>117</v>
      </c>
      <c r="AN57" s="245" t="s">
        <v>117</v>
      </c>
      <c r="AO57" s="245" t="s">
        <v>131</v>
      </c>
      <c r="AP57" s="245" t="s">
        <v>131</v>
      </c>
      <c r="AQ57" s="168" t="s">
        <v>2995</v>
      </c>
      <c r="AR57" s="171" t="s">
        <v>2020</v>
      </c>
      <c r="AS57" s="75" t="s">
        <v>180</v>
      </c>
      <c r="AT57" s="75" t="s">
        <v>131</v>
      </c>
      <c r="AU57" s="240" t="s">
        <v>138</v>
      </c>
      <c r="AV57" s="75" t="s">
        <v>1110</v>
      </c>
      <c r="AW57" s="123">
        <f>IFERROR(VLOOKUP(AV57,'공직유관단체 코드'!$C$5:$D$1037,2,),"")</f>
        <v>957</v>
      </c>
      <c r="AX57" s="133">
        <v>0.6</v>
      </c>
      <c r="AY57" s="23">
        <v>41155</v>
      </c>
      <c r="AZ57" s="23">
        <v>42698</v>
      </c>
      <c r="BA57" s="173">
        <f t="shared" si="11"/>
        <v>4.2273972602739729</v>
      </c>
      <c r="BB57" s="88" t="s">
        <v>2179</v>
      </c>
      <c r="BC57" s="245" t="s">
        <v>2922</v>
      </c>
      <c r="BD57" s="72" t="s">
        <v>2924</v>
      </c>
      <c r="BE57" s="55" t="s">
        <v>2923</v>
      </c>
    </row>
    <row r="58" spans="5:57">
      <c r="E58" s="245" t="s">
        <v>2487</v>
      </c>
      <c r="F58" s="87">
        <f t="shared" si="3"/>
        <v>790712</v>
      </c>
      <c r="G58" s="72" t="s">
        <v>2474</v>
      </c>
      <c r="H58" s="139">
        <f t="shared" ca="1" si="8"/>
        <v>5.0356164383561648</v>
      </c>
      <c r="I58" s="70" t="s">
        <v>2491</v>
      </c>
      <c r="J58" s="243">
        <v>41155</v>
      </c>
      <c r="K58" s="243">
        <v>42993</v>
      </c>
      <c r="L58" s="139">
        <f t="shared" ca="1" si="9"/>
        <v>5.0356164383561648</v>
      </c>
      <c r="M58" s="88" t="s">
        <v>2161</v>
      </c>
      <c r="N58" s="159" t="s">
        <v>71</v>
      </c>
      <c r="O58" s="156" t="s">
        <v>2107</v>
      </c>
      <c r="P58" s="268" t="s">
        <v>117</v>
      </c>
      <c r="Q58" s="240" t="s">
        <v>2529</v>
      </c>
      <c r="R58" s="243">
        <v>41389</v>
      </c>
      <c r="S58" s="240" t="s">
        <v>133</v>
      </c>
      <c r="T58" s="31">
        <v>2600</v>
      </c>
      <c r="U58" s="136">
        <v>0.20200000000000001</v>
      </c>
      <c r="V58" s="70" t="s">
        <v>132</v>
      </c>
      <c r="W58" s="71">
        <v>-0.48599999999999999</v>
      </c>
      <c r="X58" s="23">
        <v>42916</v>
      </c>
      <c r="Y58" s="31">
        <v>162</v>
      </c>
      <c r="Z58" s="31">
        <v>2600</v>
      </c>
      <c r="AA58" s="70" t="s">
        <v>134</v>
      </c>
      <c r="AB58" s="52">
        <f t="shared" si="10"/>
        <v>4.183561643835616</v>
      </c>
      <c r="AC58" s="73"/>
      <c r="AD58" s="174"/>
      <c r="AE58" s="245"/>
      <c r="AF58" s="31"/>
      <c r="AG58" s="31"/>
      <c r="AH58" s="239"/>
      <c r="AI58" s="243">
        <v>41389</v>
      </c>
      <c r="AJ58" s="243">
        <v>42993</v>
      </c>
      <c r="AK58" s="167" t="s">
        <v>1618</v>
      </c>
      <c r="AL58" s="245" t="s">
        <v>117</v>
      </c>
      <c r="AM58" s="245" t="s">
        <v>117</v>
      </c>
      <c r="AN58" s="245" t="s">
        <v>117</v>
      </c>
      <c r="AO58" s="245" t="s">
        <v>131</v>
      </c>
      <c r="AP58" s="245" t="s">
        <v>131</v>
      </c>
      <c r="AQ58" s="168" t="s">
        <v>2995</v>
      </c>
      <c r="AR58" s="171" t="s">
        <v>2020</v>
      </c>
      <c r="AS58" s="75" t="s">
        <v>180</v>
      </c>
      <c r="AT58" s="75" t="s">
        <v>131</v>
      </c>
      <c r="AU58" s="240" t="s">
        <v>138</v>
      </c>
      <c r="AV58" s="75" t="s">
        <v>1110</v>
      </c>
      <c r="AW58" s="123">
        <f>IFERROR(VLOOKUP(AV58,'공직유관단체 코드'!$C$5:$D$1037,2,),"")</f>
        <v>957</v>
      </c>
      <c r="AX58" s="133">
        <v>0.6</v>
      </c>
      <c r="AY58" s="23">
        <v>41155</v>
      </c>
      <c r="AZ58" s="23">
        <v>42698</v>
      </c>
      <c r="BA58" s="173">
        <f t="shared" si="11"/>
        <v>4.2273972602739729</v>
      </c>
      <c r="BB58" s="88" t="s">
        <v>2179</v>
      </c>
      <c r="BC58" s="245" t="s">
        <v>2922</v>
      </c>
      <c r="BD58" s="72" t="s">
        <v>2924</v>
      </c>
      <c r="BE58" s="55" t="s">
        <v>2923</v>
      </c>
    </row>
    <row r="59" spans="5:57">
      <c r="E59" s="245" t="s">
        <v>2487</v>
      </c>
      <c r="F59" s="87">
        <f t="shared" si="3"/>
        <v>790712</v>
      </c>
      <c r="G59" s="72" t="s">
        <v>2474</v>
      </c>
      <c r="H59" s="139">
        <f t="shared" ca="1" si="8"/>
        <v>5.0356164383561648</v>
      </c>
      <c r="I59" s="70" t="s">
        <v>2491</v>
      </c>
      <c r="J59" s="243">
        <v>41155</v>
      </c>
      <c r="K59" s="243">
        <v>42993</v>
      </c>
      <c r="L59" s="139">
        <f t="shared" ca="1" si="9"/>
        <v>5.0356164383561648</v>
      </c>
      <c r="M59" s="88" t="s">
        <v>2166</v>
      </c>
      <c r="N59" s="159" t="s">
        <v>71</v>
      </c>
      <c r="O59" s="156" t="s">
        <v>2107</v>
      </c>
      <c r="P59" s="268" t="s">
        <v>117</v>
      </c>
      <c r="Q59" s="240" t="s">
        <v>2530</v>
      </c>
      <c r="R59" s="243">
        <v>41458</v>
      </c>
      <c r="S59" s="240" t="s">
        <v>179</v>
      </c>
      <c r="T59" s="31">
        <v>3000</v>
      </c>
      <c r="U59" s="136">
        <v>0.04</v>
      </c>
      <c r="V59" s="70" t="s">
        <v>132</v>
      </c>
      <c r="W59" s="71">
        <v>9.0999999999999998E-2</v>
      </c>
      <c r="X59" s="23">
        <v>42689</v>
      </c>
      <c r="Y59" s="31">
        <v>3725</v>
      </c>
      <c r="Z59" s="31">
        <v>3000</v>
      </c>
      <c r="AA59" s="70" t="s">
        <v>1617</v>
      </c>
      <c r="AB59" s="52">
        <f t="shared" si="10"/>
        <v>3.3726027397260272</v>
      </c>
      <c r="AC59" s="73"/>
      <c r="AD59" s="174"/>
      <c r="AE59" s="245"/>
      <c r="AF59" s="31"/>
      <c r="AG59" s="31"/>
      <c r="AH59" s="239"/>
      <c r="AI59" s="243">
        <v>41458</v>
      </c>
      <c r="AJ59" s="243">
        <v>42689</v>
      </c>
      <c r="AK59" s="167" t="s">
        <v>1618</v>
      </c>
      <c r="AL59" s="245" t="s">
        <v>117</v>
      </c>
      <c r="AM59" s="245" t="s">
        <v>131</v>
      </c>
      <c r="AN59" s="245" t="s">
        <v>131</v>
      </c>
      <c r="AO59" s="245" t="s">
        <v>131</v>
      </c>
      <c r="AP59" s="245" t="s">
        <v>131</v>
      </c>
      <c r="AQ59" s="168" t="s">
        <v>2997</v>
      </c>
      <c r="AR59" s="171" t="s">
        <v>2019</v>
      </c>
      <c r="AS59" s="75" t="s">
        <v>3</v>
      </c>
      <c r="AT59" s="75" t="s">
        <v>117</v>
      </c>
      <c r="AU59" s="240" t="s">
        <v>138</v>
      </c>
      <c r="AV59" s="75"/>
      <c r="AW59" s="123" t="str">
        <f>IFERROR(VLOOKUP(AV59,'공직유관단체 코드'!$C$5:$D$1037,2,),"")</f>
        <v/>
      </c>
      <c r="AX59" s="133"/>
      <c r="AY59" s="23">
        <v>41155</v>
      </c>
      <c r="AZ59" s="23">
        <v>42993</v>
      </c>
      <c r="BA59" s="173">
        <f t="shared" si="11"/>
        <v>5.0356164383561648</v>
      </c>
      <c r="BB59" s="88"/>
      <c r="BC59" s="245" t="s">
        <v>2922</v>
      </c>
      <c r="BD59" s="72" t="s">
        <v>2924</v>
      </c>
      <c r="BE59" s="55" t="s">
        <v>2923</v>
      </c>
    </row>
    <row r="60" spans="5:57">
      <c r="E60" s="245" t="s">
        <v>2487</v>
      </c>
      <c r="F60" s="87">
        <f t="shared" si="3"/>
        <v>790712</v>
      </c>
      <c r="G60" s="72" t="s">
        <v>2474</v>
      </c>
      <c r="H60" s="139">
        <f t="shared" ca="1" si="8"/>
        <v>5.0356164383561648</v>
      </c>
      <c r="I60" s="70" t="s">
        <v>2491</v>
      </c>
      <c r="J60" s="243">
        <v>41155</v>
      </c>
      <c r="K60" s="243">
        <v>42993</v>
      </c>
      <c r="L60" s="139">
        <f t="shared" ca="1" si="9"/>
        <v>5.0356164383561648</v>
      </c>
      <c r="M60" s="88" t="s">
        <v>2166</v>
      </c>
      <c r="N60" s="159" t="s">
        <v>71</v>
      </c>
      <c r="O60" s="156" t="s">
        <v>2107</v>
      </c>
      <c r="P60" s="268" t="s">
        <v>117</v>
      </c>
      <c r="Q60" s="240" t="s">
        <v>2530</v>
      </c>
      <c r="R60" s="243">
        <v>41458</v>
      </c>
      <c r="S60" s="240" t="s">
        <v>179</v>
      </c>
      <c r="T60" s="31">
        <v>5000</v>
      </c>
      <c r="U60" s="136">
        <v>6.6000000000000003E-2</v>
      </c>
      <c r="V60" s="70" t="s">
        <v>132</v>
      </c>
      <c r="W60" s="71">
        <v>9.0999999999999998E-2</v>
      </c>
      <c r="X60" s="23">
        <v>42689</v>
      </c>
      <c r="Y60" s="31">
        <v>6209</v>
      </c>
      <c r="Z60" s="31">
        <v>5000</v>
      </c>
      <c r="AA60" s="70" t="s">
        <v>1617</v>
      </c>
      <c r="AB60" s="52">
        <f t="shared" si="10"/>
        <v>3.3726027397260272</v>
      </c>
      <c r="AC60" s="73"/>
      <c r="AD60" s="174"/>
      <c r="AE60" s="245"/>
      <c r="AF60" s="31"/>
      <c r="AG60" s="31"/>
      <c r="AH60" s="239"/>
      <c r="AI60" s="243">
        <v>41458</v>
      </c>
      <c r="AJ60" s="243">
        <v>42689</v>
      </c>
      <c r="AK60" s="167" t="s">
        <v>1618</v>
      </c>
      <c r="AL60" s="245" t="s">
        <v>117</v>
      </c>
      <c r="AM60" s="245" t="s">
        <v>131</v>
      </c>
      <c r="AN60" s="245" t="s">
        <v>131</v>
      </c>
      <c r="AO60" s="245" t="s">
        <v>131</v>
      </c>
      <c r="AP60" s="245" t="s">
        <v>131</v>
      </c>
      <c r="AQ60" s="168" t="s">
        <v>2997</v>
      </c>
      <c r="AR60" s="171" t="s">
        <v>2020</v>
      </c>
      <c r="AS60" s="75" t="s">
        <v>180</v>
      </c>
      <c r="AT60" s="75" t="s">
        <v>131</v>
      </c>
      <c r="AU60" s="240" t="s">
        <v>138</v>
      </c>
      <c r="AV60" s="75" t="s">
        <v>1110</v>
      </c>
      <c r="AW60" s="123">
        <f>IFERROR(VLOOKUP(AV60,'공직유관단체 코드'!$C$5:$D$1037,2,),"")</f>
        <v>957</v>
      </c>
      <c r="AX60" s="133">
        <v>0.6</v>
      </c>
      <c r="AY60" s="23">
        <v>41155</v>
      </c>
      <c r="AZ60" s="23">
        <v>42698</v>
      </c>
      <c r="BA60" s="173">
        <f t="shared" si="11"/>
        <v>4.2273972602739729</v>
      </c>
      <c r="BB60" s="88"/>
      <c r="BC60" s="245" t="s">
        <v>2922</v>
      </c>
      <c r="BD60" s="72" t="s">
        <v>2924</v>
      </c>
      <c r="BE60" s="55" t="s">
        <v>2923</v>
      </c>
    </row>
    <row r="61" spans="5:57">
      <c r="E61" s="245" t="s">
        <v>2487</v>
      </c>
      <c r="F61" s="87">
        <f t="shared" si="3"/>
        <v>790712</v>
      </c>
      <c r="G61" s="72" t="s">
        <v>2474</v>
      </c>
      <c r="H61" s="139">
        <f t="shared" ca="1" si="8"/>
        <v>5.0356164383561648</v>
      </c>
      <c r="I61" s="70" t="s">
        <v>2491</v>
      </c>
      <c r="J61" s="243">
        <v>41155</v>
      </c>
      <c r="K61" s="243">
        <v>42993</v>
      </c>
      <c r="L61" s="139">
        <f t="shared" ca="1" si="9"/>
        <v>5.0356164383561648</v>
      </c>
      <c r="M61" s="88" t="s">
        <v>2194</v>
      </c>
      <c r="N61" s="159" t="s">
        <v>71</v>
      </c>
      <c r="O61" s="156" t="s">
        <v>2195</v>
      </c>
      <c r="P61" s="268" t="s">
        <v>131</v>
      </c>
      <c r="Q61" s="240" t="s">
        <v>2982</v>
      </c>
      <c r="R61" s="243">
        <v>41645</v>
      </c>
      <c r="S61" s="240" t="s">
        <v>72</v>
      </c>
      <c r="T61" s="31">
        <v>2000</v>
      </c>
      <c r="U61" s="136">
        <v>2.5999999999999999E-2</v>
      </c>
      <c r="V61" s="70" t="s">
        <v>132</v>
      </c>
      <c r="W61" s="71">
        <v>3.1859999999999999</v>
      </c>
      <c r="X61" s="23">
        <v>42374</v>
      </c>
      <c r="Y61" s="31">
        <v>15761</v>
      </c>
      <c r="Z61" s="31">
        <v>2000</v>
      </c>
      <c r="AA61" s="70" t="s">
        <v>114</v>
      </c>
      <c r="AB61" s="52">
        <f t="shared" si="10"/>
        <v>1.9972602739726026</v>
      </c>
      <c r="AC61" s="73"/>
      <c r="AD61" s="174"/>
      <c r="AE61" s="245"/>
      <c r="AF61" s="31"/>
      <c r="AG61" s="31"/>
      <c r="AH61" s="239"/>
      <c r="AI61" s="243">
        <v>42202</v>
      </c>
      <c r="AJ61" s="243">
        <v>42374</v>
      </c>
      <c r="AK61" s="167" t="s">
        <v>1618</v>
      </c>
      <c r="AL61" s="245" t="s">
        <v>117</v>
      </c>
      <c r="AM61" s="245" t="s">
        <v>117</v>
      </c>
      <c r="AN61" s="245" t="s">
        <v>117</v>
      </c>
      <c r="AO61" s="245" t="s">
        <v>131</v>
      </c>
      <c r="AP61" s="245" t="s">
        <v>131</v>
      </c>
      <c r="AQ61" s="168" t="s">
        <v>2995</v>
      </c>
      <c r="AR61" s="171" t="s">
        <v>2019</v>
      </c>
      <c r="AS61" s="75" t="s">
        <v>3</v>
      </c>
      <c r="AT61" s="75" t="s">
        <v>117</v>
      </c>
      <c r="AU61" s="240" t="s">
        <v>138</v>
      </c>
      <c r="AV61" s="75"/>
      <c r="AW61" s="123" t="str">
        <f>IFERROR(VLOOKUP(AV61,'공직유관단체 코드'!$C$5:$D$1037,2,),"")</f>
        <v/>
      </c>
      <c r="AX61" s="133"/>
      <c r="AY61" s="23">
        <v>41155</v>
      </c>
      <c r="AZ61" s="23">
        <v>42993</v>
      </c>
      <c r="BA61" s="173">
        <f t="shared" si="11"/>
        <v>5.0356164383561648</v>
      </c>
      <c r="BB61" s="88"/>
      <c r="BC61" s="245" t="s">
        <v>2922</v>
      </c>
      <c r="BD61" s="72" t="s">
        <v>2924</v>
      </c>
      <c r="BE61" s="55" t="s">
        <v>2923</v>
      </c>
    </row>
    <row r="62" spans="5:57">
      <c r="E62" s="245" t="s">
        <v>2487</v>
      </c>
      <c r="F62" s="87">
        <f t="shared" si="3"/>
        <v>790712</v>
      </c>
      <c r="G62" s="72" t="s">
        <v>2474</v>
      </c>
      <c r="H62" s="139">
        <f t="shared" ca="1" si="8"/>
        <v>5.0356164383561648</v>
      </c>
      <c r="I62" s="70" t="s">
        <v>2491</v>
      </c>
      <c r="J62" s="243">
        <v>41155</v>
      </c>
      <c r="K62" s="243">
        <v>42993</v>
      </c>
      <c r="L62" s="139">
        <f t="shared" ca="1" si="9"/>
        <v>5.0356164383561648</v>
      </c>
      <c r="M62" s="88" t="s">
        <v>2137</v>
      </c>
      <c r="N62" s="159" t="s">
        <v>71</v>
      </c>
      <c r="O62" s="156" t="s">
        <v>2108</v>
      </c>
      <c r="P62" s="268" t="s">
        <v>117</v>
      </c>
      <c r="Q62" s="240" t="s">
        <v>2531</v>
      </c>
      <c r="R62" s="243">
        <v>41673</v>
      </c>
      <c r="S62" s="240" t="s">
        <v>133</v>
      </c>
      <c r="T62" s="31">
        <v>2000</v>
      </c>
      <c r="U62" s="136">
        <v>0.05</v>
      </c>
      <c r="V62" s="70" t="s">
        <v>1192</v>
      </c>
      <c r="W62" s="71"/>
      <c r="X62" s="23">
        <v>42545</v>
      </c>
      <c r="Y62" s="31">
        <v>7088</v>
      </c>
      <c r="Z62" s="31">
        <v>1573</v>
      </c>
      <c r="AA62" s="70" t="s">
        <v>134</v>
      </c>
      <c r="AB62" s="52">
        <f t="shared" si="10"/>
        <v>2.3890410958904109</v>
      </c>
      <c r="AC62" s="73" t="s">
        <v>117</v>
      </c>
      <c r="AD62" s="174"/>
      <c r="AE62" s="245" t="s">
        <v>117</v>
      </c>
      <c r="AF62" s="31">
        <v>427</v>
      </c>
      <c r="AG62" s="31">
        <v>427</v>
      </c>
      <c r="AH62" s="239" t="s">
        <v>2540</v>
      </c>
      <c r="AI62" s="243">
        <v>41673</v>
      </c>
      <c r="AJ62" s="243">
        <v>42993</v>
      </c>
      <c r="AK62" s="167" t="s">
        <v>1618</v>
      </c>
      <c r="AL62" s="245" t="s">
        <v>117</v>
      </c>
      <c r="AM62" s="245" t="s">
        <v>131</v>
      </c>
      <c r="AN62" s="245" t="s">
        <v>131</v>
      </c>
      <c r="AO62" s="245" t="s">
        <v>131</v>
      </c>
      <c r="AP62" s="245" t="s">
        <v>117</v>
      </c>
      <c r="AQ62" s="168" t="s">
        <v>3001</v>
      </c>
      <c r="AR62" s="171" t="s">
        <v>2019</v>
      </c>
      <c r="AS62" s="75" t="s">
        <v>3</v>
      </c>
      <c r="AT62" s="75" t="s">
        <v>117</v>
      </c>
      <c r="AU62" s="240" t="s">
        <v>138</v>
      </c>
      <c r="AV62" s="75"/>
      <c r="AW62" s="123" t="str">
        <f>IFERROR(VLOOKUP(AV62,'공직유관단체 코드'!$C$5:$D$1037,2,),"")</f>
        <v/>
      </c>
      <c r="AX62" s="133"/>
      <c r="AY62" s="23">
        <v>41155</v>
      </c>
      <c r="AZ62" s="23">
        <v>42993</v>
      </c>
      <c r="BA62" s="173">
        <f t="shared" si="11"/>
        <v>5.0356164383561648</v>
      </c>
      <c r="BB62" s="88"/>
      <c r="BC62" s="245" t="s">
        <v>2922</v>
      </c>
      <c r="BD62" s="72" t="s">
        <v>2924</v>
      </c>
      <c r="BE62" s="55" t="s">
        <v>2923</v>
      </c>
    </row>
    <row r="63" spans="5:57">
      <c r="E63" s="245" t="s">
        <v>2487</v>
      </c>
      <c r="F63" s="87">
        <f t="shared" si="3"/>
        <v>790712</v>
      </c>
      <c r="G63" s="72" t="s">
        <v>2474</v>
      </c>
      <c r="H63" s="139">
        <f t="shared" ca="1" si="8"/>
        <v>5.0356164383561648</v>
      </c>
      <c r="I63" s="70" t="s">
        <v>2491</v>
      </c>
      <c r="J63" s="243">
        <v>41155</v>
      </c>
      <c r="K63" s="243">
        <v>42993</v>
      </c>
      <c r="L63" s="139">
        <f t="shared" ca="1" si="9"/>
        <v>5.0356164383561648</v>
      </c>
      <c r="M63" s="88" t="s">
        <v>2216</v>
      </c>
      <c r="N63" s="159" t="s">
        <v>71</v>
      </c>
      <c r="O63" s="156" t="s">
        <v>2195</v>
      </c>
      <c r="P63" s="268" t="s">
        <v>117</v>
      </c>
      <c r="Q63" s="240" t="s">
        <v>2532</v>
      </c>
      <c r="R63" s="243">
        <v>41820</v>
      </c>
      <c r="S63" s="240" t="s">
        <v>116</v>
      </c>
      <c r="T63" s="31">
        <v>3500</v>
      </c>
      <c r="U63" s="136">
        <v>0.02</v>
      </c>
      <c r="V63" s="70" t="s">
        <v>1192</v>
      </c>
      <c r="W63" s="71"/>
      <c r="X63" s="23">
        <v>42986</v>
      </c>
      <c r="Y63" s="31">
        <v>13500</v>
      </c>
      <c r="Z63" s="31">
        <v>1500</v>
      </c>
      <c r="AA63" s="70" t="s">
        <v>134</v>
      </c>
      <c r="AB63" s="52">
        <f t="shared" si="10"/>
        <v>3.1945205479452055</v>
      </c>
      <c r="AC63" s="73" t="s">
        <v>117</v>
      </c>
      <c r="AD63" s="174"/>
      <c r="AE63" s="245" t="s">
        <v>117</v>
      </c>
      <c r="AF63" s="31">
        <v>2000</v>
      </c>
      <c r="AG63" s="31">
        <v>2000</v>
      </c>
      <c r="AH63" s="239" t="s">
        <v>2540</v>
      </c>
      <c r="AI63" s="243">
        <v>41820</v>
      </c>
      <c r="AJ63" s="243">
        <v>42993</v>
      </c>
      <c r="AK63" s="167" t="s">
        <v>1618</v>
      </c>
      <c r="AL63" s="245" t="s">
        <v>117</v>
      </c>
      <c r="AM63" s="245" t="s">
        <v>117</v>
      </c>
      <c r="AN63" s="245" t="s">
        <v>117</v>
      </c>
      <c r="AO63" s="245" t="s">
        <v>131</v>
      </c>
      <c r="AP63" s="245" t="s">
        <v>131</v>
      </c>
      <c r="AQ63" s="168" t="s">
        <v>2995</v>
      </c>
      <c r="AR63" s="171" t="s">
        <v>2021</v>
      </c>
      <c r="AS63" s="75" t="s">
        <v>180</v>
      </c>
      <c r="AT63" s="75" t="s">
        <v>117</v>
      </c>
      <c r="AU63" s="240" t="s">
        <v>128</v>
      </c>
      <c r="AV63" s="75" t="s">
        <v>1110</v>
      </c>
      <c r="AW63" s="123">
        <f>IFERROR(VLOOKUP(AV63,'공직유관단체 코드'!$C$5:$D$1037,2,),"")</f>
        <v>957</v>
      </c>
      <c r="AX63" s="133">
        <v>0.50900000000000001</v>
      </c>
      <c r="AY63" s="23">
        <v>41528</v>
      </c>
      <c r="AZ63" s="23">
        <v>42993</v>
      </c>
      <c r="BA63" s="173">
        <f t="shared" si="11"/>
        <v>4.0136986301369859</v>
      </c>
      <c r="BB63" s="88"/>
      <c r="BC63" s="245" t="s">
        <v>2922</v>
      </c>
      <c r="BD63" s="72" t="s">
        <v>2924</v>
      </c>
      <c r="BE63" s="55" t="s">
        <v>2923</v>
      </c>
    </row>
    <row r="64" spans="5:57">
      <c r="E64" s="245" t="s">
        <v>2487</v>
      </c>
      <c r="F64" s="87">
        <f t="shared" si="3"/>
        <v>790712</v>
      </c>
      <c r="G64" s="72" t="s">
        <v>2474</v>
      </c>
      <c r="H64" s="139">
        <f t="shared" ca="1" si="8"/>
        <v>5.0356164383561648</v>
      </c>
      <c r="I64" s="70" t="s">
        <v>2491</v>
      </c>
      <c r="J64" s="243">
        <v>41155</v>
      </c>
      <c r="K64" s="243">
        <v>42993</v>
      </c>
      <c r="L64" s="139">
        <f t="shared" ca="1" si="9"/>
        <v>5.0356164383561648</v>
      </c>
      <c r="M64" s="88" t="s">
        <v>2279</v>
      </c>
      <c r="N64" s="159" t="s">
        <v>71</v>
      </c>
      <c r="O64" s="156" t="s">
        <v>2105</v>
      </c>
      <c r="P64" s="268" t="s">
        <v>131</v>
      </c>
      <c r="Q64" s="240" t="s">
        <v>2533</v>
      </c>
      <c r="R64" s="243">
        <v>41880</v>
      </c>
      <c r="S64" s="240" t="s">
        <v>72</v>
      </c>
      <c r="T64" s="31">
        <v>2350</v>
      </c>
      <c r="U64" s="136">
        <v>1.9E-2</v>
      </c>
      <c r="V64" s="70" t="s">
        <v>1192</v>
      </c>
      <c r="W64" s="71"/>
      <c r="X64" s="23">
        <v>42846</v>
      </c>
      <c r="Y64" s="31">
        <v>75</v>
      </c>
      <c r="Z64" s="31">
        <v>0</v>
      </c>
      <c r="AA64" s="70" t="s">
        <v>137</v>
      </c>
      <c r="AB64" s="52">
        <f t="shared" si="10"/>
        <v>2.6465753424657534</v>
      </c>
      <c r="AC64" s="73" t="s">
        <v>117</v>
      </c>
      <c r="AD64" s="174"/>
      <c r="AE64" s="245" t="s">
        <v>117</v>
      </c>
      <c r="AF64" s="31">
        <v>2350</v>
      </c>
      <c r="AG64" s="31">
        <v>2350</v>
      </c>
      <c r="AH64" s="239" t="s">
        <v>2540</v>
      </c>
      <c r="AI64" s="243">
        <v>41880</v>
      </c>
      <c r="AJ64" s="243">
        <v>42993</v>
      </c>
      <c r="AK64" s="167" t="s">
        <v>1618</v>
      </c>
      <c r="AL64" s="245" t="s">
        <v>117</v>
      </c>
      <c r="AM64" s="245" t="s">
        <v>131</v>
      </c>
      <c r="AN64" s="245" t="s">
        <v>131</v>
      </c>
      <c r="AO64" s="245" t="s">
        <v>131</v>
      </c>
      <c r="AP64" s="245" t="s">
        <v>131</v>
      </c>
      <c r="AQ64" s="168" t="s">
        <v>2997</v>
      </c>
      <c r="AR64" s="171" t="s">
        <v>2024</v>
      </c>
      <c r="AS64" s="75" t="s">
        <v>180</v>
      </c>
      <c r="AT64" s="75" t="s">
        <v>131</v>
      </c>
      <c r="AU64" s="240" t="s">
        <v>138</v>
      </c>
      <c r="AV64" s="75" t="s">
        <v>1231</v>
      </c>
      <c r="AW64" s="123">
        <f>IFERROR(VLOOKUP(AV64,'공직유관단체 코드'!$C$5:$D$1037,2,),"")</f>
        <v>569</v>
      </c>
      <c r="AX64" s="133">
        <v>0.02</v>
      </c>
      <c r="AY64" s="23">
        <v>41862</v>
      </c>
      <c r="AZ64" s="23">
        <v>42993</v>
      </c>
      <c r="BA64" s="173">
        <f t="shared" si="11"/>
        <v>3.0986301369863014</v>
      </c>
      <c r="BB64" s="88" t="s">
        <v>2145</v>
      </c>
      <c r="BC64" s="245" t="s">
        <v>2922</v>
      </c>
      <c r="BD64" s="72" t="s">
        <v>2924</v>
      </c>
      <c r="BE64" s="55" t="s">
        <v>2923</v>
      </c>
    </row>
    <row r="65" spans="5:57">
      <c r="E65" s="245" t="s">
        <v>2487</v>
      </c>
      <c r="F65" s="87">
        <f t="shared" si="3"/>
        <v>790712</v>
      </c>
      <c r="G65" s="72" t="s">
        <v>2474</v>
      </c>
      <c r="H65" s="139">
        <f t="shared" ca="1" si="8"/>
        <v>5.0356164383561648</v>
      </c>
      <c r="I65" s="70" t="s">
        <v>2491</v>
      </c>
      <c r="J65" s="243">
        <v>41155</v>
      </c>
      <c r="K65" s="243">
        <v>42993</v>
      </c>
      <c r="L65" s="139">
        <f t="shared" ca="1" si="9"/>
        <v>5.0356164383561648</v>
      </c>
      <c r="M65" s="88" t="s">
        <v>2137</v>
      </c>
      <c r="N65" s="159" t="s">
        <v>71</v>
      </c>
      <c r="O65" s="156" t="s">
        <v>2108</v>
      </c>
      <c r="P65" s="268" t="s">
        <v>131</v>
      </c>
      <c r="Q65" s="240" t="s">
        <v>2531</v>
      </c>
      <c r="R65" s="243">
        <v>41981</v>
      </c>
      <c r="S65" s="240" t="s">
        <v>133</v>
      </c>
      <c r="T65" s="31">
        <v>3000</v>
      </c>
      <c r="U65" s="136">
        <v>1.4999999999999999E-2</v>
      </c>
      <c r="V65" s="70" t="s">
        <v>1193</v>
      </c>
      <c r="W65" s="71"/>
      <c r="X65" s="23"/>
      <c r="Y65" s="31"/>
      <c r="Z65" s="31"/>
      <c r="AA65" s="70"/>
      <c r="AB65" s="52" t="str">
        <f t="shared" si="10"/>
        <v/>
      </c>
      <c r="AC65" s="73" t="s">
        <v>117</v>
      </c>
      <c r="AD65" s="174"/>
      <c r="AE65" s="245" t="s">
        <v>117</v>
      </c>
      <c r="AF65" s="31">
        <v>3000</v>
      </c>
      <c r="AG65" s="31">
        <v>3000</v>
      </c>
      <c r="AH65" s="239" t="s">
        <v>2540</v>
      </c>
      <c r="AI65" s="243">
        <v>41981</v>
      </c>
      <c r="AJ65" s="243">
        <v>42993</v>
      </c>
      <c r="AK65" s="167" t="s">
        <v>1618</v>
      </c>
      <c r="AL65" s="245" t="s">
        <v>117</v>
      </c>
      <c r="AM65" s="245" t="s">
        <v>131</v>
      </c>
      <c r="AN65" s="245" t="s">
        <v>131</v>
      </c>
      <c r="AO65" s="245" t="s">
        <v>131</v>
      </c>
      <c r="AP65" s="245"/>
      <c r="AQ65" s="168" t="s">
        <v>3001</v>
      </c>
      <c r="AR65" s="171" t="s">
        <v>2019</v>
      </c>
      <c r="AS65" s="75" t="s">
        <v>3</v>
      </c>
      <c r="AT65" s="75" t="s">
        <v>117</v>
      </c>
      <c r="AU65" s="240" t="s">
        <v>138</v>
      </c>
      <c r="AV65" s="75"/>
      <c r="AW65" s="123" t="str">
        <f>IFERROR(VLOOKUP(AV65,'공직유관단체 코드'!$C$5:$D$1037,2,),"")</f>
        <v/>
      </c>
      <c r="AX65" s="133"/>
      <c r="AY65" s="23">
        <v>41155</v>
      </c>
      <c r="AZ65" s="23">
        <v>42993</v>
      </c>
      <c r="BA65" s="173">
        <f t="shared" si="11"/>
        <v>5.0356164383561648</v>
      </c>
      <c r="BB65" s="88"/>
      <c r="BC65" s="245" t="s">
        <v>2922</v>
      </c>
      <c r="BD65" s="72" t="s">
        <v>2924</v>
      </c>
      <c r="BE65" s="55" t="s">
        <v>2923</v>
      </c>
    </row>
    <row r="66" spans="5:57">
      <c r="E66" s="245" t="s">
        <v>2487</v>
      </c>
      <c r="F66" s="87">
        <f t="shared" si="3"/>
        <v>790712</v>
      </c>
      <c r="G66" s="72" t="s">
        <v>2474</v>
      </c>
      <c r="H66" s="139">
        <f t="shared" ca="1" si="8"/>
        <v>5.0356164383561648</v>
      </c>
      <c r="I66" s="70" t="s">
        <v>2491</v>
      </c>
      <c r="J66" s="243">
        <v>41155</v>
      </c>
      <c r="K66" s="243">
        <v>42993</v>
      </c>
      <c r="L66" s="139">
        <f t="shared" ca="1" si="9"/>
        <v>5.0356164383561648</v>
      </c>
      <c r="M66" s="88" t="s">
        <v>2220</v>
      </c>
      <c r="N66" s="159" t="s">
        <v>71</v>
      </c>
      <c r="O66" s="156" t="s">
        <v>2108</v>
      </c>
      <c r="P66" s="268" t="s">
        <v>117</v>
      </c>
      <c r="Q66" s="240" t="s">
        <v>2531</v>
      </c>
      <c r="R66" s="243">
        <v>42048</v>
      </c>
      <c r="S66" s="240" t="s">
        <v>133</v>
      </c>
      <c r="T66" s="31">
        <v>750</v>
      </c>
      <c r="U66" s="136">
        <v>2.1999999999999999E-2</v>
      </c>
      <c r="V66" s="70" t="s">
        <v>132</v>
      </c>
      <c r="W66" s="71">
        <v>-1</v>
      </c>
      <c r="X66" s="23">
        <v>42704</v>
      </c>
      <c r="Y66" s="31"/>
      <c r="Z66" s="31"/>
      <c r="AA66" s="70"/>
      <c r="AB66" s="52">
        <f t="shared" si="10"/>
        <v>1.7972602739726027</v>
      </c>
      <c r="AC66" s="73" t="s">
        <v>131</v>
      </c>
      <c r="AD66" s="174">
        <v>750</v>
      </c>
      <c r="AE66" s="245" t="s">
        <v>117</v>
      </c>
      <c r="AF66" s="31">
        <v>0</v>
      </c>
      <c r="AG66" s="31">
        <v>0</v>
      </c>
      <c r="AH66" s="239" t="s">
        <v>2540</v>
      </c>
      <c r="AI66" s="243">
        <v>42048</v>
      </c>
      <c r="AJ66" s="243">
        <v>42993</v>
      </c>
      <c r="AK66" s="167" t="s">
        <v>1618</v>
      </c>
      <c r="AL66" s="245" t="s">
        <v>117</v>
      </c>
      <c r="AM66" s="245" t="s">
        <v>131</v>
      </c>
      <c r="AN66" s="245" t="s">
        <v>131</v>
      </c>
      <c r="AO66" s="245" t="s">
        <v>131</v>
      </c>
      <c r="AP66" s="245"/>
      <c r="AQ66" s="168" t="s">
        <v>3001</v>
      </c>
      <c r="AR66" s="171" t="s">
        <v>2022</v>
      </c>
      <c r="AS66" s="75" t="s">
        <v>180</v>
      </c>
      <c r="AT66" s="75" t="s">
        <v>117</v>
      </c>
      <c r="AU66" s="240" t="s">
        <v>138</v>
      </c>
      <c r="AV66" s="75" t="s">
        <v>814</v>
      </c>
      <c r="AW66" s="123">
        <f>IFERROR(VLOOKUP(AV66,'공직유관단체 코드'!$C$5:$D$1037,2,),"")</f>
        <v>660</v>
      </c>
      <c r="AX66" s="133">
        <v>0.373</v>
      </c>
      <c r="AY66" s="23">
        <v>41696</v>
      </c>
      <c r="AZ66" s="23">
        <v>42993</v>
      </c>
      <c r="BA66" s="173">
        <f t="shared" si="11"/>
        <v>3.5534246575342467</v>
      </c>
      <c r="BB66" s="88"/>
      <c r="BC66" s="245" t="s">
        <v>2922</v>
      </c>
      <c r="BD66" s="72" t="s">
        <v>2924</v>
      </c>
      <c r="BE66" s="55" t="s">
        <v>2923</v>
      </c>
    </row>
    <row r="67" spans="5:57">
      <c r="E67" s="245" t="s">
        <v>2487</v>
      </c>
      <c r="F67" s="87">
        <f t="shared" si="3"/>
        <v>790712</v>
      </c>
      <c r="G67" s="72" t="s">
        <v>2474</v>
      </c>
      <c r="H67" s="139">
        <f t="shared" ca="1" si="8"/>
        <v>5.0356164383561648</v>
      </c>
      <c r="I67" s="70" t="s">
        <v>2491</v>
      </c>
      <c r="J67" s="243">
        <v>41155</v>
      </c>
      <c r="K67" s="243">
        <v>42993</v>
      </c>
      <c r="L67" s="139">
        <f t="shared" ca="1" si="9"/>
        <v>5.0356164383561648</v>
      </c>
      <c r="M67" s="88" t="s">
        <v>2220</v>
      </c>
      <c r="N67" s="159" t="s">
        <v>71</v>
      </c>
      <c r="O67" s="156" t="s">
        <v>2108</v>
      </c>
      <c r="P67" s="268" t="s">
        <v>117</v>
      </c>
      <c r="Q67" s="240" t="s">
        <v>2531</v>
      </c>
      <c r="R67" s="243">
        <v>42048</v>
      </c>
      <c r="S67" s="240" t="s">
        <v>133</v>
      </c>
      <c r="T67" s="31">
        <v>750</v>
      </c>
      <c r="U67" s="136">
        <v>2.1999999999999999E-2</v>
      </c>
      <c r="V67" s="70" t="s">
        <v>132</v>
      </c>
      <c r="W67" s="71">
        <v>-1</v>
      </c>
      <c r="X67" s="23">
        <v>42704</v>
      </c>
      <c r="Y67" s="31"/>
      <c r="Z67" s="31"/>
      <c r="AA67" s="70"/>
      <c r="AB67" s="52">
        <f t="shared" si="10"/>
        <v>1.7972602739726027</v>
      </c>
      <c r="AC67" s="73" t="s">
        <v>131</v>
      </c>
      <c r="AD67" s="174">
        <v>750</v>
      </c>
      <c r="AE67" s="245" t="s">
        <v>117</v>
      </c>
      <c r="AF67" s="31">
        <v>0</v>
      </c>
      <c r="AG67" s="31">
        <v>0</v>
      </c>
      <c r="AH67" s="239" t="s">
        <v>2540</v>
      </c>
      <c r="AI67" s="243">
        <v>42048</v>
      </c>
      <c r="AJ67" s="243">
        <v>42993</v>
      </c>
      <c r="AK67" s="167" t="s">
        <v>1618</v>
      </c>
      <c r="AL67" s="245" t="s">
        <v>117</v>
      </c>
      <c r="AM67" s="245" t="s">
        <v>131</v>
      </c>
      <c r="AN67" s="245" t="s">
        <v>131</v>
      </c>
      <c r="AO67" s="245" t="s">
        <v>131</v>
      </c>
      <c r="AP67" s="245"/>
      <c r="AQ67" s="168" t="s">
        <v>3001</v>
      </c>
      <c r="AR67" s="171" t="s">
        <v>2021</v>
      </c>
      <c r="AS67" s="75" t="s">
        <v>180</v>
      </c>
      <c r="AT67" s="75" t="s">
        <v>117</v>
      </c>
      <c r="AU67" s="240" t="s">
        <v>128</v>
      </c>
      <c r="AV67" s="75" t="s">
        <v>1110</v>
      </c>
      <c r="AW67" s="123">
        <f>IFERROR(VLOOKUP(AV67,'공직유관단체 코드'!$C$5:$D$1037,2,),"")</f>
        <v>957</v>
      </c>
      <c r="AX67" s="133">
        <v>0.50900000000000001</v>
      </c>
      <c r="AY67" s="23">
        <v>41528</v>
      </c>
      <c r="AZ67" s="23">
        <v>42993</v>
      </c>
      <c r="BA67" s="173">
        <f t="shared" si="11"/>
        <v>4.0136986301369859</v>
      </c>
      <c r="BB67" s="88" t="s">
        <v>2199</v>
      </c>
      <c r="BC67" s="245" t="s">
        <v>2922</v>
      </c>
      <c r="BD67" s="72" t="s">
        <v>2924</v>
      </c>
      <c r="BE67" s="55" t="s">
        <v>2923</v>
      </c>
    </row>
    <row r="68" spans="5:57">
      <c r="E68" s="245" t="s">
        <v>2487</v>
      </c>
      <c r="F68" s="87">
        <f t="shared" si="3"/>
        <v>790712</v>
      </c>
      <c r="G68" s="72" t="s">
        <v>2474</v>
      </c>
      <c r="H68" s="139">
        <f t="shared" ca="1" si="8"/>
        <v>5.0356164383561648</v>
      </c>
      <c r="I68" s="70" t="s">
        <v>2491</v>
      </c>
      <c r="J68" s="243">
        <v>41155</v>
      </c>
      <c r="K68" s="243">
        <v>42993</v>
      </c>
      <c r="L68" s="139">
        <f t="shared" ca="1" si="9"/>
        <v>5.0356164383561648</v>
      </c>
      <c r="M68" s="88" t="s">
        <v>2264</v>
      </c>
      <c r="N68" s="159" t="s">
        <v>71</v>
      </c>
      <c r="O68" s="156" t="s">
        <v>2108</v>
      </c>
      <c r="P68" s="268" t="s">
        <v>131</v>
      </c>
      <c r="Q68" s="240" t="s">
        <v>2534</v>
      </c>
      <c r="R68" s="243">
        <v>42186</v>
      </c>
      <c r="S68" s="240" t="s">
        <v>72</v>
      </c>
      <c r="T68" s="31">
        <v>1000</v>
      </c>
      <c r="U68" s="136">
        <v>8.9999999999999993E-3</v>
      </c>
      <c r="V68" s="70" t="s">
        <v>132</v>
      </c>
      <c r="W68" s="71">
        <v>0.52</v>
      </c>
      <c r="X68" s="23">
        <v>42355</v>
      </c>
      <c r="Y68" s="31">
        <v>1214</v>
      </c>
      <c r="Z68" s="31">
        <v>1000</v>
      </c>
      <c r="AA68" s="70" t="s">
        <v>134</v>
      </c>
      <c r="AB68" s="52">
        <f t="shared" si="10"/>
        <v>0.46301369863013697</v>
      </c>
      <c r="AC68" s="73"/>
      <c r="AD68" s="174"/>
      <c r="AE68" s="245"/>
      <c r="AF68" s="31"/>
      <c r="AG68" s="31"/>
      <c r="AH68" s="239"/>
      <c r="AI68" s="243">
        <v>42186</v>
      </c>
      <c r="AJ68" s="243">
        <v>42355</v>
      </c>
      <c r="AK68" s="167" t="s">
        <v>1618</v>
      </c>
      <c r="AL68" s="245" t="s">
        <v>117</v>
      </c>
      <c r="AM68" s="245" t="s">
        <v>131</v>
      </c>
      <c r="AN68" s="245" t="s">
        <v>131</v>
      </c>
      <c r="AO68" s="245" t="s">
        <v>131</v>
      </c>
      <c r="AP68" s="245" t="s">
        <v>131</v>
      </c>
      <c r="AQ68" s="168" t="s">
        <v>2997</v>
      </c>
      <c r="AR68" s="171" t="s">
        <v>2022</v>
      </c>
      <c r="AS68" s="75" t="s">
        <v>180</v>
      </c>
      <c r="AT68" s="75" t="s">
        <v>117</v>
      </c>
      <c r="AU68" s="240" t="s">
        <v>138</v>
      </c>
      <c r="AV68" s="75" t="s">
        <v>814</v>
      </c>
      <c r="AW68" s="123">
        <f>IFERROR(VLOOKUP(AV68,'공직유관단체 코드'!$C$5:$D$1037,2,),"")</f>
        <v>660</v>
      </c>
      <c r="AX68" s="133">
        <v>0.373</v>
      </c>
      <c r="AY68" s="23">
        <v>41696</v>
      </c>
      <c r="AZ68" s="23">
        <v>42993</v>
      </c>
      <c r="BA68" s="173">
        <f t="shared" si="11"/>
        <v>3.5534246575342467</v>
      </c>
      <c r="BB68" s="88"/>
      <c r="BC68" s="245" t="s">
        <v>2922</v>
      </c>
      <c r="BD68" s="72" t="s">
        <v>2924</v>
      </c>
      <c r="BE68" s="55" t="s">
        <v>2923</v>
      </c>
    </row>
    <row r="69" spans="5:57">
      <c r="E69" s="245" t="s">
        <v>2487</v>
      </c>
      <c r="F69" s="87">
        <f t="shared" si="3"/>
        <v>790712</v>
      </c>
      <c r="G69" s="72" t="s">
        <v>2474</v>
      </c>
      <c r="H69" s="139">
        <f t="shared" ca="1" si="8"/>
        <v>5.0356164383561648</v>
      </c>
      <c r="I69" s="70" t="s">
        <v>2491</v>
      </c>
      <c r="J69" s="243">
        <v>41155</v>
      </c>
      <c r="K69" s="243">
        <v>42993</v>
      </c>
      <c r="L69" s="139">
        <f t="shared" ca="1" si="9"/>
        <v>5.0356164383561648</v>
      </c>
      <c r="M69" s="88" t="s">
        <v>2264</v>
      </c>
      <c r="N69" s="159" t="s">
        <v>71</v>
      </c>
      <c r="O69" s="156" t="s">
        <v>2108</v>
      </c>
      <c r="P69" s="268" t="s">
        <v>131</v>
      </c>
      <c r="Q69" s="240" t="s">
        <v>2534</v>
      </c>
      <c r="R69" s="243">
        <v>42186</v>
      </c>
      <c r="S69" s="240" t="s">
        <v>72</v>
      </c>
      <c r="T69" s="31">
        <v>1000</v>
      </c>
      <c r="U69" s="136">
        <v>8.9999999999999993E-3</v>
      </c>
      <c r="V69" s="70" t="s">
        <v>132</v>
      </c>
      <c r="W69" s="71">
        <v>0.52</v>
      </c>
      <c r="X69" s="23">
        <v>42355</v>
      </c>
      <c r="Y69" s="31">
        <v>1214</v>
      </c>
      <c r="Z69" s="31">
        <v>1000</v>
      </c>
      <c r="AA69" s="70" t="s">
        <v>134</v>
      </c>
      <c r="AB69" s="52">
        <f t="shared" si="10"/>
        <v>0.46301369863013697</v>
      </c>
      <c r="AC69" s="73"/>
      <c r="AD69" s="174"/>
      <c r="AE69" s="245"/>
      <c r="AF69" s="31"/>
      <c r="AG69" s="31"/>
      <c r="AH69" s="239"/>
      <c r="AI69" s="243">
        <v>42186</v>
      </c>
      <c r="AJ69" s="243">
        <v>42355</v>
      </c>
      <c r="AK69" s="167" t="s">
        <v>1618</v>
      </c>
      <c r="AL69" s="245" t="s">
        <v>117</v>
      </c>
      <c r="AM69" s="245" t="s">
        <v>131</v>
      </c>
      <c r="AN69" s="245" t="s">
        <v>131</v>
      </c>
      <c r="AO69" s="245" t="s">
        <v>131</v>
      </c>
      <c r="AP69" s="245" t="s">
        <v>131</v>
      </c>
      <c r="AQ69" s="168" t="s">
        <v>2997</v>
      </c>
      <c r="AR69" s="171" t="s">
        <v>2024</v>
      </c>
      <c r="AS69" s="75" t="s">
        <v>180</v>
      </c>
      <c r="AT69" s="75" t="s">
        <v>131</v>
      </c>
      <c r="AU69" s="240" t="s">
        <v>138</v>
      </c>
      <c r="AV69" s="75" t="s">
        <v>1231</v>
      </c>
      <c r="AW69" s="123">
        <f>IFERROR(VLOOKUP(AV69,'공직유관단체 코드'!$C$5:$D$1037,2,),"")</f>
        <v>569</v>
      </c>
      <c r="AX69" s="133">
        <v>0.02</v>
      </c>
      <c r="AY69" s="23">
        <v>41862</v>
      </c>
      <c r="AZ69" s="23">
        <v>42993</v>
      </c>
      <c r="BA69" s="173">
        <f t="shared" si="11"/>
        <v>3.0986301369863014</v>
      </c>
      <c r="BB69" s="88"/>
      <c r="BC69" s="245" t="s">
        <v>2922</v>
      </c>
      <c r="BD69" s="72" t="s">
        <v>2924</v>
      </c>
      <c r="BE69" s="55" t="s">
        <v>2923</v>
      </c>
    </row>
    <row r="70" spans="5:57">
      <c r="E70" s="245" t="s">
        <v>2487</v>
      </c>
      <c r="F70" s="87">
        <f t="shared" si="3"/>
        <v>790712</v>
      </c>
      <c r="G70" s="72" t="s">
        <v>2474</v>
      </c>
      <c r="H70" s="139">
        <f t="shared" ca="1" si="8"/>
        <v>5.0356164383561648</v>
      </c>
      <c r="I70" s="70" t="s">
        <v>2491</v>
      </c>
      <c r="J70" s="243">
        <v>41155</v>
      </c>
      <c r="K70" s="243">
        <v>42993</v>
      </c>
      <c r="L70" s="139">
        <f t="shared" ca="1" si="9"/>
        <v>5.0356164383561648</v>
      </c>
      <c r="M70" s="88" t="s">
        <v>2227</v>
      </c>
      <c r="N70" s="159" t="s">
        <v>71</v>
      </c>
      <c r="O70" s="156" t="s">
        <v>2228</v>
      </c>
      <c r="P70" s="268" t="s">
        <v>117</v>
      </c>
      <c r="Q70" s="240" t="s">
        <v>2535</v>
      </c>
      <c r="R70" s="243">
        <v>42255</v>
      </c>
      <c r="S70" s="240" t="s">
        <v>133</v>
      </c>
      <c r="T70" s="31">
        <v>3333</v>
      </c>
      <c r="U70" s="136">
        <v>2E-3</v>
      </c>
      <c r="V70" s="70" t="s">
        <v>1193</v>
      </c>
      <c r="W70" s="71"/>
      <c r="X70" s="23"/>
      <c r="Y70" s="31"/>
      <c r="Z70" s="31"/>
      <c r="AA70" s="70"/>
      <c r="AB70" s="52" t="str">
        <f t="shared" si="10"/>
        <v/>
      </c>
      <c r="AC70" s="73" t="s">
        <v>117</v>
      </c>
      <c r="AD70" s="174"/>
      <c r="AE70" s="245" t="s">
        <v>117</v>
      </c>
      <c r="AF70" s="31">
        <v>3333</v>
      </c>
      <c r="AG70" s="31">
        <v>3333</v>
      </c>
      <c r="AH70" s="239" t="s">
        <v>2540</v>
      </c>
      <c r="AI70" s="243">
        <v>42255</v>
      </c>
      <c r="AJ70" s="243">
        <v>42993</v>
      </c>
      <c r="AK70" s="167" t="s">
        <v>1618</v>
      </c>
      <c r="AL70" s="245" t="s">
        <v>117</v>
      </c>
      <c r="AM70" s="245" t="s">
        <v>131</v>
      </c>
      <c r="AN70" s="245" t="s">
        <v>131</v>
      </c>
      <c r="AO70" s="245" t="s">
        <v>131</v>
      </c>
      <c r="AP70" s="245"/>
      <c r="AQ70" s="168" t="s">
        <v>3001</v>
      </c>
      <c r="AR70" s="171" t="s">
        <v>2022</v>
      </c>
      <c r="AS70" s="75" t="s">
        <v>180</v>
      </c>
      <c r="AT70" s="75" t="s">
        <v>117</v>
      </c>
      <c r="AU70" s="240" t="s">
        <v>138</v>
      </c>
      <c r="AV70" s="75" t="s">
        <v>814</v>
      </c>
      <c r="AW70" s="123">
        <f>IFERROR(VLOOKUP(AV70,'공직유관단체 코드'!$C$5:$D$1037,2,),"")</f>
        <v>660</v>
      </c>
      <c r="AX70" s="133">
        <v>0.373</v>
      </c>
      <c r="AY70" s="23">
        <v>41696</v>
      </c>
      <c r="AZ70" s="23">
        <v>42993</v>
      </c>
      <c r="BA70" s="173">
        <f t="shared" si="11"/>
        <v>3.5534246575342467</v>
      </c>
      <c r="BB70" s="88"/>
      <c r="BC70" s="245" t="s">
        <v>2922</v>
      </c>
      <c r="BD70" s="72" t="s">
        <v>2924</v>
      </c>
      <c r="BE70" s="55" t="s">
        <v>2923</v>
      </c>
    </row>
    <row r="71" spans="5:57">
      <c r="E71" s="245" t="s">
        <v>2487</v>
      </c>
      <c r="F71" s="87">
        <f t="shared" si="3"/>
        <v>790712</v>
      </c>
      <c r="G71" s="72" t="s">
        <v>2474</v>
      </c>
      <c r="H71" s="139">
        <f t="shared" ca="1" si="8"/>
        <v>5.0356164383561648</v>
      </c>
      <c r="I71" s="70" t="s">
        <v>2491</v>
      </c>
      <c r="J71" s="243">
        <v>41155</v>
      </c>
      <c r="K71" s="243">
        <v>42993</v>
      </c>
      <c r="L71" s="139">
        <f t="shared" ca="1" si="9"/>
        <v>5.0356164383561648</v>
      </c>
      <c r="M71" s="88" t="s">
        <v>2227</v>
      </c>
      <c r="N71" s="159" t="s">
        <v>71</v>
      </c>
      <c r="O71" s="156" t="s">
        <v>2228</v>
      </c>
      <c r="P71" s="268" t="s">
        <v>117</v>
      </c>
      <c r="Q71" s="240" t="s">
        <v>2535</v>
      </c>
      <c r="R71" s="243">
        <v>42255</v>
      </c>
      <c r="S71" s="240" t="s">
        <v>133</v>
      </c>
      <c r="T71" s="31">
        <v>3333</v>
      </c>
      <c r="U71" s="136">
        <v>2E-3</v>
      </c>
      <c r="V71" s="70" t="s">
        <v>1193</v>
      </c>
      <c r="W71" s="71"/>
      <c r="X71" s="23"/>
      <c r="Y71" s="31"/>
      <c r="Z71" s="31"/>
      <c r="AA71" s="70"/>
      <c r="AB71" s="52" t="str">
        <f t="shared" si="10"/>
        <v/>
      </c>
      <c r="AC71" s="73" t="s">
        <v>117</v>
      </c>
      <c r="AD71" s="174"/>
      <c r="AE71" s="245" t="s">
        <v>117</v>
      </c>
      <c r="AF71" s="31">
        <v>3333</v>
      </c>
      <c r="AG71" s="31">
        <v>3333</v>
      </c>
      <c r="AH71" s="239" t="s">
        <v>2540</v>
      </c>
      <c r="AI71" s="243">
        <v>42255</v>
      </c>
      <c r="AJ71" s="243">
        <v>42993</v>
      </c>
      <c r="AK71" s="167" t="s">
        <v>1618</v>
      </c>
      <c r="AL71" s="245" t="s">
        <v>117</v>
      </c>
      <c r="AM71" s="245" t="s">
        <v>131</v>
      </c>
      <c r="AN71" s="245" t="s">
        <v>131</v>
      </c>
      <c r="AO71" s="245" t="s">
        <v>131</v>
      </c>
      <c r="AP71" s="245"/>
      <c r="AQ71" s="168" t="s">
        <v>3001</v>
      </c>
      <c r="AR71" s="171" t="s">
        <v>2024</v>
      </c>
      <c r="AS71" s="75" t="s">
        <v>180</v>
      </c>
      <c r="AT71" s="75" t="s">
        <v>131</v>
      </c>
      <c r="AU71" s="240" t="s">
        <v>138</v>
      </c>
      <c r="AV71" s="75" t="s">
        <v>1231</v>
      </c>
      <c r="AW71" s="123">
        <f>IFERROR(VLOOKUP(AV71,'공직유관단체 코드'!$C$5:$D$1037,2,),"")</f>
        <v>569</v>
      </c>
      <c r="AX71" s="133">
        <v>0.02</v>
      </c>
      <c r="AY71" s="23">
        <v>41862</v>
      </c>
      <c r="AZ71" s="23">
        <v>42993</v>
      </c>
      <c r="BA71" s="173">
        <f t="shared" si="11"/>
        <v>3.0986301369863014</v>
      </c>
      <c r="BB71" s="88"/>
      <c r="BC71" s="245" t="s">
        <v>2922</v>
      </c>
      <c r="BD71" s="72" t="s">
        <v>2924</v>
      </c>
      <c r="BE71" s="55" t="s">
        <v>2923</v>
      </c>
    </row>
    <row r="72" spans="5:57">
      <c r="E72" s="245" t="s">
        <v>2487</v>
      </c>
      <c r="F72" s="87">
        <f t="shared" si="3"/>
        <v>790712</v>
      </c>
      <c r="G72" s="72" t="s">
        <v>2474</v>
      </c>
      <c r="H72" s="139">
        <f t="shared" ca="1" si="8"/>
        <v>5.0356164383561648</v>
      </c>
      <c r="I72" s="70" t="s">
        <v>2491</v>
      </c>
      <c r="J72" s="243">
        <v>41155</v>
      </c>
      <c r="K72" s="243">
        <v>42993</v>
      </c>
      <c r="L72" s="139">
        <f t="shared" ca="1" si="9"/>
        <v>5.0356164383561648</v>
      </c>
      <c r="M72" s="88" t="s">
        <v>2227</v>
      </c>
      <c r="N72" s="159" t="s">
        <v>71</v>
      </c>
      <c r="O72" s="156" t="s">
        <v>2228</v>
      </c>
      <c r="P72" s="268" t="s">
        <v>117</v>
      </c>
      <c r="Q72" s="240" t="s">
        <v>2535</v>
      </c>
      <c r="R72" s="243">
        <v>42255</v>
      </c>
      <c r="S72" s="240" t="s">
        <v>133</v>
      </c>
      <c r="T72" s="31">
        <v>3333</v>
      </c>
      <c r="U72" s="136">
        <v>2E-3</v>
      </c>
      <c r="V72" s="70" t="s">
        <v>1193</v>
      </c>
      <c r="W72" s="71"/>
      <c r="X72" s="23"/>
      <c r="Y72" s="31"/>
      <c r="Z72" s="31"/>
      <c r="AA72" s="70"/>
      <c r="AB72" s="52" t="str">
        <f t="shared" si="10"/>
        <v/>
      </c>
      <c r="AC72" s="73" t="s">
        <v>117</v>
      </c>
      <c r="AD72" s="174"/>
      <c r="AE72" s="245" t="s">
        <v>117</v>
      </c>
      <c r="AF72" s="31">
        <v>3333</v>
      </c>
      <c r="AG72" s="31">
        <v>3333</v>
      </c>
      <c r="AH72" s="239" t="s">
        <v>2540</v>
      </c>
      <c r="AI72" s="243">
        <v>42255</v>
      </c>
      <c r="AJ72" s="243">
        <v>42993</v>
      </c>
      <c r="AK72" s="167" t="s">
        <v>1618</v>
      </c>
      <c r="AL72" s="245" t="s">
        <v>117</v>
      </c>
      <c r="AM72" s="245" t="s">
        <v>131</v>
      </c>
      <c r="AN72" s="245" t="s">
        <v>131</v>
      </c>
      <c r="AO72" s="245" t="s">
        <v>131</v>
      </c>
      <c r="AP72" s="245"/>
      <c r="AQ72" s="168" t="s">
        <v>3001</v>
      </c>
      <c r="AR72" s="171" t="s">
        <v>2021</v>
      </c>
      <c r="AS72" s="75" t="s">
        <v>180</v>
      </c>
      <c r="AT72" s="75" t="s">
        <v>117</v>
      </c>
      <c r="AU72" s="240" t="s">
        <v>128</v>
      </c>
      <c r="AV72" s="75" t="s">
        <v>1110</v>
      </c>
      <c r="AW72" s="123">
        <f>IFERROR(VLOOKUP(AV72,'공직유관단체 코드'!$C$5:$D$1037,2,),"")</f>
        <v>957</v>
      </c>
      <c r="AX72" s="133">
        <v>0.50900000000000001</v>
      </c>
      <c r="AY72" s="23">
        <v>41528</v>
      </c>
      <c r="AZ72" s="23">
        <v>42993</v>
      </c>
      <c r="BA72" s="173">
        <f t="shared" si="11"/>
        <v>4.0136986301369859</v>
      </c>
      <c r="BB72" s="88"/>
      <c r="BC72" s="245" t="s">
        <v>2922</v>
      </c>
      <c r="BD72" s="72" t="s">
        <v>2924</v>
      </c>
      <c r="BE72" s="55" t="s">
        <v>2923</v>
      </c>
    </row>
    <row r="73" spans="5:57">
      <c r="E73" s="245" t="s">
        <v>2487</v>
      </c>
      <c r="F73" s="87">
        <f t="shared" si="3"/>
        <v>790712</v>
      </c>
      <c r="G73" s="72" t="s">
        <v>2474</v>
      </c>
      <c r="H73" s="139">
        <f t="shared" ca="1" si="8"/>
        <v>5.0356164383561648</v>
      </c>
      <c r="I73" s="70" t="s">
        <v>2491</v>
      </c>
      <c r="J73" s="243">
        <v>41155</v>
      </c>
      <c r="K73" s="243">
        <v>42993</v>
      </c>
      <c r="L73" s="139">
        <f t="shared" ca="1" si="9"/>
        <v>5.0356164383561648</v>
      </c>
      <c r="M73" s="88" t="s">
        <v>2220</v>
      </c>
      <c r="N73" s="159" t="s">
        <v>71</v>
      </c>
      <c r="O73" s="156" t="s">
        <v>2108</v>
      </c>
      <c r="P73" s="268" t="s">
        <v>117</v>
      </c>
      <c r="Q73" s="240" t="s">
        <v>2531</v>
      </c>
      <c r="R73" s="243">
        <v>42272</v>
      </c>
      <c r="S73" s="240" t="s">
        <v>116</v>
      </c>
      <c r="T73" s="31">
        <v>150</v>
      </c>
      <c r="U73" s="136">
        <v>4.0000000000000001E-3</v>
      </c>
      <c r="V73" s="70" t="s">
        <v>132</v>
      </c>
      <c r="W73" s="71">
        <v>-1</v>
      </c>
      <c r="X73" s="23">
        <v>42704</v>
      </c>
      <c r="Y73" s="31"/>
      <c r="Z73" s="31"/>
      <c r="AA73" s="70"/>
      <c r="AB73" s="52">
        <f t="shared" si="10"/>
        <v>1.1835616438356165</v>
      </c>
      <c r="AC73" s="73" t="s">
        <v>131</v>
      </c>
      <c r="AD73" s="174">
        <v>150</v>
      </c>
      <c r="AE73" s="245" t="s">
        <v>117</v>
      </c>
      <c r="AF73" s="31">
        <v>150</v>
      </c>
      <c r="AG73" s="31">
        <v>0</v>
      </c>
      <c r="AH73" s="239" t="s">
        <v>2540</v>
      </c>
      <c r="AI73" s="243">
        <v>42272</v>
      </c>
      <c r="AJ73" s="243">
        <v>42993</v>
      </c>
      <c r="AK73" s="167" t="s">
        <v>1618</v>
      </c>
      <c r="AL73" s="245" t="s">
        <v>117</v>
      </c>
      <c r="AM73" s="245" t="s">
        <v>131</v>
      </c>
      <c r="AN73" s="245" t="s">
        <v>131</v>
      </c>
      <c r="AO73" s="245" t="s">
        <v>131</v>
      </c>
      <c r="AP73" s="245"/>
      <c r="AQ73" s="168" t="s">
        <v>3001</v>
      </c>
      <c r="AR73" s="171" t="s">
        <v>2022</v>
      </c>
      <c r="AS73" s="75" t="s">
        <v>180</v>
      </c>
      <c r="AT73" s="75" t="s">
        <v>117</v>
      </c>
      <c r="AU73" s="240" t="s">
        <v>138</v>
      </c>
      <c r="AV73" s="75" t="s">
        <v>814</v>
      </c>
      <c r="AW73" s="123">
        <f>IFERROR(VLOOKUP(AV73,'공직유관단체 코드'!$C$5:$D$1037,2,),"")</f>
        <v>660</v>
      </c>
      <c r="AX73" s="133">
        <v>0.373</v>
      </c>
      <c r="AY73" s="23">
        <v>41696</v>
      </c>
      <c r="AZ73" s="23">
        <v>42993</v>
      </c>
      <c r="BA73" s="173">
        <f t="shared" si="11"/>
        <v>3.5534246575342467</v>
      </c>
      <c r="BB73" s="88" t="s">
        <v>2199</v>
      </c>
      <c r="BC73" s="245" t="s">
        <v>2922</v>
      </c>
      <c r="BD73" s="72" t="s">
        <v>2924</v>
      </c>
      <c r="BE73" s="55" t="s">
        <v>2923</v>
      </c>
    </row>
    <row r="74" spans="5:57">
      <c r="E74" s="245" t="s">
        <v>2487</v>
      </c>
      <c r="F74" s="87">
        <f t="shared" si="3"/>
        <v>790712</v>
      </c>
      <c r="G74" s="72" t="s">
        <v>2474</v>
      </c>
      <c r="H74" s="139">
        <f t="shared" ca="1" si="8"/>
        <v>5.0356164383561648</v>
      </c>
      <c r="I74" s="70" t="s">
        <v>2491</v>
      </c>
      <c r="J74" s="243">
        <v>41155</v>
      </c>
      <c r="K74" s="243">
        <v>42993</v>
      </c>
      <c r="L74" s="139">
        <f t="shared" ca="1" si="9"/>
        <v>5.0356164383561648</v>
      </c>
      <c r="M74" s="88" t="s">
        <v>2220</v>
      </c>
      <c r="N74" s="159" t="s">
        <v>71</v>
      </c>
      <c r="O74" s="156" t="s">
        <v>2108</v>
      </c>
      <c r="P74" s="268" t="s">
        <v>117</v>
      </c>
      <c r="Q74" s="240" t="s">
        <v>2531</v>
      </c>
      <c r="R74" s="243">
        <v>42272</v>
      </c>
      <c r="S74" s="240" t="s">
        <v>116</v>
      </c>
      <c r="T74" s="31">
        <v>150</v>
      </c>
      <c r="U74" s="136">
        <v>4.0000000000000001E-3</v>
      </c>
      <c r="V74" s="70" t="s">
        <v>132</v>
      </c>
      <c r="W74" s="71">
        <v>-1</v>
      </c>
      <c r="X74" s="23">
        <v>42704</v>
      </c>
      <c r="Y74" s="31"/>
      <c r="Z74" s="31"/>
      <c r="AA74" s="70"/>
      <c r="AB74" s="52">
        <f t="shared" si="10"/>
        <v>1.1835616438356165</v>
      </c>
      <c r="AC74" s="73" t="s">
        <v>131</v>
      </c>
      <c r="AD74" s="174">
        <v>150</v>
      </c>
      <c r="AE74" s="245" t="s">
        <v>117</v>
      </c>
      <c r="AF74" s="31">
        <v>150</v>
      </c>
      <c r="AG74" s="31">
        <v>0</v>
      </c>
      <c r="AH74" s="239" t="s">
        <v>2540</v>
      </c>
      <c r="AI74" s="243">
        <v>42272</v>
      </c>
      <c r="AJ74" s="243">
        <v>42993</v>
      </c>
      <c r="AK74" s="167" t="s">
        <v>1618</v>
      </c>
      <c r="AL74" s="245" t="s">
        <v>117</v>
      </c>
      <c r="AM74" s="245" t="s">
        <v>131</v>
      </c>
      <c r="AN74" s="245" t="s">
        <v>131</v>
      </c>
      <c r="AO74" s="245" t="s">
        <v>131</v>
      </c>
      <c r="AP74" s="245"/>
      <c r="AQ74" s="168" t="s">
        <v>3003</v>
      </c>
      <c r="AR74" s="171" t="s">
        <v>2021</v>
      </c>
      <c r="AS74" s="75" t="s">
        <v>180</v>
      </c>
      <c r="AT74" s="75" t="s">
        <v>117</v>
      </c>
      <c r="AU74" s="240" t="s">
        <v>128</v>
      </c>
      <c r="AV74" s="75" t="s">
        <v>1110</v>
      </c>
      <c r="AW74" s="123">
        <f>IFERROR(VLOOKUP(AV74,'공직유관단체 코드'!$C$5:$D$1037,2,),"")</f>
        <v>957</v>
      </c>
      <c r="AX74" s="133">
        <v>0.50900000000000001</v>
      </c>
      <c r="AY74" s="23">
        <v>41528</v>
      </c>
      <c r="AZ74" s="23">
        <v>42993</v>
      </c>
      <c r="BA74" s="173">
        <f t="shared" si="11"/>
        <v>4.0136986301369859</v>
      </c>
      <c r="BB74" s="88" t="s">
        <v>2199</v>
      </c>
      <c r="BC74" s="245" t="s">
        <v>2922</v>
      </c>
      <c r="BD74" s="72" t="s">
        <v>2924</v>
      </c>
      <c r="BE74" s="55" t="s">
        <v>2923</v>
      </c>
    </row>
    <row r="75" spans="5:57">
      <c r="E75" s="245" t="s">
        <v>2487</v>
      </c>
      <c r="F75" s="87">
        <f t="shared" si="3"/>
        <v>790712</v>
      </c>
      <c r="G75" s="72" t="s">
        <v>2474</v>
      </c>
      <c r="H75" s="139">
        <f t="shared" ca="1" si="8"/>
        <v>5.0356164383561648</v>
      </c>
      <c r="I75" s="70" t="s">
        <v>2491</v>
      </c>
      <c r="J75" s="243">
        <v>41155</v>
      </c>
      <c r="K75" s="243">
        <v>42993</v>
      </c>
      <c r="L75" s="139">
        <f t="shared" ca="1" si="9"/>
        <v>5.0356164383561648</v>
      </c>
      <c r="M75" s="88" t="s">
        <v>2267</v>
      </c>
      <c r="N75" s="159" t="s">
        <v>71</v>
      </c>
      <c r="O75" s="156" t="s">
        <v>2268</v>
      </c>
      <c r="P75" s="268" t="s">
        <v>131</v>
      </c>
      <c r="Q75" s="240" t="s">
        <v>2536</v>
      </c>
      <c r="R75" s="243">
        <v>42367</v>
      </c>
      <c r="S75" s="240" t="s">
        <v>133</v>
      </c>
      <c r="T75" s="31">
        <v>1644</v>
      </c>
      <c r="U75" s="136">
        <v>2.3E-2</v>
      </c>
      <c r="V75" s="70" t="s">
        <v>1192</v>
      </c>
      <c r="W75" s="71"/>
      <c r="X75" s="23">
        <v>42822</v>
      </c>
      <c r="Y75" s="31">
        <v>82</v>
      </c>
      <c r="Z75" s="31">
        <v>0</v>
      </c>
      <c r="AA75" s="70" t="s">
        <v>137</v>
      </c>
      <c r="AB75" s="52">
        <f t="shared" si="10"/>
        <v>1.2465753424657535</v>
      </c>
      <c r="AC75" s="73" t="s">
        <v>117</v>
      </c>
      <c r="AD75" s="174"/>
      <c r="AE75" s="245" t="s">
        <v>117</v>
      </c>
      <c r="AF75" s="31">
        <v>1644</v>
      </c>
      <c r="AG75" s="31">
        <v>1644</v>
      </c>
      <c r="AH75" s="239" t="s">
        <v>2540</v>
      </c>
      <c r="AI75" s="243">
        <v>42367</v>
      </c>
      <c r="AJ75" s="243">
        <v>42993</v>
      </c>
      <c r="AK75" s="167" t="s">
        <v>1618</v>
      </c>
      <c r="AL75" s="245" t="s">
        <v>117</v>
      </c>
      <c r="AM75" s="245" t="s">
        <v>131</v>
      </c>
      <c r="AN75" s="245" t="s">
        <v>131</v>
      </c>
      <c r="AO75" s="245" t="s">
        <v>131</v>
      </c>
      <c r="AP75" s="245" t="s">
        <v>131</v>
      </c>
      <c r="AQ75" s="168" t="s">
        <v>2997</v>
      </c>
      <c r="AR75" s="171" t="s">
        <v>2022</v>
      </c>
      <c r="AS75" s="75" t="s">
        <v>180</v>
      </c>
      <c r="AT75" s="75" t="s">
        <v>117</v>
      </c>
      <c r="AU75" s="240" t="s">
        <v>138</v>
      </c>
      <c r="AV75" s="75" t="s">
        <v>814</v>
      </c>
      <c r="AW75" s="123">
        <f>IFERROR(VLOOKUP(AV75,'공직유관단체 코드'!$C$5:$D$1037,2,),"")</f>
        <v>660</v>
      </c>
      <c r="AX75" s="133">
        <v>0.373</v>
      </c>
      <c r="AY75" s="23">
        <v>41696</v>
      </c>
      <c r="AZ75" s="23">
        <v>42993</v>
      </c>
      <c r="BA75" s="173">
        <f t="shared" si="11"/>
        <v>3.5534246575342467</v>
      </c>
      <c r="BB75" s="88" t="s">
        <v>2145</v>
      </c>
      <c r="BC75" s="245" t="s">
        <v>2922</v>
      </c>
      <c r="BD75" s="72" t="s">
        <v>2924</v>
      </c>
      <c r="BE75" s="55" t="s">
        <v>2923</v>
      </c>
    </row>
    <row r="76" spans="5:57">
      <c r="E76" s="245" t="s">
        <v>2487</v>
      </c>
      <c r="F76" s="87">
        <f t="shared" si="3"/>
        <v>790712</v>
      </c>
      <c r="G76" s="72" t="s">
        <v>2474</v>
      </c>
      <c r="H76" s="139">
        <f t="shared" ca="1" si="8"/>
        <v>5.0356164383561648</v>
      </c>
      <c r="I76" s="70" t="s">
        <v>2491</v>
      </c>
      <c r="J76" s="243">
        <v>41155</v>
      </c>
      <c r="K76" s="243">
        <v>42993</v>
      </c>
      <c r="L76" s="139">
        <f t="shared" ca="1" si="9"/>
        <v>5.0356164383561648</v>
      </c>
      <c r="M76" s="88" t="s">
        <v>2270</v>
      </c>
      <c r="N76" s="159" t="s">
        <v>71</v>
      </c>
      <c r="O76" s="156" t="s">
        <v>2133</v>
      </c>
      <c r="P76" s="268" t="s">
        <v>131</v>
      </c>
      <c r="Q76" s="240" t="s">
        <v>2537</v>
      </c>
      <c r="R76" s="243">
        <v>42367</v>
      </c>
      <c r="S76" s="240" t="s">
        <v>133</v>
      </c>
      <c r="T76" s="31">
        <v>92</v>
      </c>
      <c r="U76" s="136">
        <v>0.02</v>
      </c>
      <c r="V76" s="70" t="s">
        <v>1192</v>
      </c>
      <c r="W76" s="71"/>
      <c r="X76" s="23">
        <v>42818</v>
      </c>
      <c r="Y76" s="31">
        <v>6</v>
      </c>
      <c r="Z76" s="31">
        <v>1</v>
      </c>
      <c r="AA76" s="70" t="s">
        <v>137</v>
      </c>
      <c r="AB76" s="52">
        <f t="shared" si="10"/>
        <v>1.2356164383561643</v>
      </c>
      <c r="AC76" s="73" t="s">
        <v>117</v>
      </c>
      <c r="AD76" s="174"/>
      <c r="AE76" s="245" t="s">
        <v>117</v>
      </c>
      <c r="AF76" s="31">
        <v>91</v>
      </c>
      <c r="AG76" s="31">
        <v>91</v>
      </c>
      <c r="AH76" s="239" t="s">
        <v>2540</v>
      </c>
      <c r="AI76" s="243">
        <v>42367</v>
      </c>
      <c r="AJ76" s="243">
        <v>42993</v>
      </c>
      <c r="AK76" s="167" t="s">
        <v>1618</v>
      </c>
      <c r="AL76" s="245" t="s">
        <v>117</v>
      </c>
      <c r="AM76" s="245" t="s">
        <v>131</v>
      </c>
      <c r="AN76" s="245" t="s">
        <v>131</v>
      </c>
      <c r="AO76" s="245" t="s">
        <v>131</v>
      </c>
      <c r="AP76" s="245" t="s">
        <v>131</v>
      </c>
      <c r="AQ76" s="168" t="s">
        <v>2997</v>
      </c>
      <c r="AR76" s="171" t="s">
        <v>2022</v>
      </c>
      <c r="AS76" s="75" t="s">
        <v>180</v>
      </c>
      <c r="AT76" s="75" t="s">
        <v>117</v>
      </c>
      <c r="AU76" s="240" t="s">
        <v>138</v>
      </c>
      <c r="AV76" s="75" t="s">
        <v>814</v>
      </c>
      <c r="AW76" s="123">
        <f>IFERROR(VLOOKUP(AV76,'공직유관단체 코드'!$C$5:$D$1037,2,),"")</f>
        <v>660</v>
      </c>
      <c r="AX76" s="133">
        <v>0.373</v>
      </c>
      <c r="AY76" s="23">
        <v>41696</v>
      </c>
      <c r="AZ76" s="23">
        <v>42993</v>
      </c>
      <c r="BA76" s="173">
        <f t="shared" si="11"/>
        <v>3.5534246575342467</v>
      </c>
      <c r="BB76" s="88" t="s">
        <v>2273</v>
      </c>
      <c r="BC76" s="245" t="s">
        <v>2922</v>
      </c>
      <c r="BD76" s="72" t="s">
        <v>2924</v>
      </c>
      <c r="BE76" s="55" t="s">
        <v>2923</v>
      </c>
    </row>
    <row r="77" spans="5:57">
      <c r="E77" s="245" t="s">
        <v>2487</v>
      </c>
      <c r="F77" s="87">
        <f t="shared" si="3"/>
        <v>790712</v>
      </c>
      <c r="G77" s="72" t="s">
        <v>2474</v>
      </c>
      <c r="H77" s="139">
        <f t="shared" ca="1" si="8"/>
        <v>5.0356164383561648</v>
      </c>
      <c r="I77" s="70" t="s">
        <v>2491</v>
      </c>
      <c r="J77" s="243">
        <v>41155</v>
      </c>
      <c r="K77" s="243">
        <v>42993</v>
      </c>
      <c r="L77" s="139">
        <f t="shared" ca="1" si="9"/>
        <v>5.0356164383561648</v>
      </c>
      <c r="M77" s="88" t="s">
        <v>2269</v>
      </c>
      <c r="N77" s="159" t="s">
        <v>71</v>
      </c>
      <c r="O77" s="156" t="s">
        <v>2133</v>
      </c>
      <c r="P77" s="268" t="s">
        <v>131</v>
      </c>
      <c r="Q77" s="240" t="s">
        <v>2537</v>
      </c>
      <c r="R77" s="243">
        <v>42367</v>
      </c>
      <c r="S77" s="240" t="s">
        <v>133</v>
      </c>
      <c r="T77" s="31">
        <v>262</v>
      </c>
      <c r="U77" s="136">
        <v>0.02</v>
      </c>
      <c r="V77" s="70" t="s">
        <v>1192</v>
      </c>
      <c r="W77" s="71"/>
      <c r="X77" s="23">
        <v>42818</v>
      </c>
      <c r="Y77" s="31">
        <v>13</v>
      </c>
      <c r="Z77" s="31">
        <v>0</v>
      </c>
      <c r="AA77" s="70" t="s">
        <v>137</v>
      </c>
      <c r="AB77" s="52">
        <f t="shared" si="10"/>
        <v>1.2356164383561643</v>
      </c>
      <c r="AC77" s="73" t="s">
        <v>117</v>
      </c>
      <c r="AD77" s="174"/>
      <c r="AE77" s="245" t="s">
        <v>117</v>
      </c>
      <c r="AF77" s="31">
        <v>262</v>
      </c>
      <c r="AG77" s="31">
        <v>262</v>
      </c>
      <c r="AH77" s="239" t="s">
        <v>2540</v>
      </c>
      <c r="AI77" s="243">
        <v>42367</v>
      </c>
      <c r="AJ77" s="243">
        <v>42993</v>
      </c>
      <c r="AK77" s="167" t="s">
        <v>1618</v>
      </c>
      <c r="AL77" s="245" t="s">
        <v>117</v>
      </c>
      <c r="AM77" s="245" t="s">
        <v>131</v>
      </c>
      <c r="AN77" s="245" t="s">
        <v>131</v>
      </c>
      <c r="AO77" s="245" t="s">
        <v>131</v>
      </c>
      <c r="AP77" s="245" t="s">
        <v>131</v>
      </c>
      <c r="AQ77" s="168" t="s">
        <v>2997</v>
      </c>
      <c r="AR77" s="171" t="s">
        <v>2022</v>
      </c>
      <c r="AS77" s="75" t="s">
        <v>180</v>
      </c>
      <c r="AT77" s="75" t="s">
        <v>117</v>
      </c>
      <c r="AU77" s="240" t="s">
        <v>138</v>
      </c>
      <c r="AV77" s="75" t="s">
        <v>814</v>
      </c>
      <c r="AW77" s="123">
        <f>IFERROR(VLOOKUP(AV77,'공직유관단체 코드'!$C$5:$D$1037,2,),"")</f>
        <v>660</v>
      </c>
      <c r="AX77" s="133">
        <v>0.373</v>
      </c>
      <c r="AY77" s="23">
        <v>41696</v>
      </c>
      <c r="AZ77" s="23">
        <v>42993</v>
      </c>
      <c r="BA77" s="173">
        <f t="shared" si="11"/>
        <v>3.5534246575342467</v>
      </c>
      <c r="BB77" s="88" t="s">
        <v>2145</v>
      </c>
      <c r="BC77" s="245" t="s">
        <v>2922</v>
      </c>
      <c r="BD77" s="72" t="s">
        <v>2924</v>
      </c>
      <c r="BE77" s="55" t="s">
        <v>2923</v>
      </c>
    </row>
    <row r="78" spans="5:57">
      <c r="E78" s="245" t="s">
        <v>2487</v>
      </c>
      <c r="F78" s="87">
        <f t="shared" si="3"/>
        <v>790712</v>
      </c>
      <c r="G78" s="72" t="s">
        <v>2474</v>
      </c>
      <c r="H78" s="139">
        <f t="shared" ca="1" si="8"/>
        <v>5.0356164383561648</v>
      </c>
      <c r="I78" s="70" t="s">
        <v>2491</v>
      </c>
      <c r="J78" s="243">
        <v>41155</v>
      </c>
      <c r="K78" s="243">
        <v>42993</v>
      </c>
      <c r="L78" s="139">
        <f t="shared" ca="1" si="9"/>
        <v>5.0356164383561648</v>
      </c>
      <c r="M78" s="88" t="s">
        <v>2267</v>
      </c>
      <c r="N78" s="159" t="s">
        <v>71</v>
      </c>
      <c r="O78" s="156" t="s">
        <v>2268</v>
      </c>
      <c r="P78" s="268" t="s">
        <v>131</v>
      </c>
      <c r="Q78" s="240" t="s">
        <v>2536</v>
      </c>
      <c r="R78" s="243">
        <v>42367</v>
      </c>
      <c r="S78" s="240" t="s">
        <v>133</v>
      </c>
      <c r="T78" s="31">
        <v>1644</v>
      </c>
      <c r="U78" s="136">
        <v>2.3E-2</v>
      </c>
      <c r="V78" s="70" t="s">
        <v>1192</v>
      </c>
      <c r="W78" s="71"/>
      <c r="X78" s="23">
        <v>42822</v>
      </c>
      <c r="Y78" s="31">
        <v>82</v>
      </c>
      <c r="Z78" s="31">
        <v>0</v>
      </c>
      <c r="AA78" s="70" t="s">
        <v>137</v>
      </c>
      <c r="AB78" s="52">
        <f t="shared" si="10"/>
        <v>1.2465753424657535</v>
      </c>
      <c r="AC78" s="73" t="s">
        <v>117</v>
      </c>
      <c r="AD78" s="174"/>
      <c r="AE78" s="245" t="s">
        <v>117</v>
      </c>
      <c r="AF78" s="31">
        <v>1644</v>
      </c>
      <c r="AG78" s="31">
        <v>1644</v>
      </c>
      <c r="AH78" s="239" t="s">
        <v>2540</v>
      </c>
      <c r="AI78" s="243">
        <v>42367</v>
      </c>
      <c r="AJ78" s="243">
        <v>42993</v>
      </c>
      <c r="AK78" s="167" t="s">
        <v>1618</v>
      </c>
      <c r="AL78" s="245" t="s">
        <v>117</v>
      </c>
      <c r="AM78" s="245" t="s">
        <v>131</v>
      </c>
      <c r="AN78" s="245" t="s">
        <v>131</v>
      </c>
      <c r="AO78" s="245" t="s">
        <v>131</v>
      </c>
      <c r="AP78" s="245" t="s">
        <v>131</v>
      </c>
      <c r="AQ78" s="168" t="s">
        <v>2997</v>
      </c>
      <c r="AR78" s="171" t="s">
        <v>2024</v>
      </c>
      <c r="AS78" s="75" t="s">
        <v>180</v>
      </c>
      <c r="AT78" s="75" t="s">
        <v>131</v>
      </c>
      <c r="AU78" s="240" t="s">
        <v>138</v>
      </c>
      <c r="AV78" s="75" t="s">
        <v>1231</v>
      </c>
      <c r="AW78" s="123">
        <f>IFERROR(VLOOKUP(AV78,'공직유관단체 코드'!$C$5:$D$1037,2,),"")</f>
        <v>569</v>
      </c>
      <c r="AX78" s="133">
        <v>0.02</v>
      </c>
      <c r="AY78" s="23">
        <v>41862</v>
      </c>
      <c r="AZ78" s="23">
        <v>42993</v>
      </c>
      <c r="BA78" s="173">
        <f t="shared" si="11"/>
        <v>3.0986301369863014</v>
      </c>
      <c r="BB78" s="88" t="s">
        <v>2145</v>
      </c>
      <c r="BC78" s="245" t="s">
        <v>2922</v>
      </c>
      <c r="BD78" s="72" t="s">
        <v>2924</v>
      </c>
      <c r="BE78" s="55" t="s">
        <v>2923</v>
      </c>
    </row>
    <row r="79" spans="5:57">
      <c r="E79" s="245" t="s">
        <v>2487</v>
      </c>
      <c r="F79" s="87">
        <f t="shared" si="3"/>
        <v>790712</v>
      </c>
      <c r="G79" s="72" t="s">
        <v>2474</v>
      </c>
      <c r="H79" s="139">
        <f t="shared" ca="1" si="8"/>
        <v>5.0356164383561648</v>
      </c>
      <c r="I79" s="70" t="s">
        <v>2491</v>
      </c>
      <c r="J79" s="243">
        <v>41155</v>
      </c>
      <c r="K79" s="243">
        <v>42993</v>
      </c>
      <c r="L79" s="139">
        <f t="shared" ca="1" si="9"/>
        <v>5.0356164383561648</v>
      </c>
      <c r="M79" s="88" t="s">
        <v>2270</v>
      </c>
      <c r="N79" s="159" t="s">
        <v>71</v>
      </c>
      <c r="O79" s="156" t="s">
        <v>2133</v>
      </c>
      <c r="P79" s="268" t="s">
        <v>131</v>
      </c>
      <c r="Q79" s="240" t="s">
        <v>2537</v>
      </c>
      <c r="R79" s="243">
        <v>42367</v>
      </c>
      <c r="S79" s="240" t="s">
        <v>133</v>
      </c>
      <c r="T79" s="31">
        <v>92</v>
      </c>
      <c r="U79" s="136">
        <v>0.02</v>
      </c>
      <c r="V79" s="70" t="s">
        <v>1192</v>
      </c>
      <c r="W79" s="71"/>
      <c r="X79" s="23">
        <v>42818</v>
      </c>
      <c r="Y79" s="31">
        <v>6</v>
      </c>
      <c r="Z79" s="31">
        <v>1</v>
      </c>
      <c r="AA79" s="70" t="s">
        <v>137</v>
      </c>
      <c r="AB79" s="52">
        <f t="shared" si="10"/>
        <v>1.2356164383561643</v>
      </c>
      <c r="AC79" s="73" t="s">
        <v>117</v>
      </c>
      <c r="AD79" s="174"/>
      <c r="AE79" s="245" t="s">
        <v>117</v>
      </c>
      <c r="AF79" s="31">
        <v>91</v>
      </c>
      <c r="AG79" s="31">
        <v>91</v>
      </c>
      <c r="AH79" s="239" t="s">
        <v>2540</v>
      </c>
      <c r="AI79" s="243">
        <v>42367</v>
      </c>
      <c r="AJ79" s="243">
        <v>42993</v>
      </c>
      <c r="AK79" s="167" t="s">
        <v>1618</v>
      </c>
      <c r="AL79" s="245" t="s">
        <v>117</v>
      </c>
      <c r="AM79" s="245" t="s">
        <v>131</v>
      </c>
      <c r="AN79" s="245" t="s">
        <v>131</v>
      </c>
      <c r="AO79" s="245" t="s">
        <v>131</v>
      </c>
      <c r="AP79" s="245" t="s">
        <v>131</v>
      </c>
      <c r="AQ79" s="168" t="s">
        <v>2997</v>
      </c>
      <c r="AR79" s="171" t="s">
        <v>2024</v>
      </c>
      <c r="AS79" s="75" t="s">
        <v>180</v>
      </c>
      <c r="AT79" s="75" t="s">
        <v>131</v>
      </c>
      <c r="AU79" s="240" t="s">
        <v>138</v>
      </c>
      <c r="AV79" s="75" t="s">
        <v>1231</v>
      </c>
      <c r="AW79" s="123">
        <f>IFERROR(VLOOKUP(AV79,'공직유관단체 코드'!$C$5:$D$1037,2,),"")</f>
        <v>569</v>
      </c>
      <c r="AX79" s="133">
        <v>0.02</v>
      </c>
      <c r="AY79" s="23">
        <v>41862</v>
      </c>
      <c r="AZ79" s="23">
        <v>42993</v>
      </c>
      <c r="BA79" s="173">
        <f t="shared" si="11"/>
        <v>3.0986301369863014</v>
      </c>
      <c r="BB79" s="88" t="s">
        <v>2273</v>
      </c>
      <c r="BC79" s="245" t="s">
        <v>2922</v>
      </c>
      <c r="BD79" s="72" t="s">
        <v>2924</v>
      </c>
      <c r="BE79" s="55" t="s">
        <v>2923</v>
      </c>
    </row>
    <row r="80" spans="5:57">
      <c r="E80" s="245" t="s">
        <v>2487</v>
      </c>
      <c r="F80" s="87">
        <f t="shared" si="3"/>
        <v>790712</v>
      </c>
      <c r="G80" s="72" t="s">
        <v>2474</v>
      </c>
      <c r="H80" s="139">
        <f t="shared" ca="1" si="8"/>
        <v>5.0356164383561648</v>
      </c>
      <c r="I80" s="70" t="s">
        <v>2491</v>
      </c>
      <c r="J80" s="243">
        <v>41155</v>
      </c>
      <c r="K80" s="243">
        <v>42993</v>
      </c>
      <c r="L80" s="139">
        <f t="shared" ca="1" si="9"/>
        <v>5.0356164383561648</v>
      </c>
      <c r="M80" s="88" t="s">
        <v>2269</v>
      </c>
      <c r="N80" s="159" t="s">
        <v>71</v>
      </c>
      <c r="O80" s="156" t="s">
        <v>2133</v>
      </c>
      <c r="P80" s="268" t="s">
        <v>131</v>
      </c>
      <c r="Q80" s="240" t="s">
        <v>2537</v>
      </c>
      <c r="R80" s="243">
        <v>42367</v>
      </c>
      <c r="S80" s="240" t="s">
        <v>133</v>
      </c>
      <c r="T80" s="31">
        <v>262</v>
      </c>
      <c r="U80" s="136">
        <v>0.02</v>
      </c>
      <c r="V80" s="70" t="s">
        <v>1192</v>
      </c>
      <c r="W80" s="71"/>
      <c r="X80" s="23">
        <v>42818</v>
      </c>
      <c r="Y80" s="31">
        <v>13</v>
      </c>
      <c r="Z80" s="31">
        <v>0</v>
      </c>
      <c r="AA80" s="70" t="s">
        <v>137</v>
      </c>
      <c r="AB80" s="52">
        <f t="shared" si="10"/>
        <v>1.2356164383561643</v>
      </c>
      <c r="AC80" s="73" t="s">
        <v>117</v>
      </c>
      <c r="AD80" s="174"/>
      <c r="AE80" s="245" t="s">
        <v>117</v>
      </c>
      <c r="AF80" s="31">
        <v>262</v>
      </c>
      <c r="AG80" s="31">
        <v>262</v>
      </c>
      <c r="AH80" s="239" t="s">
        <v>2540</v>
      </c>
      <c r="AI80" s="243">
        <v>42367</v>
      </c>
      <c r="AJ80" s="243">
        <v>42993</v>
      </c>
      <c r="AK80" s="167" t="s">
        <v>1618</v>
      </c>
      <c r="AL80" s="245" t="s">
        <v>117</v>
      </c>
      <c r="AM80" s="245" t="s">
        <v>131</v>
      </c>
      <c r="AN80" s="245" t="s">
        <v>131</v>
      </c>
      <c r="AO80" s="245" t="s">
        <v>131</v>
      </c>
      <c r="AP80" s="245" t="s">
        <v>131</v>
      </c>
      <c r="AQ80" s="168" t="s">
        <v>2997</v>
      </c>
      <c r="AR80" s="171" t="s">
        <v>2024</v>
      </c>
      <c r="AS80" s="75" t="s">
        <v>180</v>
      </c>
      <c r="AT80" s="75" t="s">
        <v>131</v>
      </c>
      <c r="AU80" s="240" t="s">
        <v>138</v>
      </c>
      <c r="AV80" s="75" t="s">
        <v>1231</v>
      </c>
      <c r="AW80" s="123">
        <f>IFERROR(VLOOKUP(AV80,'공직유관단체 코드'!$C$5:$D$1037,2,),"")</f>
        <v>569</v>
      </c>
      <c r="AX80" s="133">
        <v>0.02</v>
      </c>
      <c r="AY80" s="23">
        <v>41862</v>
      </c>
      <c r="AZ80" s="23">
        <v>42993</v>
      </c>
      <c r="BA80" s="173">
        <f t="shared" si="11"/>
        <v>3.0986301369863014</v>
      </c>
      <c r="BB80" s="88" t="s">
        <v>3012</v>
      </c>
      <c r="BC80" s="245" t="s">
        <v>2922</v>
      </c>
      <c r="BD80" s="72" t="s">
        <v>2924</v>
      </c>
      <c r="BE80" s="55" t="s">
        <v>2923</v>
      </c>
    </row>
    <row r="81" spans="5:57">
      <c r="E81" s="245" t="s">
        <v>2487</v>
      </c>
      <c r="F81" s="87">
        <f t="shared" si="3"/>
        <v>790712</v>
      </c>
      <c r="G81" s="72" t="s">
        <v>2474</v>
      </c>
      <c r="H81" s="139">
        <f t="shared" ca="1" si="8"/>
        <v>5.0356164383561648</v>
      </c>
      <c r="I81" s="70" t="s">
        <v>2491</v>
      </c>
      <c r="J81" s="243">
        <v>41155</v>
      </c>
      <c r="K81" s="243">
        <v>42993</v>
      </c>
      <c r="L81" s="139">
        <f t="shared" ca="1" si="9"/>
        <v>5.0356164383561648</v>
      </c>
      <c r="M81" s="88" t="s">
        <v>2267</v>
      </c>
      <c r="N81" s="159" t="s">
        <v>71</v>
      </c>
      <c r="O81" s="156" t="s">
        <v>2268</v>
      </c>
      <c r="P81" s="268" t="s">
        <v>131</v>
      </c>
      <c r="Q81" s="240" t="s">
        <v>2536</v>
      </c>
      <c r="R81" s="243">
        <v>42367</v>
      </c>
      <c r="S81" s="240" t="s">
        <v>133</v>
      </c>
      <c r="T81" s="31">
        <v>21711</v>
      </c>
      <c r="U81" s="136">
        <v>0.29899999999999999</v>
      </c>
      <c r="V81" s="70" t="s">
        <v>1192</v>
      </c>
      <c r="W81" s="71"/>
      <c r="X81" s="23">
        <v>42822</v>
      </c>
      <c r="Y81" s="31">
        <v>1085</v>
      </c>
      <c r="Z81" s="31">
        <v>0</v>
      </c>
      <c r="AA81" s="70" t="s">
        <v>137</v>
      </c>
      <c r="AB81" s="52">
        <f t="shared" si="10"/>
        <v>1.2465753424657535</v>
      </c>
      <c r="AC81" s="73" t="s">
        <v>117</v>
      </c>
      <c r="AD81" s="174"/>
      <c r="AE81" s="245" t="s">
        <v>117</v>
      </c>
      <c r="AF81" s="31">
        <v>21711</v>
      </c>
      <c r="AG81" s="31">
        <v>18541</v>
      </c>
      <c r="AH81" s="239" t="s">
        <v>2540</v>
      </c>
      <c r="AI81" s="243">
        <v>42367</v>
      </c>
      <c r="AJ81" s="243">
        <v>42993</v>
      </c>
      <c r="AK81" s="167" t="s">
        <v>1618</v>
      </c>
      <c r="AL81" s="245" t="s">
        <v>117</v>
      </c>
      <c r="AM81" s="245" t="s">
        <v>131</v>
      </c>
      <c r="AN81" s="245" t="s">
        <v>131</v>
      </c>
      <c r="AO81" s="245" t="s">
        <v>131</v>
      </c>
      <c r="AP81" s="245" t="s">
        <v>131</v>
      </c>
      <c r="AQ81" s="168" t="s">
        <v>2997</v>
      </c>
      <c r="AR81" s="171" t="s">
        <v>2025</v>
      </c>
      <c r="AS81" s="75" t="s">
        <v>3</v>
      </c>
      <c r="AT81" s="75" t="s">
        <v>131</v>
      </c>
      <c r="AU81" s="240" t="s">
        <v>127</v>
      </c>
      <c r="AV81" s="75" t="s">
        <v>791</v>
      </c>
      <c r="AW81" s="123">
        <f>IFERROR(VLOOKUP(AV81,'공직유관단체 코드'!$C$5:$D$1037,2,),"")</f>
        <v>637</v>
      </c>
      <c r="AX81" s="133">
        <v>0.372</v>
      </c>
      <c r="AY81" s="23">
        <v>42360</v>
      </c>
      <c r="AZ81" s="23">
        <v>42993</v>
      </c>
      <c r="BA81" s="173">
        <f t="shared" si="11"/>
        <v>1.7342465753424658</v>
      </c>
      <c r="BB81" s="88" t="s">
        <v>2145</v>
      </c>
      <c r="BC81" s="245" t="s">
        <v>2922</v>
      </c>
      <c r="BD81" s="72" t="s">
        <v>2924</v>
      </c>
      <c r="BE81" s="55" t="s">
        <v>2923</v>
      </c>
    </row>
    <row r="82" spans="5:57">
      <c r="E82" s="245" t="s">
        <v>2487</v>
      </c>
      <c r="F82" s="87">
        <f t="shared" si="3"/>
        <v>790712</v>
      </c>
      <c r="G82" s="72" t="s">
        <v>2474</v>
      </c>
      <c r="H82" s="139">
        <f t="shared" ca="1" si="8"/>
        <v>5.0356164383561648</v>
      </c>
      <c r="I82" s="70" t="s">
        <v>2491</v>
      </c>
      <c r="J82" s="243">
        <v>41155</v>
      </c>
      <c r="K82" s="243">
        <v>42993</v>
      </c>
      <c r="L82" s="139">
        <f t="shared" ca="1" si="9"/>
        <v>5.0356164383561648</v>
      </c>
      <c r="M82" s="88" t="s">
        <v>2270</v>
      </c>
      <c r="N82" s="159" t="s">
        <v>71</v>
      </c>
      <c r="O82" s="156" t="s">
        <v>2133</v>
      </c>
      <c r="P82" s="268" t="s">
        <v>131</v>
      </c>
      <c r="Q82" s="240" t="s">
        <v>2537</v>
      </c>
      <c r="R82" s="243">
        <v>42367</v>
      </c>
      <c r="S82" s="240" t="s">
        <v>133</v>
      </c>
      <c r="T82" s="31">
        <v>1220</v>
      </c>
      <c r="U82" s="136">
        <v>0.26100000000000001</v>
      </c>
      <c r="V82" s="70" t="s">
        <v>1192</v>
      </c>
      <c r="W82" s="71"/>
      <c r="X82" s="23">
        <v>42818</v>
      </c>
      <c r="Y82" s="31">
        <v>65</v>
      </c>
      <c r="Z82" s="31">
        <v>0</v>
      </c>
      <c r="AA82" s="70" t="s">
        <v>137</v>
      </c>
      <c r="AB82" s="52">
        <f t="shared" si="10"/>
        <v>1.2356164383561643</v>
      </c>
      <c r="AC82" s="73" t="s">
        <v>117</v>
      </c>
      <c r="AD82" s="174"/>
      <c r="AE82" s="245" t="s">
        <v>117</v>
      </c>
      <c r="AF82" s="31">
        <v>1220</v>
      </c>
      <c r="AG82" s="31">
        <v>1250</v>
      </c>
      <c r="AH82" s="239" t="s">
        <v>2540</v>
      </c>
      <c r="AI82" s="243">
        <v>42367</v>
      </c>
      <c r="AJ82" s="243">
        <v>42993</v>
      </c>
      <c r="AK82" s="167" t="s">
        <v>1618</v>
      </c>
      <c r="AL82" s="245" t="s">
        <v>117</v>
      </c>
      <c r="AM82" s="245" t="s">
        <v>131</v>
      </c>
      <c r="AN82" s="245" t="s">
        <v>131</v>
      </c>
      <c r="AO82" s="245" t="s">
        <v>131</v>
      </c>
      <c r="AP82" s="245" t="s">
        <v>131</v>
      </c>
      <c r="AQ82" s="168" t="s">
        <v>2997</v>
      </c>
      <c r="AR82" s="171" t="s">
        <v>2025</v>
      </c>
      <c r="AS82" s="75" t="s">
        <v>3</v>
      </c>
      <c r="AT82" s="75" t="s">
        <v>131</v>
      </c>
      <c r="AU82" s="240" t="s">
        <v>127</v>
      </c>
      <c r="AV82" s="75" t="s">
        <v>791</v>
      </c>
      <c r="AW82" s="123">
        <f>IFERROR(VLOOKUP(AV82,'공직유관단체 코드'!$C$5:$D$1037,2,),"")</f>
        <v>637</v>
      </c>
      <c r="AX82" s="133">
        <v>0.372</v>
      </c>
      <c r="AY82" s="23">
        <v>42360</v>
      </c>
      <c r="AZ82" s="23">
        <v>42993</v>
      </c>
      <c r="BA82" s="173">
        <f t="shared" si="11"/>
        <v>1.7342465753424658</v>
      </c>
      <c r="BB82" s="88" t="s">
        <v>2273</v>
      </c>
      <c r="BC82" s="245" t="s">
        <v>2922</v>
      </c>
      <c r="BD82" s="72" t="s">
        <v>2924</v>
      </c>
      <c r="BE82" s="55" t="s">
        <v>2923</v>
      </c>
    </row>
    <row r="83" spans="5:57">
      <c r="E83" s="245" t="s">
        <v>2487</v>
      </c>
      <c r="F83" s="87">
        <f t="shared" si="3"/>
        <v>790712</v>
      </c>
      <c r="G83" s="72" t="s">
        <v>2474</v>
      </c>
      <c r="H83" s="139">
        <f t="shared" ca="1" si="8"/>
        <v>5.0356164383561648</v>
      </c>
      <c r="I83" s="70" t="s">
        <v>2491</v>
      </c>
      <c r="J83" s="243">
        <v>41155</v>
      </c>
      <c r="K83" s="243">
        <v>42993</v>
      </c>
      <c r="L83" s="139">
        <f t="shared" ca="1" si="9"/>
        <v>5.0356164383561648</v>
      </c>
      <c r="M83" s="88" t="s">
        <v>2269</v>
      </c>
      <c r="N83" s="159" t="s">
        <v>71</v>
      </c>
      <c r="O83" s="156" t="s">
        <v>2133</v>
      </c>
      <c r="P83" s="268" t="s">
        <v>131</v>
      </c>
      <c r="Q83" s="240" t="s">
        <v>2537</v>
      </c>
      <c r="R83" s="243">
        <v>42367</v>
      </c>
      <c r="S83" s="240" t="s">
        <v>133</v>
      </c>
      <c r="T83" s="31">
        <v>3471</v>
      </c>
      <c r="U83" s="136">
        <v>0.26100000000000001</v>
      </c>
      <c r="V83" s="70" t="s">
        <v>1192</v>
      </c>
      <c r="W83" s="71"/>
      <c r="X83" s="23">
        <v>42818</v>
      </c>
      <c r="Y83" s="31">
        <v>170</v>
      </c>
      <c r="Z83" s="31">
        <v>0</v>
      </c>
      <c r="AA83" s="70" t="s">
        <v>137</v>
      </c>
      <c r="AB83" s="52">
        <f t="shared" si="10"/>
        <v>1.2356164383561643</v>
      </c>
      <c r="AC83" s="73" t="s">
        <v>117</v>
      </c>
      <c r="AD83" s="174"/>
      <c r="AE83" s="245" t="s">
        <v>117</v>
      </c>
      <c r="AF83" s="31">
        <v>3471</v>
      </c>
      <c r="AG83" s="31">
        <v>3558</v>
      </c>
      <c r="AH83" s="239" t="s">
        <v>2540</v>
      </c>
      <c r="AI83" s="243">
        <v>42367</v>
      </c>
      <c r="AJ83" s="243">
        <v>42993</v>
      </c>
      <c r="AK83" s="167" t="s">
        <v>1618</v>
      </c>
      <c r="AL83" s="245" t="s">
        <v>117</v>
      </c>
      <c r="AM83" s="245" t="s">
        <v>131</v>
      </c>
      <c r="AN83" s="245" t="s">
        <v>131</v>
      </c>
      <c r="AO83" s="245" t="s">
        <v>131</v>
      </c>
      <c r="AP83" s="245" t="s">
        <v>131</v>
      </c>
      <c r="AQ83" s="168" t="s">
        <v>2997</v>
      </c>
      <c r="AR83" s="171" t="s">
        <v>2025</v>
      </c>
      <c r="AS83" s="75" t="s">
        <v>3</v>
      </c>
      <c r="AT83" s="75" t="s">
        <v>131</v>
      </c>
      <c r="AU83" s="240" t="s">
        <v>127</v>
      </c>
      <c r="AV83" s="75" t="s">
        <v>791</v>
      </c>
      <c r="AW83" s="123">
        <f>IFERROR(VLOOKUP(AV83,'공직유관단체 코드'!$C$5:$D$1037,2,),"")</f>
        <v>637</v>
      </c>
      <c r="AX83" s="133">
        <v>0.372</v>
      </c>
      <c r="AY83" s="23">
        <v>42360</v>
      </c>
      <c r="AZ83" s="23">
        <v>42993</v>
      </c>
      <c r="BA83" s="173">
        <f t="shared" si="11"/>
        <v>1.7342465753424658</v>
      </c>
      <c r="BB83" s="88" t="s">
        <v>2145</v>
      </c>
      <c r="BC83" s="245" t="s">
        <v>2922</v>
      </c>
      <c r="BD83" s="72" t="s">
        <v>2924</v>
      </c>
      <c r="BE83" s="55" t="s">
        <v>2923</v>
      </c>
    </row>
    <row r="84" spans="5:57" ht="13.5" customHeight="1">
      <c r="E84" s="266" t="s">
        <v>2006</v>
      </c>
      <c r="F84" s="87">
        <f t="shared" si="3"/>
        <v>790712</v>
      </c>
      <c r="G84" s="72" t="s">
        <v>2353</v>
      </c>
      <c r="H84" s="139">
        <f t="shared" ca="1" si="8"/>
        <v>5.0356164383561648</v>
      </c>
      <c r="I84" s="70" t="s">
        <v>2491</v>
      </c>
      <c r="J84" s="243">
        <v>41155</v>
      </c>
      <c r="K84" s="243">
        <v>42993</v>
      </c>
      <c r="L84" s="139">
        <f t="shared" ca="1" si="9"/>
        <v>5.0356164383561648</v>
      </c>
      <c r="M84" s="303" t="s">
        <v>3010</v>
      </c>
      <c r="N84" s="159" t="s">
        <v>71</v>
      </c>
      <c r="O84" s="156" t="s">
        <v>2133</v>
      </c>
      <c r="P84" s="325" t="s">
        <v>117</v>
      </c>
      <c r="Q84" s="263" t="s">
        <v>3011</v>
      </c>
      <c r="R84" s="265">
        <v>42678</v>
      </c>
      <c r="S84" s="263" t="s">
        <v>133</v>
      </c>
      <c r="T84" s="296">
        <v>1500</v>
      </c>
      <c r="U84" s="136"/>
      <c r="V84" s="264" t="s">
        <v>1193</v>
      </c>
      <c r="W84" s="297"/>
      <c r="X84" s="299"/>
      <c r="Y84" s="296"/>
      <c r="Z84" s="296"/>
      <c r="AA84" s="264"/>
      <c r="AB84" s="374"/>
      <c r="AC84" s="73" t="s">
        <v>117</v>
      </c>
      <c r="AD84" s="302"/>
      <c r="AE84" s="245" t="s">
        <v>117</v>
      </c>
      <c r="AF84" s="296">
        <v>1500</v>
      </c>
      <c r="AG84" s="296">
        <v>1500</v>
      </c>
      <c r="AH84" s="239" t="s">
        <v>2540</v>
      </c>
      <c r="AI84" s="265">
        <v>42678</v>
      </c>
      <c r="AJ84" s="243">
        <v>42993</v>
      </c>
      <c r="AK84" s="167" t="s">
        <v>1618</v>
      </c>
      <c r="AL84" s="245" t="s">
        <v>117</v>
      </c>
      <c r="AM84" s="245" t="s">
        <v>131</v>
      </c>
      <c r="AN84" s="245" t="s">
        <v>131</v>
      </c>
      <c r="AO84" s="245" t="s">
        <v>131</v>
      </c>
      <c r="AP84" s="245" t="s">
        <v>131</v>
      </c>
      <c r="AQ84" s="306" t="s">
        <v>2997</v>
      </c>
      <c r="AR84" s="171" t="s">
        <v>2021</v>
      </c>
      <c r="AS84" s="307" t="s">
        <v>180</v>
      </c>
      <c r="AT84" s="307" t="s">
        <v>117</v>
      </c>
      <c r="AU84" s="263" t="s">
        <v>128</v>
      </c>
      <c r="AV84" s="75" t="s">
        <v>1110</v>
      </c>
      <c r="AW84" s="123">
        <f>IFERROR(VLOOKUP(AV84,'공직유관단체 코드'!$C$5:$D$1037,2,),"")</f>
        <v>957</v>
      </c>
      <c r="AX84" s="133">
        <v>0.50900000000000001</v>
      </c>
      <c r="AY84" s="23">
        <v>41528</v>
      </c>
      <c r="AZ84" s="23">
        <v>42993</v>
      </c>
      <c r="BA84" s="173">
        <f t="shared" si="11"/>
        <v>4.0136986301369859</v>
      </c>
      <c r="BB84" s="303"/>
      <c r="BC84" s="245" t="s">
        <v>2922</v>
      </c>
      <c r="BD84" s="72" t="s">
        <v>2924</v>
      </c>
      <c r="BE84" s="55" t="s">
        <v>2923</v>
      </c>
    </row>
    <row r="85" spans="5:57" ht="13.5" customHeight="1">
      <c r="E85" s="245" t="s">
        <v>2487</v>
      </c>
      <c r="F85" s="87">
        <f t="shared" si="3"/>
        <v>790712</v>
      </c>
      <c r="G85" s="72" t="s">
        <v>2474</v>
      </c>
      <c r="H85" s="139">
        <f t="shared" ca="1" si="8"/>
        <v>5.0356164383561648</v>
      </c>
      <c r="I85" s="70" t="s">
        <v>2491</v>
      </c>
      <c r="J85" s="243">
        <v>41155</v>
      </c>
      <c r="K85" s="243">
        <v>42993</v>
      </c>
      <c r="L85" s="139">
        <f t="shared" ref="L85:L92" ca="1" si="16">IF(ISBLANK(I85),"",SUMPRODUCT( (OFFSET(대표이사_참여인력_경력,0,0,ROWS(대표이사_참여인력_경력),1)=$E85)*1, (OFFSET(대표이사_참여인력_경력,0,3,ROWS(대표이사_참여인력_경력),1)=$G85)*1, (OFFSET(대표이사_참여인력_경력,0,8,ROWS(대표이사_참여인력_경력),1)=$I85)*1, OFFSET(대표이사_참여인력_경력,0,13,ROWS(대표이사_참여인력_경력),1) ) /COUNTIFS(OFFSET(대표이사_참여인력_경력,0,0,ROWS(대표이사_참여인력_경력),1),$E85,OFFSET(대표이사_참여인력_경력,0,3,ROWS(대표이사_참여인력_경력),1),$G85,OFFSET(대표이사_참여인력_경력,0,8,ROWS(대표이사_참여인력_경력),1),$I85 ))</f>
        <v>5.0356164383561648</v>
      </c>
      <c r="M85" s="88" t="s">
        <v>2301</v>
      </c>
      <c r="N85" s="159" t="s">
        <v>71</v>
      </c>
      <c r="O85" s="156" t="s">
        <v>2133</v>
      </c>
      <c r="P85" s="268" t="s">
        <v>131</v>
      </c>
      <c r="Q85" s="240" t="s">
        <v>2538</v>
      </c>
      <c r="R85" s="243">
        <v>42682</v>
      </c>
      <c r="S85" s="240" t="s">
        <v>72</v>
      </c>
      <c r="T85" s="31">
        <v>1120</v>
      </c>
      <c r="U85" s="136">
        <v>0.01</v>
      </c>
      <c r="V85" s="70" t="s">
        <v>1193</v>
      </c>
      <c r="W85" s="71"/>
      <c r="X85" s="23"/>
      <c r="Y85" s="31"/>
      <c r="Z85" s="31"/>
      <c r="AA85" s="70"/>
      <c r="AB85" s="52" t="str">
        <f t="shared" ref="AB85:AB93" si="17">IF(ISBLANK(X85),"",DATEDIF(R85,X85,"d")/365)</f>
        <v/>
      </c>
      <c r="AC85" s="73" t="s">
        <v>117</v>
      </c>
      <c r="AD85" s="174"/>
      <c r="AE85" s="245" t="s">
        <v>117</v>
      </c>
      <c r="AF85" s="31">
        <v>1120</v>
      </c>
      <c r="AG85" s="31">
        <v>1120</v>
      </c>
      <c r="AH85" s="239" t="s">
        <v>2540</v>
      </c>
      <c r="AI85" s="243">
        <v>42682</v>
      </c>
      <c r="AJ85" s="243">
        <v>42993</v>
      </c>
      <c r="AK85" s="167" t="s">
        <v>1618</v>
      </c>
      <c r="AL85" s="245" t="s">
        <v>117</v>
      </c>
      <c r="AM85" s="245" t="s">
        <v>131</v>
      </c>
      <c r="AN85" s="245" t="s">
        <v>131</v>
      </c>
      <c r="AO85" s="245" t="s">
        <v>131</v>
      </c>
      <c r="AP85" s="245"/>
      <c r="AQ85" s="168" t="s">
        <v>3001</v>
      </c>
      <c r="AR85" s="171" t="s">
        <v>2026</v>
      </c>
      <c r="AS85" s="75" t="s">
        <v>180</v>
      </c>
      <c r="AT85" s="75" t="s">
        <v>131</v>
      </c>
      <c r="AU85" s="240" t="s">
        <v>138</v>
      </c>
      <c r="AV85" s="75" t="s">
        <v>1231</v>
      </c>
      <c r="AW85" s="123">
        <f>IFERROR(VLOOKUP(AV85,'공직유관단체 코드'!$C$5:$D$1037,2,),"")</f>
        <v>569</v>
      </c>
      <c r="AX85" s="133">
        <v>4.0000000000000001E-3</v>
      </c>
      <c r="AY85" s="23">
        <v>42521</v>
      </c>
      <c r="AZ85" s="23">
        <v>42993</v>
      </c>
      <c r="BA85" s="173">
        <f t="shared" ref="BA85:BA93" si="18">IF(ISBLANK(AY85),"",DATEDIF(AY85,AZ85,"d")/365)</f>
        <v>1.2931506849315069</v>
      </c>
      <c r="BB85" s="88"/>
      <c r="BC85" s="245" t="s">
        <v>2922</v>
      </c>
      <c r="BD85" s="72" t="s">
        <v>2924</v>
      </c>
      <c r="BE85" s="55" t="s">
        <v>2923</v>
      </c>
    </row>
    <row r="86" spans="5:57" ht="13.5" customHeight="1">
      <c r="E86" s="266" t="s">
        <v>2070</v>
      </c>
      <c r="F86" s="87">
        <f t="shared" si="3"/>
        <v>790712</v>
      </c>
      <c r="G86" s="300" t="s">
        <v>2072</v>
      </c>
      <c r="H86" s="139">
        <f t="shared" ref="H86:H91" ca="1" si="19">IF(ISBLANK(G86),"",SUMPRODUCT( (OFFSET(대표이사_참여인력_경력,0,0,ROWS(대표이사_참여인력_경력),1)=$E86)*1, (OFFSET(대표이사_참여인력_경력,0,3,ROWS(대표이사_참여인력_경력),1)=$G86)*1, OFFSET(대표이사_참여인력_경력,0,7,ROWS(대표이사_참여인력_경력),1) ) /COUNTIFS(OFFSET(대표이사_참여인력_경력,0,0,ROWS(대표이사_참여인력_경력),1),$E86,OFFSET(대표이사_참여인력_경력,0,3,ROWS(대표이사_참여인력_경력),1),$G86))</f>
        <v>5.0356164383561648</v>
      </c>
      <c r="I86" s="264" t="s">
        <v>2491</v>
      </c>
      <c r="J86" s="265">
        <v>41155</v>
      </c>
      <c r="K86" s="265">
        <v>42993</v>
      </c>
      <c r="L86" s="139">
        <f t="shared" ca="1" si="16"/>
        <v>5.0356164383561648</v>
      </c>
      <c r="M86" s="303" t="s">
        <v>2850</v>
      </c>
      <c r="N86" s="304" t="s">
        <v>71</v>
      </c>
      <c r="O86" s="290" t="s">
        <v>2851</v>
      </c>
      <c r="P86" s="325" t="s">
        <v>117</v>
      </c>
      <c r="Q86" s="263" t="s">
        <v>2871</v>
      </c>
      <c r="R86" s="265">
        <v>42702</v>
      </c>
      <c r="S86" s="263" t="s">
        <v>72</v>
      </c>
      <c r="T86" s="296">
        <v>9100</v>
      </c>
      <c r="U86" s="305">
        <v>8.4000000000000005E-2</v>
      </c>
      <c r="V86" s="264" t="s">
        <v>1192</v>
      </c>
      <c r="W86" s="297"/>
      <c r="X86" s="299">
        <v>42830</v>
      </c>
      <c r="Y86" s="296">
        <v>7</v>
      </c>
      <c r="Z86" s="296">
        <v>0</v>
      </c>
      <c r="AA86" s="264" t="s">
        <v>137</v>
      </c>
      <c r="AB86" s="52">
        <f t="shared" si="17"/>
        <v>0.35068493150684932</v>
      </c>
      <c r="AC86" s="301" t="s">
        <v>117</v>
      </c>
      <c r="AD86" s="302"/>
      <c r="AE86" s="266" t="s">
        <v>117</v>
      </c>
      <c r="AF86" s="296">
        <v>9100</v>
      </c>
      <c r="AG86" s="296">
        <v>9100</v>
      </c>
      <c r="AH86" s="239" t="s">
        <v>2540</v>
      </c>
      <c r="AI86" s="265">
        <v>42702</v>
      </c>
      <c r="AJ86" s="265">
        <v>42993</v>
      </c>
      <c r="AK86" s="167" t="s">
        <v>1276</v>
      </c>
      <c r="AL86" s="266" t="s">
        <v>131</v>
      </c>
      <c r="AM86" s="266" t="s">
        <v>117</v>
      </c>
      <c r="AN86" s="266" t="s">
        <v>131</v>
      </c>
      <c r="AO86" s="266" t="s">
        <v>131</v>
      </c>
      <c r="AP86" s="266" t="s">
        <v>131</v>
      </c>
      <c r="AQ86" s="168" t="s">
        <v>2998</v>
      </c>
      <c r="AR86" s="171" t="s">
        <v>2783</v>
      </c>
      <c r="AS86" s="307" t="s">
        <v>1249</v>
      </c>
      <c r="AT86" s="307" t="s">
        <v>117</v>
      </c>
      <c r="AU86" s="263" t="s">
        <v>128</v>
      </c>
      <c r="AV86" s="307" t="s">
        <v>1110</v>
      </c>
      <c r="AW86" s="123">
        <f>IFERROR(VLOOKUP(AV86,'공직유관단체 코드'!$C$5:$D$1037,2,),"")</f>
        <v>957</v>
      </c>
      <c r="AX86" s="308">
        <v>0.97699999999999998</v>
      </c>
      <c r="AY86" s="299">
        <v>42677</v>
      </c>
      <c r="AZ86" s="299">
        <v>42993</v>
      </c>
      <c r="BA86" s="173">
        <f t="shared" si="18"/>
        <v>0.86575342465753424</v>
      </c>
      <c r="BB86" s="303" t="s">
        <v>2872</v>
      </c>
      <c r="BC86" s="266" t="s">
        <v>2673</v>
      </c>
      <c r="BD86" s="300" t="s">
        <v>2072</v>
      </c>
      <c r="BE86" s="298" t="s">
        <v>2873</v>
      </c>
    </row>
    <row r="87" spans="5:57" ht="13.5" customHeight="1">
      <c r="E87" s="266" t="s">
        <v>2070</v>
      </c>
      <c r="F87" s="87">
        <f t="shared" si="3"/>
        <v>790712</v>
      </c>
      <c r="G87" s="300" t="s">
        <v>2072</v>
      </c>
      <c r="H87" s="139">
        <f t="shared" ca="1" si="19"/>
        <v>5.0356164383561648</v>
      </c>
      <c r="I87" s="264" t="s">
        <v>2491</v>
      </c>
      <c r="J87" s="265">
        <v>41155</v>
      </c>
      <c r="K87" s="265">
        <v>42993</v>
      </c>
      <c r="L87" s="139">
        <f t="shared" ca="1" si="16"/>
        <v>5.0356164383561648</v>
      </c>
      <c r="M87" s="303" t="s">
        <v>2850</v>
      </c>
      <c r="N87" s="304" t="s">
        <v>71</v>
      </c>
      <c r="O87" s="290" t="s">
        <v>2851</v>
      </c>
      <c r="P87" s="325" t="s">
        <v>117</v>
      </c>
      <c r="Q87" s="263" t="s">
        <v>2871</v>
      </c>
      <c r="R87" s="265">
        <v>42702</v>
      </c>
      <c r="S87" s="263" t="s">
        <v>72</v>
      </c>
      <c r="T87" s="296">
        <v>20943</v>
      </c>
      <c r="U87" s="305">
        <v>0.19400000000000001</v>
      </c>
      <c r="V87" s="264" t="s">
        <v>1192</v>
      </c>
      <c r="W87" s="297"/>
      <c r="X87" s="299">
        <v>42830</v>
      </c>
      <c r="Y87" s="296">
        <v>15</v>
      </c>
      <c r="Z87" s="296">
        <v>0</v>
      </c>
      <c r="AA87" s="264" t="s">
        <v>137</v>
      </c>
      <c r="AB87" s="52">
        <f t="shared" si="17"/>
        <v>0.35068493150684932</v>
      </c>
      <c r="AC87" s="301" t="s">
        <v>117</v>
      </c>
      <c r="AD87" s="302"/>
      <c r="AE87" s="266" t="s">
        <v>117</v>
      </c>
      <c r="AF87" s="296">
        <v>20943</v>
      </c>
      <c r="AG87" s="296">
        <v>20943</v>
      </c>
      <c r="AH87" s="239" t="s">
        <v>2540</v>
      </c>
      <c r="AI87" s="265">
        <v>42702</v>
      </c>
      <c r="AJ87" s="265">
        <v>42993</v>
      </c>
      <c r="AK87" s="167" t="s">
        <v>1276</v>
      </c>
      <c r="AL87" s="266" t="s">
        <v>131</v>
      </c>
      <c r="AM87" s="266" t="s">
        <v>117</v>
      </c>
      <c r="AN87" s="266" t="s">
        <v>131</v>
      </c>
      <c r="AO87" s="266" t="s">
        <v>131</v>
      </c>
      <c r="AP87" s="266" t="s">
        <v>131</v>
      </c>
      <c r="AQ87" s="168" t="s">
        <v>2998</v>
      </c>
      <c r="AR87" s="171" t="s">
        <v>2779</v>
      </c>
      <c r="AS87" s="307" t="s">
        <v>1249</v>
      </c>
      <c r="AT87" s="307" t="s">
        <v>117</v>
      </c>
      <c r="AU87" s="263" t="s">
        <v>128</v>
      </c>
      <c r="AV87" s="307" t="s">
        <v>789</v>
      </c>
      <c r="AW87" s="123">
        <f>IFERROR(VLOOKUP(AV87,'공직유관단체 코드'!$C$5:$D$1037,2,),"")</f>
        <v>635</v>
      </c>
      <c r="AX87" s="308">
        <v>7.2999999999999995E-2</v>
      </c>
      <c r="AY87" s="299">
        <v>42401</v>
      </c>
      <c r="AZ87" s="299">
        <v>42993</v>
      </c>
      <c r="BA87" s="173">
        <f t="shared" si="18"/>
        <v>1.6219178082191781</v>
      </c>
      <c r="BB87" s="303" t="s">
        <v>2872</v>
      </c>
      <c r="BC87" s="266" t="s">
        <v>2673</v>
      </c>
      <c r="BD87" s="300" t="s">
        <v>2072</v>
      </c>
      <c r="BE87" s="298" t="s">
        <v>2873</v>
      </c>
    </row>
    <row r="88" spans="5:57" ht="13.5" customHeight="1">
      <c r="E88" s="245" t="s">
        <v>2487</v>
      </c>
      <c r="F88" s="87">
        <f t="shared" si="3"/>
        <v>790712</v>
      </c>
      <c r="G88" s="72" t="s">
        <v>2474</v>
      </c>
      <c r="H88" s="139">
        <f t="shared" ca="1" si="19"/>
        <v>5.0356164383561648</v>
      </c>
      <c r="I88" s="70" t="s">
        <v>2491</v>
      </c>
      <c r="J88" s="243">
        <v>41155</v>
      </c>
      <c r="K88" s="243">
        <v>42993</v>
      </c>
      <c r="L88" s="139">
        <f t="shared" ca="1" si="16"/>
        <v>5.0356164383561648</v>
      </c>
      <c r="M88" s="88" t="s">
        <v>2302</v>
      </c>
      <c r="N88" s="159" t="s">
        <v>71</v>
      </c>
      <c r="O88" s="156" t="s">
        <v>137</v>
      </c>
      <c r="P88" s="268" t="s">
        <v>117</v>
      </c>
      <c r="Q88" s="240" t="s">
        <v>2539</v>
      </c>
      <c r="R88" s="243">
        <v>42775</v>
      </c>
      <c r="S88" s="240" t="s">
        <v>2303</v>
      </c>
      <c r="T88" s="31">
        <v>700</v>
      </c>
      <c r="U88" s="136">
        <v>0.46700000000000003</v>
      </c>
      <c r="V88" s="70" t="s">
        <v>1193</v>
      </c>
      <c r="W88" s="71"/>
      <c r="X88" s="23"/>
      <c r="Y88" s="31"/>
      <c r="Z88" s="31"/>
      <c r="AA88" s="70"/>
      <c r="AB88" s="52" t="str">
        <f t="shared" si="17"/>
        <v/>
      </c>
      <c r="AC88" s="73" t="s">
        <v>117</v>
      </c>
      <c r="AD88" s="174"/>
      <c r="AE88" s="245" t="s">
        <v>117</v>
      </c>
      <c r="AF88" s="31">
        <v>700</v>
      </c>
      <c r="AG88" s="31">
        <v>700</v>
      </c>
      <c r="AH88" s="239" t="s">
        <v>2540</v>
      </c>
      <c r="AI88" s="243">
        <v>42775</v>
      </c>
      <c r="AJ88" s="243">
        <v>42993</v>
      </c>
      <c r="AK88" s="167" t="s">
        <v>1618</v>
      </c>
      <c r="AL88" s="245" t="s">
        <v>117</v>
      </c>
      <c r="AM88" s="245" t="s">
        <v>131</v>
      </c>
      <c r="AN88" s="245" t="s">
        <v>131</v>
      </c>
      <c r="AO88" s="245" t="s">
        <v>131</v>
      </c>
      <c r="AP88" s="245"/>
      <c r="AQ88" s="168" t="s">
        <v>3001</v>
      </c>
      <c r="AR88" s="171" t="s">
        <v>2026</v>
      </c>
      <c r="AS88" s="75" t="s">
        <v>180</v>
      </c>
      <c r="AT88" s="75" t="s">
        <v>131</v>
      </c>
      <c r="AU88" s="240" t="s">
        <v>138</v>
      </c>
      <c r="AV88" s="75" t="s">
        <v>1231</v>
      </c>
      <c r="AW88" s="123">
        <f>IFERROR(VLOOKUP(AV88,'공직유관단체 코드'!$C$5:$D$1037,2,),"")</f>
        <v>569</v>
      </c>
      <c r="AX88" s="133">
        <v>4.0000000000000001E-3</v>
      </c>
      <c r="AY88" s="23">
        <v>42521</v>
      </c>
      <c r="AZ88" s="23">
        <v>42993</v>
      </c>
      <c r="BA88" s="173">
        <f t="shared" si="18"/>
        <v>1.2931506849315069</v>
      </c>
      <c r="BB88" s="88"/>
      <c r="BC88" s="245" t="s">
        <v>2922</v>
      </c>
      <c r="BD88" s="72" t="s">
        <v>2924</v>
      </c>
      <c r="BE88" s="55" t="s">
        <v>2923</v>
      </c>
    </row>
    <row r="89" spans="5:57" ht="13.5" customHeight="1">
      <c r="E89" s="266" t="s">
        <v>2070</v>
      </c>
      <c r="F89" s="87">
        <f t="shared" si="3"/>
        <v>790712</v>
      </c>
      <c r="G89" s="300" t="s">
        <v>2072</v>
      </c>
      <c r="H89" s="139">
        <f t="shared" ca="1" si="19"/>
        <v>5.0356164383561648</v>
      </c>
      <c r="I89" s="264" t="s">
        <v>2491</v>
      </c>
      <c r="J89" s="265">
        <v>41155</v>
      </c>
      <c r="K89" s="265">
        <v>42993</v>
      </c>
      <c r="L89" s="139">
        <f t="shared" ca="1" si="16"/>
        <v>5.0356164383561648</v>
      </c>
      <c r="M89" s="274" t="s">
        <v>2962</v>
      </c>
      <c r="N89" s="304" t="s">
        <v>71</v>
      </c>
      <c r="O89" s="290" t="s">
        <v>2874</v>
      </c>
      <c r="P89" s="325" t="s">
        <v>117</v>
      </c>
      <c r="Q89" s="263" t="s">
        <v>2875</v>
      </c>
      <c r="R89" s="265">
        <v>42877</v>
      </c>
      <c r="S89" s="263" t="s">
        <v>72</v>
      </c>
      <c r="T89" s="296">
        <v>23475</v>
      </c>
      <c r="U89" s="305">
        <v>5.0999999999999997E-2</v>
      </c>
      <c r="V89" s="264" t="s">
        <v>1193</v>
      </c>
      <c r="W89" s="297"/>
      <c r="X89" s="299"/>
      <c r="Y89" s="296"/>
      <c r="Z89" s="296"/>
      <c r="AA89" s="264"/>
      <c r="AB89" s="52" t="str">
        <f t="shared" si="17"/>
        <v/>
      </c>
      <c r="AC89" s="301" t="s">
        <v>117</v>
      </c>
      <c r="AD89" s="302"/>
      <c r="AE89" s="266" t="s">
        <v>117</v>
      </c>
      <c r="AF89" s="296">
        <v>23475</v>
      </c>
      <c r="AG89" s="296">
        <v>23475</v>
      </c>
      <c r="AH89" s="239" t="s">
        <v>2540</v>
      </c>
      <c r="AI89" s="265">
        <v>42877</v>
      </c>
      <c r="AJ89" s="265">
        <v>42993</v>
      </c>
      <c r="AK89" s="167" t="s">
        <v>1276</v>
      </c>
      <c r="AL89" s="266" t="s">
        <v>131</v>
      </c>
      <c r="AM89" s="266" t="s">
        <v>117</v>
      </c>
      <c r="AN89" s="266" t="s">
        <v>131</v>
      </c>
      <c r="AO89" s="266" t="s">
        <v>131</v>
      </c>
      <c r="AP89" s="266"/>
      <c r="AQ89" s="168" t="s">
        <v>3004</v>
      </c>
      <c r="AR89" s="171" t="s">
        <v>2783</v>
      </c>
      <c r="AS89" s="307" t="s">
        <v>1249</v>
      </c>
      <c r="AT89" s="307" t="s">
        <v>117</v>
      </c>
      <c r="AU89" s="263" t="s">
        <v>128</v>
      </c>
      <c r="AV89" s="307" t="s">
        <v>1110</v>
      </c>
      <c r="AW89" s="123">
        <f>IFERROR(VLOOKUP(AV89,'공직유관단체 코드'!$C$5:$D$1037,2,),"")</f>
        <v>957</v>
      </c>
      <c r="AX89" s="308">
        <v>0.97699999999999998</v>
      </c>
      <c r="AY89" s="299">
        <v>42677</v>
      </c>
      <c r="AZ89" s="299">
        <v>42993</v>
      </c>
      <c r="BA89" s="173">
        <f t="shared" si="18"/>
        <v>0.86575342465753424</v>
      </c>
      <c r="BB89" s="303" t="s">
        <v>2862</v>
      </c>
      <c r="BC89" s="266" t="s">
        <v>2673</v>
      </c>
      <c r="BD89" s="300" t="s">
        <v>2072</v>
      </c>
      <c r="BE89" s="298" t="s">
        <v>2873</v>
      </c>
    </row>
    <row r="90" spans="5:57" ht="13.5" customHeight="1">
      <c r="E90" s="266" t="s">
        <v>2070</v>
      </c>
      <c r="F90" s="87">
        <f t="shared" si="3"/>
        <v>790712</v>
      </c>
      <c r="G90" s="300" t="s">
        <v>2072</v>
      </c>
      <c r="H90" s="139">
        <f t="shared" ca="1" si="19"/>
        <v>5.0356164383561648</v>
      </c>
      <c r="I90" s="264" t="s">
        <v>2491</v>
      </c>
      <c r="J90" s="265">
        <v>41155</v>
      </c>
      <c r="K90" s="265">
        <v>42993</v>
      </c>
      <c r="L90" s="139">
        <f t="shared" ca="1" si="16"/>
        <v>5.0356164383561648</v>
      </c>
      <c r="M90" s="274" t="s">
        <v>2962</v>
      </c>
      <c r="N90" s="304" t="s">
        <v>71</v>
      </c>
      <c r="O90" s="290" t="s">
        <v>2874</v>
      </c>
      <c r="P90" s="325" t="s">
        <v>3013</v>
      </c>
      <c r="Q90" s="263" t="s">
        <v>2875</v>
      </c>
      <c r="R90" s="265">
        <v>42877</v>
      </c>
      <c r="S90" s="263" t="s">
        <v>72</v>
      </c>
      <c r="T90" s="296">
        <v>54025</v>
      </c>
      <c r="U90" s="305">
        <v>0.11700000000000001</v>
      </c>
      <c r="V90" s="264" t="s">
        <v>1193</v>
      </c>
      <c r="W90" s="297"/>
      <c r="X90" s="299"/>
      <c r="Y90" s="296"/>
      <c r="Z90" s="296"/>
      <c r="AA90" s="264"/>
      <c r="AB90" s="52" t="str">
        <f t="shared" si="17"/>
        <v/>
      </c>
      <c r="AC90" s="301" t="s">
        <v>117</v>
      </c>
      <c r="AD90" s="302"/>
      <c r="AE90" s="266" t="s">
        <v>117</v>
      </c>
      <c r="AF90" s="296">
        <v>54025</v>
      </c>
      <c r="AG90" s="296">
        <v>54025</v>
      </c>
      <c r="AH90" s="239" t="s">
        <v>2540</v>
      </c>
      <c r="AI90" s="265">
        <v>42877</v>
      </c>
      <c r="AJ90" s="265">
        <v>42993</v>
      </c>
      <c r="AK90" s="167" t="s">
        <v>1276</v>
      </c>
      <c r="AL90" s="266" t="s">
        <v>131</v>
      </c>
      <c r="AM90" s="266" t="s">
        <v>117</v>
      </c>
      <c r="AN90" s="266" t="s">
        <v>131</v>
      </c>
      <c r="AO90" s="266" t="s">
        <v>131</v>
      </c>
      <c r="AP90" s="266"/>
      <c r="AQ90" s="168" t="s">
        <v>3004</v>
      </c>
      <c r="AR90" s="171" t="s">
        <v>2779</v>
      </c>
      <c r="AS90" s="307" t="s">
        <v>1249</v>
      </c>
      <c r="AT90" s="307" t="s">
        <v>117</v>
      </c>
      <c r="AU90" s="263" t="s">
        <v>128</v>
      </c>
      <c r="AV90" s="307" t="s">
        <v>789</v>
      </c>
      <c r="AW90" s="123">
        <f>IFERROR(VLOOKUP(AV90,'공직유관단체 코드'!$C$5:$D$1037,2,),"")</f>
        <v>635</v>
      </c>
      <c r="AX90" s="308">
        <v>7.2999999999999995E-2</v>
      </c>
      <c r="AY90" s="299">
        <v>42401</v>
      </c>
      <c r="AZ90" s="299">
        <v>42993</v>
      </c>
      <c r="BA90" s="173">
        <f t="shared" si="18"/>
        <v>1.6219178082191781</v>
      </c>
      <c r="BB90" s="303" t="s">
        <v>2862</v>
      </c>
      <c r="BC90" s="266" t="s">
        <v>2673</v>
      </c>
      <c r="BD90" s="300" t="s">
        <v>2072</v>
      </c>
      <c r="BE90" s="298" t="s">
        <v>2873</v>
      </c>
    </row>
    <row r="91" spans="5:57" ht="13.5" customHeight="1">
      <c r="E91" s="245" t="s">
        <v>2500</v>
      </c>
      <c r="F91" s="87">
        <f t="shared" si="3"/>
        <v>840611</v>
      </c>
      <c r="G91" s="72" t="s">
        <v>2501</v>
      </c>
      <c r="H91" s="139">
        <f t="shared" ca="1" si="19"/>
        <v>7.3424657534246576</v>
      </c>
      <c r="I91" s="70" t="s">
        <v>2541</v>
      </c>
      <c r="J91" s="243">
        <v>40166</v>
      </c>
      <c r="K91" s="243">
        <v>42846</v>
      </c>
      <c r="L91" s="139">
        <f t="shared" ca="1" si="16"/>
        <v>7.3424657534246576</v>
      </c>
      <c r="M91" s="88" t="s">
        <v>2542</v>
      </c>
      <c r="N91" s="159" t="s">
        <v>71</v>
      </c>
      <c r="O91" s="156" t="s">
        <v>2545</v>
      </c>
      <c r="P91" s="268" t="s">
        <v>131</v>
      </c>
      <c r="Q91" s="240" t="s">
        <v>2557</v>
      </c>
      <c r="R91" s="243">
        <v>41708</v>
      </c>
      <c r="S91" s="240" t="s">
        <v>72</v>
      </c>
      <c r="T91" s="31">
        <v>1134</v>
      </c>
      <c r="U91" s="136">
        <v>0</v>
      </c>
      <c r="V91" s="70" t="s">
        <v>132</v>
      </c>
      <c r="W91" s="71">
        <v>1.0900000000000001</v>
      </c>
      <c r="X91" s="23">
        <v>42014</v>
      </c>
      <c r="Y91" s="31">
        <v>2100</v>
      </c>
      <c r="Z91" s="31">
        <v>1134</v>
      </c>
      <c r="AA91" s="70" t="s">
        <v>114</v>
      </c>
      <c r="AB91" s="52">
        <f t="shared" si="17"/>
        <v>0.83835616438356164</v>
      </c>
      <c r="AC91" s="73"/>
      <c r="AD91" s="174"/>
      <c r="AE91" s="245"/>
      <c r="AF91" s="31"/>
      <c r="AG91" s="31"/>
      <c r="AH91" s="239"/>
      <c r="AI91" s="243">
        <v>41708</v>
      </c>
      <c r="AJ91" s="243">
        <v>42014</v>
      </c>
      <c r="AK91" s="167" t="s">
        <v>1281</v>
      </c>
      <c r="AL91" s="245" t="s">
        <v>131</v>
      </c>
      <c r="AM91" s="245" t="s">
        <v>131</v>
      </c>
      <c r="AN91" s="245" t="s">
        <v>131</v>
      </c>
      <c r="AO91" s="245" t="s">
        <v>131</v>
      </c>
      <c r="AP91" s="245" t="s">
        <v>131</v>
      </c>
      <c r="AQ91" s="168" t="s">
        <v>2999</v>
      </c>
      <c r="AR91" s="171"/>
      <c r="AS91" s="75"/>
      <c r="AT91" s="75"/>
      <c r="AU91" s="240"/>
      <c r="AV91" s="75"/>
      <c r="AW91" s="123" t="str">
        <f>IFERROR(VLOOKUP(AV91,'공직유관단체 코드'!$C$5:$D$1037,2,),"")</f>
        <v/>
      </c>
      <c r="AX91" s="133"/>
      <c r="AY91" s="23"/>
      <c r="AZ91" s="23"/>
      <c r="BA91" s="173" t="str">
        <f t="shared" si="18"/>
        <v/>
      </c>
      <c r="BB91" s="88"/>
      <c r="BC91" s="245" t="s">
        <v>2546</v>
      </c>
      <c r="BD91" s="72" t="s">
        <v>2501</v>
      </c>
      <c r="BE91" s="55" t="s">
        <v>2547</v>
      </c>
    </row>
    <row r="92" spans="5:57" ht="13.5" customHeight="1">
      <c r="E92" s="245" t="s">
        <v>2500</v>
      </c>
      <c r="F92" s="87">
        <f t="shared" si="3"/>
        <v>840611</v>
      </c>
      <c r="G92" s="72" t="s">
        <v>2501</v>
      </c>
      <c r="H92" s="139">
        <f t="shared" ref="H92:H93" ca="1" si="20">IF(ISBLANK(G92),"",SUMPRODUCT( (OFFSET(대표이사_참여인력_경력,0,0,ROWS(대표이사_참여인력_경력),1)=$E92)*1, (OFFSET(대표이사_참여인력_경력,0,3,ROWS(대표이사_참여인력_경력),1)=$G92)*1, OFFSET(대표이사_참여인력_경력,0,7,ROWS(대표이사_참여인력_경력),1) ) /COUNTIFS(OFFSET(대표이사_참여인력_경력,0,0,ROWS(대표이사_참여인력_경력),1),$E92,OFFSET(대표이사_참여인력_경력,0,3,ROWS(대표이사_참여인력_경력),1),$G92))</f>
        <v>7.3424657534246576</v>
      </c>
      <c r="I92" s="70" t="s">
        <v>2541</v>
      </c>
      <c r="J92" s="243">
        <v>40166</v>
      </c>
      <c r="K92" s="243">
        <v>42846</v>
      </c>
      <c r="L92" s="139">
        <f t="shared" ca="1" si="16"/>
        <v>7.3424657534246576</v>
      </c>
      <c r="M92" s="88" t="s">
        <v>2543</v>
      </c>
      <c r="N92" s="159" t="s">
        <v>71</v>
      </c>
      <c r="O92" s="156" t="s">
        <v>2545</v>
      </c>
      <c r="P92" s="268" t="s">
        <v>131</v>
      </c>
      <c r="Q92" s="240" t="s">
        <v>2921</v>
      </c>
      <c r="R92" s="243">
        <v>42419</v>
      </c>
      <c r="S92" s="240" t="s">
        <v>72</v>
      </c>
      <c r="T92" s="31">
        <v>963</v>
      </c>
      <c r="U92" s="136">
        <v>1.0999999999999999E-2</v>
      </c>
      <c r="V92" s="70" t="s">
        <v>1193</v>
      </c>
      <c r="W92" s="71"/>
      <c r="X92" s="23"/>
      <c r="Y92" s="31"/>
      <c r="Z92" s="31"/>
      <c r="AA92" s="70"/>
      <c r="AB92" s="52" t="str">
        <f t="shared" si="17"/>
        <v/>
      </c>
      <c r="AC92" s="73" t="s">
        <v>117</v>
      </c>
      <c r="AD92" s="174"/>
      <c r="AE92" s="245" t="s">
        <v>117</v>
      </c>
      <c r="AF92" s="31">
        <v>963</v>
      </c>
      <c r="AG92" s="31">
        <v>963</v>
      </c>
      <c r="AH92" s="239" t="s">
        <v>2540</v>
      </c>
      <c r="AI92" s="243">
        <v>42419</v>
      </c>
      <c r="AJ92" s="243">
        <v>42846</v>
      </c>
      <c r="AK92" s="167" t="s">
        <v>1281</v>
      </c>
      <c r="AL92" s="245" t="s">
        <v>131</v>
      </c>
      <c r="AM92" s="245" t="s">
        <v>131</v>
      </c>
      <c r="AN92" s="245" t="s">
        <v>131</v>
      </c>
      <c r="AO92" s="245" t="s">
        <v>131</v>
      </c>
      <c r="AP92" s="245"/>
      <c r="AQ92" s="168" t="s">
        <v>3005</v>
      </c>
      <c r="AR92" s="171"/>
      <c r="AS92" s="75"/>
      <c r="AT92" s="75"/>
      <c r="AU92" s="240"/>
      <c r="AV92" s="75"/>
      <c r="AW92" s="123" t="str">
        <f>IFERROR(VLOOKUP(AV92,'공직유관단체 코드'!$C$5:$D$1037,2,),"")</f>
        <v/>
      </c>
      <c r="AX92" s="133"/>
      <c r="AY92" s="23"/>
      <c r="AZ92" s="23"/>
      <c r="BA92" s="173" t="str">
        <f t="shared" si="18"/>
        <v/>
      </c>
      <c r="BB92" s="88"/>
      <c r="BC92" s="245" t="s">
        <v>2546</v>
      </c>
      <c r="BD92" s="72" t="s">
        <v>2501</v>
      </c>
      <c r="BE92" s="55" t="s">
        <v>2547</v>
      </c>
    </row>
    <row r="93" spans="5:57" ht="13.5" customHeight="1">
      <c r="E93" s="245" t="s">
        <v>2500</v>
      </c>
      <c r="F93" s="87">
        <f t="shared" si="3"/>
        <v>840611</v>
      </c>
      <c r="G93" s="72" t="s">
        <v>2501</v>
      </c>
      <c r="H93" s="139">
        <f t="shared" ca="1" si="20"/>
        <v>7.3424657534246576</v>
      </c>
      <c r="I93" s="70" t="s">
        <v>2541</v>
      </c>
      <c r="J93" s="243">
        <v>40166</v>
      </c>
      <c r="K93" s="243">
        <v>42846</v>
      </c>
      <c r="L93" s="139">
        <f t="shared" ref="L93" ca="1" si="21">IF(ISBLANK(I93),"",SUMPRODUCT( (OFFSET(대표이사_참여인력_경력,0,0,ROWS(대표이사_참여인력_경력),1)=$E93)*1, (OFFSET(대표이사_참여인력_경력,0,3,ROWS(대표이사_참여인력_경력),1)=$G93)*1, (OFFSET(대표이사_참여인력_경력,0,8,ROWS(대표이사_참여인력_경력),1)=$I93)*1, OFFSET(대표이사_참여인력_경력,0,13,ROWS(대표이사_참여인력_경력),1) ) /COUNTIFS(OFFSET(대표이사_참여인력_경력,0,0,ROWS(대표이사_참여인력_경력),1),$E93,OFFSET(대표이사_참여인력_경력,0,3,ROWS(대표이사_참여인력_경력),1),$G93,OFFSET(대표이사_참여인력_경력,0,8,ROWS(대표이사_참여인력_경력),1),$I93 ))</f>
        <v>7.3424657534246576</v>
      </c>
      <c r="M93" s="88" t="s">
        <v>2544</v>
      </c>
      <c r="N93" s="159" t="s">
        <v>71</v>
      </c>
      <c r="O93" s="156" t="s">
        <v>2545</v>
      </c>
      <c r="P93" s="268" t="s">
        <v>3014</v>
      </c>
      <c r="Q93" s="240" t="s">
        <v>2920</v>
      </c>
      <c r="R93" s="243">
        <v>42781</v>
      </c>
      <c r="S93" s="240" t="s">
        <v>133</v>
      </c>
      <c r="T93" s="31">
        <v>499</v>
      </c>
      <c r="U93" s="136">
        <v>1.7000000000000001E-2</v>
      </c>
      <c r="V93" s="70" t="s">
        <v>1193</v>
      </c>
      <c r="W93" s="71"/>
      <c r="X93" s="23"/>
      <c r="Y93" s="31"/>
      <c r="Z93" s="31"/>
      <c r="AA93" s="70"/>
      <c r="AB93" s="52" t="str">
        <f t="shared" si="17"/>
        <v/>
      </c>
      <c r="AC93" s="73" t="s">
        <v>117</v>
      </c>
      <c r="AD93" s="174"/>
      <c r="AE93" s="245" t="s">
        <v>117</v>
      </c>
      <c r="AF93" s="31">
        <v>499</v>
      </c>
      <c r="AG93" s="31">
        <v>499</v>
      </c>
      <c r="AH93" s="239" t="s">
        <v>2540</v>
      </c>
      <c r="AI93" s="243">
        <v>40544</v>
      </c>
      <c r="AJ93" s="243">
        <v>42846</v>
      </c>
      <c r="AK93" s="167" t="s">
        <v>1281</v>
      </c>
      <c r="AL93" s="245" t="s">
        <v>131</v>
      </c>
      <c r="AM93" s="245" t="s">
        <v>117</v>
      </c>
      <c r="AN93" s="245" t="s">
        <v>131</v>
      </c>
      <c r="AO93" s="245" t="s">
        <v>131</v>
      </c>
      <c r="AP93" s="245"/>
      <c r="AQ93" s="168" t="s">
        <v>3004</v>
      </c>
      <c r="AR93" s="171"/>
      <c r="AS93" s="75"/>
      <c r="AT93" s="75"/>
      <c r="AU93" s="240"/>
      <c r="AV93" s="75"/>
      <c r="AW93" s="123" t="str">
        <f>IFERROR(VLOOKUP(AV93,'공직유관단체 코드'!$C$5:$D$1037,2,),"")</f>
        <v/>
      </c>
      <c r="AX93" s="133"/>
      <c r="AY93" s="23"/>
      <c r="AZ93" s="23"/>
      <c r="BA93" s="173" t="str">
        <f t="shared" si="18"/>
        <v/>
      </c>
      <c r="BB93" s="88"/>
      <c r="BC93" s="245" t="s">
        <v>2546</v>
      </c>
      <c r="BD93" s="72" t="s">
        <v>2501</v>
      </c>
      <c r="BE93" s="55" t="s">
        <v>2547</v>
      </c>
    </row>
  </sheetData>
  <mergeCells count="13">
    <mergeCell ref="M4:W4"/>
    <mergeCell ref="I4:L4"/>
    <mergeCell ref="E4:F4"/>
    <mergeCell ref="G4:H4"/>
    <mergeCell ref="AC4:AD4"/>
    <mergeCell ref="BC4:BE4"/>
    <mergeCell ref="AI4:AJ4"/>
    <mergeCell ref="AK4:AK5"/>
    <mergeCell ref="AL4:AQ4"/>
    <mergeCell ref="X4:AB4"/>
    <mergeCell ref="AE4:AH4"/>
    <mergeCell ref="BB4:BB5"/>
    <mergeCell ref="AR4:BA4"/>
  </mergeCells>
  <phoneticPr fontId="1" type="noConversion"/>
  <dataValidations count="9">
    <dataValidation type="list" allowBlank="1" showInputMessage="1" showErrorMessage="1" error="목록에서 선택" sqref="AU11:AU93">
      <formula1>참여인력구분</formula1>
    </dataValidation>
    <dataValidation type="list" allowBlank="1" showInputMessage="1" showErrorMessage="1" sqref="AS11:AS93">
      <formula1>펀드법적유형</formula1>
    </dataValidation>
    <dataValidation type="list" allowBlank="1" showInputMessage="1" showErrorMessage="1" sqref="AT11:AT93 AC11:AC93 AE11:AE93 AL11:AP93">
      <formula1>여부</formula1>
    </dataValidation>
    <dataValidation type="list" allowBlank="1" showInputMessage="1" showErrorMessage="1" sqref="N11:N93">
      <formula1>투자기업_법인유형</formula1>
    </dataValidation>
    <dataValidation type="list" allowBlank="1" showInputMessage="1" showErrorMessage="1" sqref="P11:P93">
      <formula1>제안펀드의_주목적투자분야와_관련성</formula1>
    </dataValidation>
    <dataValidation type="list" allowBlank="1" showInputMessage="1" showErrorMessage="1" sqref="S11:S93">
      <formula1>투자유형</formula1>
    </dataValidation>
    <dataValidation type="list" allowBlank="1" showInputMessage="1" showErrorMessage="1" sqref="V11:V93">
      <formula1>회수구분</formula1>
    </dataValidation>
    <dataValidation type="list" allowBlank="1" showInputMessage="1" showErrorMessage="1" sqref="AA11:AA93">
      <formula1>회수유형</formula1>
    </dataValidation>
    <dataValidation type="list" allowBlank="1" showInputMessage="1" showErrorMessage="1" sqref="AK11:AK93">
      <formula1>투자계정구분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E1:K37"/>
  <sheetViews>
    <sheetView topLeftCell="E4" zoomScale="85" zoomScaleNormal="85" workbookViewId="0">
      <selection activeCell="K49" sqref="K49"/>
    </sheetView>
  </sheetViews>
  <sheetFormatPr defaultRowHeight="16.5"/>
  <cols>
    <col min="1" max="4" width="0" hidden="1" customWidth="1"/>
    <col min="5" max="5" width="10.625" customWidth="1"/>
    <col min="6" max="6" width="13.625" customWidth="1"/>
    <col min="7" max="7" width="12.625" customWidth="1"/>
    <col min="8" max="8" width="28.75" customWidth="1"/>
    <col min="9" max="9" width="30.625" customWidth="1"/>
    <col min="10" max="10" width="15.625" customWidth="1"/>
    <col min="11" max="11" width="20.625" customWidth="1"/>
  </cols>
  <sheetData>
    <row r="1" spans="5:11" hidden="1"/>
    <row r="2" spans="5:11" hidden="1"/>
    <row r="3" spans="5:11" hidden="1"/>
    <row r="4" spans="5:11">
      <c r="E4" s="533" t="s">
        <v>1187</v>
      </c>
      <c r="F4" s="533"/>
      <c r="G4" s="533" t="s">
        <v>139</v>
      </c>
      <c r="H4" s="533"/>
      <c r="I4" s="533"/>
      <c r="J4" s="533"/>
      <c r="K4" s="533"/>
    </row>
    <row r="5" spans="5:11" ht="27">
      <c r="E5" s="28" t="s">
        <v>33</v>
      </c>
      <c r="F5" s="74" t="s">
        <v>129</v>
      </c>
      <c r="G5" s="28" t="s">
        <v>140</v>
      </c>
      <c r="H5" s="28" t="s">
        <v>141</v>
      </c>
      <c r="I5" s="28" t="s">
        <v>142</v>
      </c>
      <c r="J5" s="28" t="s">
        <v>143</v>
      </c>
      <c r="K5" s="28" t="s">
        <v>144</v>
      </c>
    </row>
    <row r="6" spans="5:11" hidden="1">
      <c r="E6" s="29"/>
      <c r="F6" s="90"/>
      <c r="G6" s="29"/>
      <c r="H6" s="29"/>
      <c r="I6" s="29"/>
      <c r="J6" s="29"/>
      <c r="K6" s="29"/>
    </row>
    <row r="7" spans="5:11" hidden="1">
      <c r="E7" s="29"/>
      <c r="F7" s="90"/>
      <c r="G7" s="29"/>
      <c r="H7" s="29"/>
      <c r="I7" s="29"/>
      <c r="J7" s="29"/>
      <c r="K7" s="29"/>
    </row>
    <row r="8" spans="5:11" hidden="1">
      <c r="E8" s="29"/>
      <c r="F8" s="90"/>
      <c r="G8" s="29"/>
      <c r="H8" s="29"/>
      <c r="I8" s="29"/>
      <c r="J8" s="29"/>
      <c r="K8" s="29"/>
    </row>
    <row r="9" spans="5:11" hidden="1">
      <c r="E9" s="49"/>
      <c r="F9" s="91"/>
      <c r="G9" s="49"/>
      <c r="H9" s="49"/>
      <c r="I9" s="49"/>
      <c r="J9" s="49"/>
      <c r="K9" s="49"/>
    </row>
    <row r="10" spans="5:11" hidden="1">
      <c r="E10" s="49"/>
      <c r="F10" s="91"/>
      <c r="G10" s="49"/>
      <c r="H10" s="49"/>
      <c r="I10" s="49"/>
      <c r="J10" s="49"/>
      <c r="K10" s="49"/>
    </row>
    <row r="11" spans="5:11">
      <c r="E11" s="261" t="s">
        <v>2402</v>
      </c>
      <c r="F11" s="87">
        <f t="shared" ref="F11:F37" si="0">IF(ISBLANK($E11),"",VLOOKUP($E11,대표이사_참여인력_개요,2,FALSE))</f>
        <v>770126</v>
      </c>
      <c r="G11" s="243">
        <v>37833</v>
      </c>
      <c r="H11" s="245" t="s">
        <v>2403</v>
      </c>
      <c r="I11" s="245" t="s">
        <v>2404</v>
      </c>
      <c r="J11" s="245" t="s">
        <v>145</v>
      </c>
      <c r="K11" s="245" t="s">
        <v>2405</v>
      </c>
    </row>
    <row r="12" spans="5:11">
      <c r="E12" s="261" t="s">
        <v>2402</v>
      </c>
      <c r="F12" s="87">
        <f t="shared" si="0"/>
        <v>770126</v>
      </c>
      <c r="G12" s="243">
        <v>35277</v>
      </c>
      <c r="H12" s="245" t="s">
        <v>2670</v>
      </c>
      <c r="I12" s="245"/>
      <c r="J12" s="245"/>
      <c r="K12" s="245" t="s">
        <v>2984</v>
      </c>
    </row>
    <row r="13" spans="5:11">
      <c r="E13" s="261" t="s">
        <v>2406</v>
      </c>
      <c r="F13" s="87">
        <f t="shared" si="0"/>
        <v>670701</v>
      </c>
      <c r="G13" s="243">
        <v>34028</v>
      </c>
      <c r="H13" s="245" t="s">
        <v>2407</v>
      </c>
      <c r="I13" s="245" t="s">
        <v>2410</v>
      </c>
      <c r="J13" s="245" t="s">
        <v>2411</v>
      </c>
      <c r="K13" s="245" t="s">
        <v>2413</v>
      </c>
    </row>
    <row r="14" spans="5:11">
      <c r="E14" s="261" t="s">
        <v>2406</v>
      </c>
      <c r="F14" s="87">
        <f t="shared" si="0"/>
        <v>670701</v>
      </c>
      <c r="G14" s="243">
        <v>32932</v>
      </c>
      <c r="H14" s="245" t="s">
        <v>2408</v>
      </c>
      <c r="I14" s="245" t="s">
        <v>2410</v>
      </c>
      <c r="J14" s="245" t="s">
        <v>2412</v>
      </c>
      <c r="K14" s="245" t="s">
        <v>2413</v>
      </c>
    </row>
    <row r="15" spans="5:11">
      <c r="E15" s="261" t="s">
        <v>2406</v>
      </c>
      <c r="F15" s="87">
        <f t="shared" si="0"/>
        <v>670701</v>
      </c>
      <c r="G15" s="243">
        <v>31471</v>
      </c>
      <c r="H15" s="245" t="s">
        <v>2409</v>
      </c>
      <c r="I15" s="245"/>
      <c r="J15" s="245"/>
      <c r="K15" s="245" t="s">
        <v>2413</v>
      </c>
    </row>
    <row r="16" spans="5:11">
      <c r="E16" s="261" t="s">
        <v>2414</v>
      </c>
      <c r="F16" s="87">
        <f t="shared" si="0"/>
        <v>790712</v>
      </c>
      <c r="G16" s="243">
        <v>40329</v>
      </c>
      <c r="H16" s="245" t="s">
        <v>2415</v>
      </c>
      <c r="I16" s="245" t="s">
        <v>2416</v>
      </c>
      <c r="J16" s="245" t="s">
        <v>2411</v>
      </c>
      <c r="K16" s="245" t="s">
        <v>2417</v>
      </c>
    </row>
    <row r="17" spans="5:11">
      <c r="E17" s="261" t="s">
        <v>2414</v>
      </c>
      <c r="F17" s="87">
        <f t="shared" si="0"/>
        <v>790712</v>
      </c>
      <c r="G17" s="243">
        <v>36950</v>
      </c>
      <c r="H17" s="245" t="s">
        <v>2408</v>
      </c>
      <c r="I17" s="245" t="s">
        <v>2418</v>
      </c>
      <c r="J17" s="245" t="s">
        <v>2412</v>
      </c>
      <c r="K17" s="245" t="s">
        <v>2413</v>
      </c>
    </row>
    <row r="18" spans="5:11">
      <c r="E18" s="261" t="s">
        <v>2414</v>
      </c>
      <c r="F18" s="87">
        <f t="shared" si="0"/>
        <v>790712</v>
      </c>
      <c r="G18" s="243">
        <v>35489</v>
      </c>
      <c r="H18" s="245" t="s">
        <v>2419</v>
      </c>
      <c r="I18" s="245"/>
      <c r="J18" s="245"/>
      <c r="K18" s="245" t="s">
        <v>2413</v>
      </c>
    </row>
    <row r="19" spans="5:11">
      <c r="E19" s="261" t="s">
        <v>2420</v>
      </c>
      <c r="F19" s="87">
        <f t="shared" si="0"/>
        <v>840611</v>
      </c>
      <c r="G19" s="243">
        <v>40237</v>
      </c>
      <c r="H19" s="245" t="s">
        <v>2421</v>
      </c>
      <c r="I19" s="245" t="s">
        <v>2422</v>
      </c>
      <c r="J19" s="245" t="s">
        <v>2423</v>
      </c>
      <c r="K19" s="245" t="s">
        <v>2413</v>
      </c>
    </row>
    <row r="20" spans="5:11">
      <c r="E20" s="261" t="s">
        <v>2096</v>
      </c>
      <c r="F20" s="87">
        <f t="shared" si="0"/>
        <v>840611</v>
      </c>
      <c r="G20" s="265">
        <v>37680</v>
      </c>
      <c r="H20" s="266" t="s">
        <v>2671</v>
      </c>
      <c r="I20" s="266"/>
      <c r="J20" s="266"/>
      <c r="K20" s="245" t="s">
        <v>2413</v>
      </c>
    </row>
    <row r="21" spans="5:11">
      <c r="E21" s="261" t="s">
        <v>2429</v>
      </c>
      <c r="F21" s="87">
        <f t="shared" si="0"/>
        <v>760415</v>
      </c>
      <c r="G21" s="243">
        <v>38230</v>
      </c>
      <c r="H21" s="245" t="s">
        <v>2424</v>
      </c>
      <c r="I21" s="245" t="s">
        <v>2425</v>
      </c>
      <c r="J21" s="245" t="s">
        <v>2412</v>
      </c>
      <c r="K21" s="245" t="s">
        <v>2413</v>
      </c>
    </row>
    <row r="22" spans="5:11">
      <c r="E22" s="261" t="s">
        <v>2429</v>
      </c>
      <c r="F22" s="87">
        <f t="shared" si="0"/>
        <v>760415</v>
      </c>
      <c r="G22" s="243">
        <v>34758</v>
      </c>
      <c r="H22" s="245" t="s">
        <v>2426</v>
      </c>
      <c r="I22" s="245"/>
      <c r="J22" s="245"/>
      <c r="K22" s="245" t="s">
        <v>2413</v>
      </c>
    </row>
    <row r="23" spans="5:11">
      <c r="E23" s="261" t="s">
        <v>2430</v>
      </c>
      <c r="F23" s="87">
        <f>IF(ISBLANK($E23),"",VLOOKUP($E23,대표이사_참여인력_개요,2,FALSE))</f>
        <v>821121</v>
      </c>
      <c r="G23" s="243">
        <v>38776</v>
      </c>
      <c r="H23" s="245" t="s">
        <v>2431</v>
      </c>
      <c r="I23" s="245" t="s">
        <v>2432</v>
      </c>
      <c r="J23" s="245" t="s">
        <v>2423</v>
      </c>
      <c r="K23" s="245" t="s">
        <v>2433</v>
      </c>
    </row>
    <row r="24" spans="5:11">
      <c r="E24" s="261" t="s">
        <v>2430</v>
      </c>
      <c r="F24" s="87">
        <f>IF(ISBLANK($E24),"",VLOOKUP($E24,대표이사_참여인력_개요,2,FALSE))</f>
        <v>821121</v>
      </c>
      <c r="G24" s="243">
        <v>36950</v>
      </c>
      <c r="H24" s="245" t="s">
        <v>2434</v>
      </c>
      <c r="I24" s="245"/>
      <c r="J24" s="245"/>
      <c r="K24" s="245" t="s">
        <v>2433</v>
      </c>
    </row>
    <row r="25" spans="5:11">
      <c r="E25" s="261" t="s">
        <v>2435</v>
      </c>
      <c r="F25" s="87">
        <f>IF(ISBLANK($E25),"",VLOOKUP($E25,대표이사_참여인력_개요,2,FALSE))</f>
        <v>901120</v>
      </c>
      <c r="G25" s="243">
        <v>42978</v>
      </c>
      <c r="H25" s="245" t="s">
        <v>2436</v>
      </c>
      <c r="I25" s="245" t="s">
        <v>2437</v>
      </c>
      <c r="J25" s="245" t="s">
        <v>2423</v>
      </c>
      <c r="K25" s="245" t="s">
        <v>2413</v>
      </c>
    </row>
    <row r="26" spans="5:11">
      <c r="E26" s="261" t="s">
        <v>2438</v>
      </c>
      <c r="F26" s="87">
        <f>IF(ISBLANK($E26),"",VLOOKUP($E26,대표이사_참여인력_개요,2,FALSE))</f>
        <v>901120</v>
      </c>
      <c r="G26" s="243">
        <v>39872</v>
      </c>
      <c r="H26" s="245" t="s">
        <v>2439</v>
      </c>
      <c r="I26" s="245"/>
      <c r="J26" s="245"/>
      <c r="K26" s="245" t="s">
        <v>2413</v>
      </c>
    </row>
    <row r="27" spans="5:11">
      <c r="E27" s="261" t="s">
        <v>2673</v>
      </c>
      <c r="F27" s="87">
        <f t="shared" si="0"/>
        <v>740420</v>
      </c>
      <c r="G27" s="243">
        <v>34028</v>
      </c>
      <c r="H27" s="245" t="s">
        <v>2674</v>
      </c>
      <c r="I27" s="245"/>
      <c r="J27" s="245"/>
      <c r="K27" s="245" t="s">
        <v>2413</v>
      </c>
    </row>
    <row r="28" spans="5:11">
      <c r="E28" s="261" t="s">
        <v>2675</v>
      </c>
      <c r="F28" s="87">
        <f t="shared" si="0"/>
        <v>851219</v>
      </c>
      <c r="G28" s="243">
        <v>42794</v>
      </c>
      <c r="H28" s="245" t="s">
        <v>2676</v>
      </c>
      <c r="I28" s="245" t="s">
        <v>2680</v>
      </c>
      <c r="J28" s="245" t="s">
        <v>2681</v>
      </c>
      <c r="K28" s="245" t="s">
        <v>126</v>
      </c>
    </row>
    <row r="29" spans="5:11">
      <c r="E29" s="261" t="s">
        <v>2675</v>
      </c>
      <c r="F29" s="87">
        <f t="shared" si="0"/>
        <v>851219</v>
      </c>
      <c r="G29" s="243">
        <v>40967</v>
      </c>
      <c r="H29" s="245" t="s">
        <v>2678</v>
      </c>
      <c r="I29" s="245" t="s">
        <v>2682</v>
      </c>
      <c r="J29" s="245" t="s">
        <v>2683</v>
      </c>
      <c r="K29" s="245" t="s">
        <v>126</v>
      </c>
    </row>
    <row r="30" spans="5:11">
      <c r="E30" s="261" t="s">
        <v>2675</v>
      </c>
      <c r="F30" s="87">
        <f t="shared" si="0"/>
        <v>851219</v>
      </c>
      <c r="G30" s="243">
        <v>39872</v>
      </c>
      <c r="H30" s="245" t="s">
        <v>2676</v>
      </c>
      <c r="I30" s="245" t="s">
        <v>2679</v>
      </c>
      <c r="J30" s="245" t="s">
        <v>145</v>
      </c>
      <c r="K30" s="245" t="s">
        <v>2413</v>
      </c>
    </row>
    <row r="31" spans="5:11">
      <c r="E31" s="261" t="s">
        <v>2675</v>
      </c>
      <c r="F31" s="87">
        <f t="shared" si="0"/>
        <v>851219</v>
      </c>
      <c r="G31" s="243">
        <v>38045</v>
      </c>
      <c r="H31" s="245" t="s">
        <v>2677</v>
      </c>
      <c r="I31" s="245"/>
      <c r="J31" s="245"/>
      <c r="K31" s="245" t="s">
        <v>2413</v>
      </c>
    </row>
    <row r="32" spans="5:11" hidden="1">
      <c r="E32" s="261"/>
      <c r="F32" s="87" t="str">
        <f t="shared" si="0"/>
        <v/>
      </c>
      <c r="G32" s="243"/>
      <c r="H32" s="245"/>
      <c r="I32" s="245"/>
      <c r="J32" s="245"/>
      <c r="K32" s="245"/>
    </row>
    <row r="33" spans="5:11" hidden="1">
      <c r="E33" s="261"/>
      <c r="F33" s="87" t="str">
        <f t="shared" si="0"/>
        <v/>
      </c>
      <c r="G33" s="243"/>
      <c r="H33" s="245"/>
      <c r="I33" s="245"/>
      <c r="J33" s="245"/>
      <c r="K33" s="245"/>
    </row>
    <row r="34" spans="5:11" hidden="1">
      <c r="E34" s="261"/>
      <c r="F34" s="87" t="str">
        <f t="shared" si="0"/>
        <v/>
      </c>
      <c r="G34" s="243"/>
      <c r="H34" s="245"/>
      <c r="I34" s="245"/>
      <c r="J34" s="245"/>
      <c r="K34" s="245"/>
    </row>
    <row r="35" spans="5:11" hidden="1">
      <c r="E35" s="261"/>
      <c r="F35" s="87" t="str">
        <f t="shared" si="0"/>
        <v/>
      </c>
      <c r="G35" s="243"/>
      <c r="H35" s="245"/>
      <c r="I35" s="245"/>
      <c r="J35" s="245"/>
      <c r="K35" s="245"/>
    </row>
    <row r="36" spans="5:11" hidden="1">
      <c r="E36" s="262"/>
      <c r="F36" s="87" t="str">
        <f t="shared" si="0"/>
        <v/>
      </c>
      <c r="G36" s="243"/>
      <c r="H36" s="245"/>
      <c r="I36" s="245"/>
      <c r="J36" s="245"/>
      <c r="K36" s="245"/>
    </row>
    <row r="37" spans="5:11" hidden="1">
      <c r="E37" s="262"/>
      <c r="F37" s="87" t="str">
        <f t="shared" si="0"/>
        <v/>
      </c>
      <c r="G37" s="243"/>
      <c r="H37" s="245"/>
      <c r="I37" s="245"/>
      <c r="J37" s="245"/>
      <c r="K37" s="245"/>
    </row>
  </sheetData>
  <sortState ref="E27:K31">
    <sortCondition descending="1" ref="G27:G31"/>
  </sortState>
  <mergeCells count="2">
    <mergeCell ref="E4:F4"/>
    <mergeCell ref="G4:K4"/>
  </mergeCells>
  <phoneticPr fontId="1" type="noConversion"/>
  <dataValidations count="1">
    <dataValidation type="date" allowBlank="1" showInputMessage="1" showErrorMessage="1" error="연월일을 입력" sqref="G4:G31 G32:G37">
      <formula1>1</formula1>
      <formula2>2958465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E1:Z50"/>
  <sheetViews>
    <sheetView topLeftCell="E4" zoomScale="70" zoomScaleNormal="70" workbookViewId="0">
      <selection activeCell="K65" sqref="K65"/>
    </sheetView>
  </sheetViews>
  <sheetFormatPr defaultRowHeight="16.5"/>
  <cols>
    <col min="1" max="4" width="0" hidden="1" customWidth="1"/>
    <col min="5" max="5" width="10.625" customWidth="1"/>
    <col min="6" max="6" width="12.625" customWidth="1"/>
    <col min="7" max="7" width="15.625" customWidth="1"/>
    <col min="8" max="8" width="28.625" customWidth="1"/>
    <col min="9" max="9" width="7.25" customWidth="1"/>
    <col min="10" max="10" width="9.75" bestFit="1" customWidth="1"/>
    <col min="11" max="11" width="9.875" bestFit="1" customWidth="1"/>
    <col min="12" max="12" width="7.875" customWidth="1"/>
    <col min="13" max="13" width="15.625" bestFit="1" customWidth="1"/>
    <col min="14" max="14" width="17.375" bestFit="1" customWidth="1"/>
    <col min="15" max="15" width="28.75" customWidth="1"/>
    <col min="16" max="17" width="13.875" customWidth="1"/>
    <col min="18" max="18" width="7.5" customWidth="1"/>
    <col min="19" max="19" width="11" customWidth="1"/>
    <col min="20" max="20" width="12.375" customWidth="1"/>
    <col min="21" max="21" width="9" customWidth="1"/>
    <col min="22" max="22" width="29.125" customWidth="1"/>
    <col min="23" max="24" width="9.875" bestFit="1" customWidth="1"/>
  </cols>
  <sheetData>
    <row r="1" spans="5:26" hidden="1"/>
    <row r="2" spans="5:26" ht="15.75" hidden="1" customHeight="1"/>
    <row r="3" spans="5:26" ht="14.25" hidden="1" customHeight="1"/>
    <row r="4" spans="5:26" ht="16.5" customHeight="1">
      <c r="E4" s="520" t="s">
        <v>1284</v>
      </c>
      <c r="F4" s="522"/>
      <c r="G4" s="533" t="s">
        <v>1293</v>
      </c>
      <c r="H4" s="559"/>
      <c r="I4" s="559"/>
      <c r="J4" s="533" t="s">
        <v>1294</v>
      </c>
      <c r="K4" s="533"/>
      <c r="L4" s="533"/>
      <c r="M4" s="533" t="s">
        <v>1295</v>
      </c>
      <c r="N4" s="559"/>
      <c r="O4" s="559"/>
      <c r="P4" s="520" t="s">
        <v>1296</v>
      </c>
      <c r="Q4" s="521"/>
      <c r="R4" s="522"/>
      <c r="S4" s="520" t="s">
        <v>1297</v>
      </c>
      <c r="T4" s="557"/>
      <c r="U4" s="557"/>
      <c r="V4" s="558"/>
      <c r="W4" s="533" t="s">
        <v>1298</v>
      </c>
      <c r="X4" s="533"/>
      <c r="Y4" s="533"/>
    </row>
    <row r="5" spans="5:26" ht="40.5">
      <c r="E5" s="146" t="s">
        <v>1285</v>
      </c>
      <c r="F5" s="74" t="s">
        <v>1286</v>
      </c>
      <c r="G5" s="146" t="s">
        <v>1287</v>
      </c>
      <c r="H5" s="146" t="s">
        <v>1288</v>
      </c>
      <c r="I5" s="146" t="s">
        <v>1289</v>
      </c>
      <c r="J5" s="146" t="s">
        <v>1290</v>
      </c>
      <c r="K5" s="146" t="s">
        <v>1291</v>
      </c>
      <c r="L5" s="144" t="s">
        <v>1292</v>
      </c>
      <c r="M5" s="146" t="s">
        <v>1299</v>
      </c>
      <c r="N5" s="144" t="s">
        <v>1300</v>
      </c>
      <c r="O5" s="144" t="s">
        <v>1301</v>
      </c>
      <c r="P5" s="146" t="s">
        <v>1290</v>
      </c>
      <c r="Q5" s="146" t="s">
        <v>1291</v>
      </c>
      <c r="R5" s="144" t="s">
        <v>1292</v>
      </c>
      <c r="S5" s="145" t="s">
        <v>1302</v>
      </c>
      <c r="T5" s="175" t="s">
        <v>1305</v>
      </c>
      <c r="U5" s="176" t="s">
        <v>1303</v>
      </c>
      <c r="V5" s="177" t="s">
        <v>1304</v>
      </c>
      <c r="W5" s="146" t="s">
        <v>1290</v>
      </c>
      <c r="X5" s="146" t="s">
        <v>1291</v>
      </c>
      <c r="Y5" s="146" t="s">
        <v>1292</v>
      </c>
    </row>
    <row r="6" spans="5:26" hidden="1">
      <c r="E6" s="62"/>
      <c r="F6" s="9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97"/>
      <c r="U6" s="117"/>
      <c r="V6" s="116"/>
      <c r="W6" s="49"/>
      <c r="X6" s="49"/>
      <c r="Y6" s="49"/>
    </row>
    <row r="7" spans="5:26" hidden="1">
      <c r="E7" s="62"/>
      <c r="F7" s="9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97"/>
      <c r="U7" s="117"/>
      <c r="V7" s="116"/>
      <c r="W7" s="49"/>
      <c r="X7" s="49"/>
      <c r="Y7" s="49"/>
    </row>
    <row r="8" spans="5:26" hidden="1">
      <c r="E8" s="62"/>
      <c r="F8" s="90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97"/>
      <c r="U8" s="117"/>
      <c r="V8" s="116"/>
      <c r="W8" s="49"/>
      <c r="X8" s="49"/>
      <c r="Y8" s="49"/>
    </row>
    <row r="9" spans="5:26" hidden="1">
      <c r="E9" s="62"/>
      <c r="F9" s="9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97"/>
      <c r="U9" s="117"/>
      <c r="V9" s="116"/>
      <c r="W9" s="49"/>
      <c r="X9" s="49"/>
      <c r="Y9" s="49"/>
    </row>
    <row r="10" spans="5:26" hidden="1">
      <c r="E10" s="62"/>
      <c r="F10" s="90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97"/>
      <c r="U10" s="117"/>
      <c r="V10" s="116"/>
      <c r="W10" s="49"/>
      <c r="X10" s="49"/>
      <c r="Y10" s="49"/>
    </row>
    <row r="11" spans="5:26">
      <c r="E11" s="245" t="s">
        <v>2406</v>
      </c>
      <c r="F11" s="87">
        <f t="shared" ref="F11:F14" si="0">IF(ISBLANK($E11),"",VLOOKUP($E11,대표이사_참여인력_개요,2,FALSE))</f>
        <v>670701</v>
      </c>
      <c r="G11" s="70" t="s">
        <v>1273</v>
      </c>
      <c r="H11" s="72" t="s">
        <v>2353</v>
      </c>
      <c r="I11" s="129" t="str">
        <f>IFERROR(VLOOKUP(H11,'공직유관단체 코드'!$C$5:$D$1037,2,),"")</f>
        <v/>
      </c>
      <c r="J11" s="243">
        <v>37226</v>
      </c>
      <c r="K11" s="243">
        <v>42993</v>
      </c>
      <c r="L11" s="139">
        <f t="shared" ref="L11:L14" si="1">IF(ISBLANK(J11),"",DATEDIF(J11,K11,"d")/365)</f>
        <v>15.8</v>
      </c>
      <c r="M11" s="245" t="s">
        <v>2354</v>
      </c>
      <c r="N11" s="245" t="s">
        <v>2480</v>
      </c>
      <c r="O11" s="55" t="s">
        <v>2354</v>
      </c>
      <c r="P11" s="243">
        <v>37226</v>
      </c>
      <c r="Q11" s="243">
        <v>42769</v>
      </c>
      <c r="R11" s="125">
        <f t="shared" ref="R11:R14" si="2">IF(ISBLANK(P11),"",DATEDIF(P11,Q11,"d")/365)</f>
        <v>15.186301369863013</v>
      </c>
      <c r="S11" s="98" t="s">
        <v>131</v>
      </c>
      <c r="T11" s="98" t="s">
        <v>1262</v>
      </c>
      <c r="U11" s="327" t="s">
        <v>131</v>
      </c>
      <c r="V11" s="328" t="s">
        <v>2669</v>
      </c>
      <c r="W11" s="243">
        <v>37226</v>
      </c>
      <c r="X11" s="243">
        <v>42993</v>
      </c>
      <c r="Y11" s="143">
        <f t="shared" ref="Y11:Y14" si="3">IF(ISBLANK(W11),"",DATEDIF(W11,X11,"d")/365)</f>
        <v>15.8</v>
      </c>
    </row>
    <row r="12" spans="5:26">
      <c r="E12" s="245" t="s">
        <v>2406</v>
      </c>
      <c r="F12" s="87">
        <f t="shared" si="0"/>
        <v>670701</v>
      </c>
      <c r="G12" s="70" t="s">
        <v>1273</v>
      </c>
      <c r="H12" s="72" t="s">
        <v>2477</v>
      </c>
      <c r="I12" s="129" t="str">
        <f>IFERROR(VLOOKUP(H12,'공직유관단체 코드'!$C$5:$D$1037,2,),"")</f>
        <v/>
      </c>
      <c r="J12" s="243">
        <v>36580</v>
      </c>
      <c r="K12" s="243">
        <v>36763</v>
      </c>
      <c r="L12" s="139">
        <f t="shared" si="1"/>
        <v>0.50136986301369868</v>
      </c>
      <c r="M12" s="245" t="s">
        <v>3020</v>
      </c>
      <c r="N12" s="245" t="s">
        <v>2483</v>
      </c>
      <c r="O12" s="55" t="s">
        <v>2393</v>
      </c>
      <c r="P12" s="243">
        <v>36580</v>
      </c>
      <c r="Q12" s="243">
        <v>36763</v>
      </c>
      <c r="R12" s="125">
        <f t="shared" si="2"/>
        <v>0.50136986301369868</v>
      </c>
      <c r="S12" s="98" t="s">
        <v>131</v>
      </c>
      <c r="T12" s="98" t="s">
        <v>1262</v>
      </c>
      <c r="U12" s="327" t="s">
        <v>131</v>
      </c>
      <c r="V12" s="329" t="s">
        <v>2959</v>
      </c>
      <c r="W12" s="243">
        <v>36580</v>
      </c>
      <c r="X12" s="243">
        <v>36763</v>
      </c>
      <c r="Y12" s="143">
        <f t="shared" si="3"/>
        <v>0.50136986301369868</v>
      </c>
    </row>
    <row r="13" spans="5:26">
      <c r="E13" s="245" t="s">
        <v>2406</v>
      </c>
      <c r="F13" s="87">
        <f t="shared" si="0"/>
        <v>670701</v>
      </c>
      <c r="G13" s="70" t="s">
        <v>1273</v>
      </c>
      <c r="H13" s="72" t="s">
        <v>2478</v>
      </c>
      <c r="I13" s="129" t="str">
        <f>IFERROR(VLOOKUP(H13,'공직유관단체 코드'!$C$5:$D$1037,2,),"")</f>
        <v/>
      </c>
      <c r="J13" s="243">
        <v>35662</v>
      </c>
      <c r="K13" s="243">
        <v>36580</v>
      </c>
      <c r="L13" s="139">
        <f t="shared" si="1"/>
        <v>2.515068493150685</v>
      </c>
      <c r="M13" s="245" t="s">
        <v>2482</v>
      </c>
      <c r="N13" s="245" t="s">
        <v>2484</v>
      </c>
      <c r="O13" s="55" t="s">
        <v>2393</v>
      </c>
      <c r="P13" s="243">
        <v>35662</v>
      </c>
      <c r="Q13" s="243">
        <v>36580</v>
      </c>
      <c r="R13" s="125">
        <f t="shared" si="2"/>
        <v>2.515068493150685</v>
      </c>
      <c r="S13" s="98" t="s">
        <v>131</v>
      </c>
      <c r="T13" s="98" t="s">
        <v>1262</v>
      </c>
      <c r="U13" s="327" t="s">
        <v>131</v>
      </c>
      <c r="V13" s="329" t="s">
        <v>2959</v>
      </c>
      <c r="W13" s="243">
        <v>35662</v>
      </c>
      <c r="X13" s="243">
        <v>36580</v>
      </c>
      <c r="Y13" s="143">
        <f t="shared" si="3"/>
        <v>2.515068493150685</v>
      </c>
    </row>
    <row r="14" spans="5:26">
      <c r="E14" s="245" t="s">
        <v>2406</v>
      </c>
      <c r="F14" s="87">
        <f t="shared" si="0"/>
        <v>670701</v>
      </c>
      <c r="G14" s="70" t="s">
        <v>1626</v>
      </c>
      <c r="H14" s="72" t="s">
        <v>2479</v>
      </c>
      <c r="I14" s="129" t="str">
        <f>IFERROR(VLOOKUP(H14,'공직유관단체 코드'!$C$5:$D$1037,2,),"")</f>
        <v/>
      </c>
      <c r="J14" s="243">
        <v>33588</v>
      </c>
      <c r="K14" s="243">
        <v>35611</v>
      </c>
      <c r="L14" s="139">
        <f t="shared" si="1"/>
        <v>5.5424657534246577</v>
      </c>
      <c r="M14" s="245" t="s">
        <v>2481</v>
      </c>
      <c r="N14" s="245" t="s">
        <v>2486</v>
      </c>
      <c r="O14" s="55" t="s">
        <v>2485</v>
      </c>
      <c r="P14" s="243">
        <v>33588</v>
      </c>
      <c r="Q14" s="243">
        <v>35611</v>
      </c>
      <c r="R14" s="125">
        <f t="shared" si="2"/>
        <v>5.5424657534246577</v>
      </c>
      <c r="S14" s="98" t="s">
        <v>117</v>
      </c>
      <c r="T14" s="98" t="s">
        <v>1278</v>
      </c>
      <c r="U14" s="327" t="s">
        <v>117</v>
      </c>
      <c r="V14" s="329"/>
      <c r="W14" s="243">
        <v>33588</v>
      </c>
      <c r="X14" s="243">
        <v>35611</v>
      </c>
      <c r="Y14" s="143">
        <f t="shared" si="3"/>
        <v>5.5424657534246577</v>
      </c>
    </row>
    <row r="15" spans="5:26">
      <c r="E15" s="53" t="s">
        <v>2389</v>
      </c>
      <c r="F15" s="87">
        <f t="shared" ref="F15:F50" si="4">IF(ISBLANK($E15),"",VLOOKUP($E15,대표이사_참여인력_개요,2,FALSE))</f>
        <v>770126</v>
      </c>
      <c r="G15" s="70" t="s">
        <v>1273</v>
      </c>
      <c r="H15" s="72" t="s">
        <v>2353</v>
      </c>
      <c r="I15" s="129" t="str">
        <f>IFERROR(VLOOKUP(H15,'공직유관단체 코드'!$C$5:$D$1037,2,),"")</f>
        <v/>
      </c>
      <c r="J15" s="30">
        <v>40820</v>
      </c>
      <c r="K15" s="30">
        <v>42993</v>
      </c>
      <c r="L15" s="139">
        <f>IF(ISBLANK(J15),"",DATEDIF(J15,K15,"d")/365)</f>
        <v>5.9534246575342467</v>
      </c>
      <c r="M15" s="53" t="s">
        <v>2442</v>
      </c>
      <c r="N15" s="53" t="s">
        <v>2443</v>
      </c>
      <c r="O15" s="55" t="s">
        <v>2449</v>
      </c>
      <c r="P15" s="30">
        <v>40820</v>
      </c>
      <c r="Q15" s="30">
        <v>42993</v>
      </c>
      <c r="R15" s="125">
        <f>IF(ISBLANK(P15),"",DATEDIF(P15,Q15,"d")/365)</f>
        <v>5.9534246575342467</v>
      </c>
      <c r="S15" s="98" t="s">
        <v>131</v>
      </c>
      <c r="T15" s="98" t="s">
        <v>1262</v>
      </c>
      <c r="U15" s="327" t="s">
        <v>131</v>
      </c>
      <c r="V15" s="328" t="s">
        <v>2669</v>
      </c>
      <c r="W15" s="124">
        <v>40820</v>
      </c>
      <c r="X15" s="124">
        <v>42993</v>
      </c>
      <c r="Y15" s="143">
        <f>IF(ISBLANK(W15),"",DATEDIF(W15,X15,"d")/365)</f>
        <v>5.9534246575342467</v>
      </c>
      <c r="Z15" s="391"/>
    </row>
    <row r="16" spans="5:26">
      <c r="E16" s="245" t="s">
        <v>2347</v>
      </c>
      <c r="F16" s="87">
        <f t="shared" si="4"/>
        <v>770126</v>
      </c>
      <c r="G16" s="70" t="s">
        <v>1273</v>
      </c>
      <c r="H16" s="72" t="s">
        <v>2687</v>
      </c>
      <c r="I16" s="129" t="str">
        <f>IFERROR(VLOOKUP(H16,'공직유관단체 코드'!$C$5:$D$1037,2,),"")</f>
        <v/>
      </c>
      <c r="J16" s="30">
        <v>39314</v>
      </c>
      <c r="K16" s="30">
        <v>40805</v>
      </c>
      <c r="L16" s="139">
        <f t="shared" ref="L16:L50" si="5">IF(ISBLANK(J16),"",DATEDIF(J16,K16,"d")/365)</f>
        <v>4.0849315068493155</v>
      </c>
      <c r="M16" s="53" t="s">
        <v>2444</v>
      </c>
      <c r="N16" s="53" t="s">
        <v>2445</v>
      </c>
      <c r="O16" s="55" t="s">
        <v>2450</v>
      </c>
      <c r="P16" s="30">
        <v>39314</v>
      </c>
      <c r="Q16" s="30">
        <v>40805</v>
      </c>
      <c r="R16" s="125">
        <f t="shared" ref="R16:R50" si="6">IF(ISBLANK(P16),"",DATEDIF(P16,Q16,"d")/365)</f>
        <v>4.0849315068493155</v>
      </c>
      <c r="S16" s="98" t="s">
        <v>131</v>
      </c>
      <c r="T16" s="98" t="s">
        <v>1625</v>
      </c>
      <c r="U16" s="327" t="s">
        <v>131</v>
      </c>
      <c r="V16" s="329" t="s">
        <v>2959</v>
      </c>
      <c r="W16" s="124">
        <v>39314</v>
      </c>
      <c r="X16" s="124">
        <v>40805</v>
      </c>
      <c r="Y16" s="143">
        <f t="shared" ref="Y16:Y50" si="7">IF(ISBLANK(W16),"",DATEDIF(W16,X16,"d")/365)</f>
        <v>4.0849315068493155</v>
      </c>
    </row>
    <row r="17" spans="5:25">
      <c r="E17" s="245" t="s">
        <v>2347</v>
      </c>
      <c r="F17" s="87">
        <f t="shared" si="4"/>
        <v>770126</v>
      </c>
      <c r="G17" s="70" t="s">
        <v>1273</v>
      </c>
      <c r="H17" s="72" t="s">
        <v>2661</v>
      </c>
      <c r="I17" s="129" t="str">
        <f>IFERROR(VLOOKUP(H17,'공직유관단체 코드'!$C$5:$D$1037,2,),"")</f>
        <v/>
      </c>
      <c r="J17" s="30">
        <v>39195</v>
      </c>
      <c r="K17" s="30">
        <v>39258</v>
      </c>
      <c r="L17" s="139">
        <f t="shared" si="5"/>
        <v>0.17260273972602741</v>
      </c>
      <c r="M17" s="53" t="s">
        <v>2446</v>
      </c>
      <c r="N17" s="53" t="s">
        <v>2445</v>
      </c>
      <c r="O17" s="55" t="s">
        <v>2451</v>
      </c>
      <c r="P17" s="30">
        <v>39195</v>
      </c>
      <c r="Q17" s="30">
        <v>39258</v>
      </c>
      <c r="R17" s="125">
        <f t="shared" si="6"/>
        <v>0.17260273972602741</v>
      </c>
      <c r="S17" s="98" t="s">
        <v>131</v>
      </c>
      <c r="T17" s="98" t="s">
        <v>1625</v>
      </c>
      <c r="U17" s="327" t="s">
        <v>131</v>
      </c>
      <c r="V17" s="329" t="s">
        <v>2959</v>
      </c>
      <c r="W17" s="124">
        <v>39195</v>
      </c>
      <c r="X17" s="124">
        <v>39258</v>
      </c>
      <c r="Y17" s="143">
        <f t="shared" si="7"/>
        <v>0.17260273972602741</v>
      </c>
    </row>
    <row r="18" spans="5:25">
      <c r="E18" s="245" t="s">
        <v>2347</v>
      </c>
      <c r="F18" s="87">
        <f t="shared" si="4"/>
        <v>770126</v>
      </c>
      <c r="G18" s="70" t="s">
        <v>1626</v>
      </c>
      <c r="H18" s="72" t="s">
        <v>2441</v>
      </c>
      <c r="I18" s="129" t="str">
        <f>IFERROR(VLOOKUP(H18,'공직유관단체 코드'!$C$5:$D$1037,2,),"")</f>
        <v/>
      </c>
      <c r="J18" s="30">
        <v>37987</v>
      </c>
      <c r="K18" s="30">
        <v>39188</v>
      </c>
      <c r="L18" s="139">
        <f t="shared" si="5"/>
        <v>3.2904109589041095</v>
      </c>
      <c r="M18" s="53" t="s">
        <v>2447</v>
      </c>
      <c r="N18" s="53" t="s">
        <v>2448</v>
      </c>
      <c r="O18" s="55" t="s">
        <v>2452</v>
      </c>
      <c r="P18" s="30">
        <v>37987</v>
      </c>
      <c r="Q18" s="30">
        <v>39188</v>
      </c>
      <c r="R18" s="125">
        <f t="shared" si="6"/>
        <v>3.2904109589041095</v>
      </c>
      <c r="S18" s="98" t="s">
        <v>117</v>
      </c>
      <c r="T18" s="98" t="s">
        <v>1278</v>
      </c>
      <c r="U18" s="327" t="s">
        <v>117</v>
      </c>
      <c r="V18" s="329"/>
      <c r="W18" s="124">
        <v>40087</v>
      </c>
      <c r="X18" s="124">
        <v>40268</v>
      </c>
      <c r="Y18" s="143">
        <f t="shared" si="7"/>
        <v>0.49589041095890413</v>
      </c>
    </row>
    <row r="19" spans="5:25">
      <c r="E19" s="53" t="s">
        <v>2487</v>
      </c>
      <c r="F19" s="87">
        <f t="shared" si="4"/>
        <v>790712</v>
      </c>
      <c r="G19" s="70" t="s">
        <v>1273</v>
      </c>
      <c r="H19" s="72" t="s">
        <v>2488</v>
      </c>
      <c r="I19" s="129" t="str">
        <f>IFERROR(VLOOKUP(H19,'공직유관단체 코드'!$C$5:$D$1037,2,),"")</f>
        <v/>
      </c>
      <c r="J19" s="30">
        <v>41155</v>
      </c>
      <c r="K19" s="30">
        <v>42993</v>
      </c>
      <c r="L19" s="139">
        <f t="shared" si="5"/>
        <v>5.0356164383561648</v>
      </c>
      <c r="M19" s="53" t="s">
        <v>2492</v>
      </c>
      <c r="N19" s="53" t="s">
        <v>2493</v>
      </c>
      <c r="O19" s="55" t="s">
        <v>2495</v>
      </c>
      <c r="P19" s="243">
        <v>41155</v>
      </c>
      <c r="Q19" s="243">
        <v>42993</v>
      </c>
      <c r="R19" s="125">
        <f t="shared" si="6"/>
        <v>5.0356164383561648</v>
      </c>
      <c r="S19" s="98" t="s">
        <v>131</v>
      </c>
      <c r="T19" s="98" t="s">
        <v>1262</v>
      </c>
      <c r="U19" s="327" t="s">
        <v>131</v>
      </c>
      <c r="V19" s="328" t="s">
        <v>2669</v>
      </c>
      <c r="W19" s="243">
        <v>41155</v>
      </c>
      <c r="X19" s="243">
        <v>42993</v>
      </c>
      <c r="Y19" s="143">
        <f t="shared" si="7"/>
        <v>5.0356164383561648</v>
      </c>
    </row>
    <row r="20" spans="5:25">
      <c r="E20" s="245" t="s">
        <v>2487</v>
      </c>
      <c r="F20" s="87">
        <f t="shared" si="4"/>
        <v>790712</v>
      </c>
      <c r="G20" s="70" t="s">
        <v>1626</v>
      </c>
      <c r="H20" s="72" t="s">
        <v>2489</v>
      </c>
      <c r="I20" s="129" t="str">
        <f>IFERROR(VLOOKUP(H20,'공직유관단체 코드'!$C$5:$D$1037,2,),"")</f>
        <v/>
      </c>
      <c r="J20" s="30">
        <v>40401</v>
      </c>
      <c r="K20" s="30">
        <v>41152</v>
      </c>
      <c r="L20" s="139">
        <f t="shared" si="5"/>
        <v>2.0575342465753423</v>
      </c>
      <c r="M20" s="53"/>
      <c r="N20" s="53" t="s">
        <v>2494</v>
      </c>
      <c r="O20" s="55" t="s">
        <v>2496</v>
      </c>
      <c r="P20" s="243">
        <v>40401</v>
      </c>
      <c r="Q20" s="243">
        <v>41152</v>
      </c>
      <c r="R20" s="125">
        <f t="shared" si="6"/>
        <v>2.0575342465753423</v>
      </c>
      <c r="S20" s="98" t="s">
        <v>117</v>
      </c>
      <c r="T20" s="98" t="s">
        <v>1278</v>
      </c>
      <c r="U20" s="327" t="s">
        <v>117</v>
      </c>
      <c r="V20" s="329"/>
      <c r="W20" s="243">
        <v>40401</v>
      </c>
      <c r="X20" s="243">
        <v>41152</v>
      </c>
      <c r="Y20" s="143">
        <f t="shared" si="7"/>
        <v>2.0575342465753423</v>
      </c>
    </row>
    <row r="21" spans="5:25">
      <c r="E21" s="245" t="s">
        <v>2487</v>
      </c>
      <c r="F21" s="87">
        <f t="shared" si="4"/>
        <v>790712</v>
      </c>
      <c r="G21" s="70" t="s">
        <v>1626</v>
      </c>
      <c r="H21" s="72" t="s">
        <v>2490</v>
      </c>
      <c r="I21" s="129" t="str">
        <f>IFERROR(VLOOKUP(H21,'공직유관단체 코드'!$C$5:$D$1037,2,),"")</f>
        <v/>
      </c>
      <c r="J21" s="30">
        <v>36831</v>
      </c>
      <c r="K21" s="30">
        <v>39478</v>
      </c>
      <c r="L21" s="139">
        <f t="shared" si="5"/>
        <v>7.2520547945205482</v>
      </c>
      <c r="M21" s="53" t="s">
        <v>2498</v>
      </c>
      <c r="N21" s="53" t="s">
        <v>2499</v>
      </c>
      <c r="O21" s="55" t="s">
        <v>2497</v>
      </c>
      <c r="P21" s="243">
        <v>36831</v>
      </c>
      <c r="Q21" s="243">
        <v>39478</v>
      </c>
      <c r="R21" s="125">
        <f t="shared" si="6"/>
        <v>7.2520547945205482</v>
      </c>
      <c r="S21" s="98" t="s">
        <v>117</v>
      </c>
      <c r="T21" s="98" t="s">
        <v>1278</v>
      </c>
      <c r="U21" s="327" t="s">
        <v>117</v>
      </c>
      <c r="V21" s="329"/>
      <c r="W21" s="243">
        <v>36831</v>
      </c>
      <c r="X21" s="243">
        <v>39478</v>
      </c>
      <c r="Y21" s="143">
        <f t="shared" si="7"/>
        <v>7.2520547945205482</v>
      </c>
    </row>
    <row r="22" spans="5:25">
      <c r="E22" s="53" t="s">
        <v>2500</v>
      </c>
      <c r="F22" s="87">
        <f t="shared" si="4"/>
        <v>840611</v>
      </c>
      <c r="G22" s="70" t="s">
        <v>1273</v>
      </c>
      <c r="H22" s="72" t="s">
        <v>2488</v>
      </c>
      <c r="I22" s="129" t="str">
        <f>IFERROR(VLOOKUP(H22,'공직유관단체 코드'!$C$5:$D$1037,2,),"")</f>
        <v/>
      </c>
      <c r="J22" s="30">
        <v>42849</v>
      </c>
      <c r="K22" s="30">
        <v>42993</v>
      </c>
      <c r="L22" s="139">
        <f t="shared" si="5"/>
        <v>0.39452054794520547</v>
      </c>
      <c r="M22" s="53" t="s">
        <v>2492</v>
      </c>
      <c r="N22" s="53" t="s">
        <v>2505</v>
      </c>
      <c r="O22" s="55" t="s">
        <v>3021</v>
      </c>
      <c r="P22" s="243">
        <v>42849</v>
      </c>
      <c r="Q22" s="243">
        <v>42993</v>
      </c>
      <c r="R22" s="125">
        <f t="shared" si="6"/>
        <v>0.39452054794520547</v>
      </c>
      <c r="S22" s="98" t="s">
        <v>131</v>
      </c>
      <c r="T22" s="98" t="s">
        <v>1262</v>
      </c>
      <c r="U22" s="327" t="s">
        <v>131</v>
      </c>
      <c r="V22" s="328" t="s">
        <v>2669</v>
      </c>
      <c r="W22" s="243">
        <v>42849</v>
      </c>
      <c r="X22" s="243">
        <v>42993</v>
      </c>
      <c r="Y22" s="143">
        <f t="shared" si="7"/>
        <v>0.39452054794520547</v>
      </c>
    </row>
    <row r="23" spans="5:25">
      <c r="E23" s="53" t="s">
        <v>2500</v>
      </c>
      <c r="F23" s="87">
        <f t="shared" si="4"/>
        <v>840611</v>
      </c>
      <c r="G23" s="70" t="s">
        <v>1273</v>
      </c>
      <c r="H23" s="72" t="s">
        <v>2501</v>
      </c>
      <c r="I23" s="129" t="str">
        <f>IFERROR(VLOOKUP(H23,'공직유관단체 코드'!$C$5:$D$1037,2,),"")</f>
        <v/>
      </c>
      <c r="J23" s="30">
        <v>40166</v>
      </c>
      <c r="K23" s="30">
        <v>42846</v>
      </c>
      <c r="L23" s="139">
        <f t="shared" si="5"/>
        <v>7.3424657534246576</v>
      </c>
      <c r="M23" s="53" t="s">
        <v>2503</v>
      </c>
      <c r="N23" s="53" t="s">
        <v>2507</v>
      </c>
      <c r="O23" s="55" t="s">
        <v>2510</v>
      </c>
      <c r="P23" s="243">
        <v>40166</v>
      </c>
      <c r="Q23" s="243">
        <v>42846</v>
      </c>
      <c r="R23" s="125">
        <f t="shared" si="6"/>
        <v>7.3424657534246576</v>
      </c>
      <c r="S23" s="98" t="s">
        <v>131</v>
      </c>
      <c r="T23" s="98" t="s">
        <v>1625</v>
      </c>
      <c r="U23" s="327" t="s">
        <v>131</v>
      </c>
      <c r="V23" s="329" t="s">
        <v>2959</v>
      </c>
      <c r="W23" s="243">
        <v>40166</v>
      </c>
      <c r="X23" s="243">
        <v>42846</v>
      </c>
      <c r="Y23" s="143">
        <f t="shared" si="7"/>
        <v>7.3424657534246576</v>
      </c>
    </row>
    <row r="24" spans="5:25">
      <c r="E24" s="53" t="s">
        <v>2500</v>
      </c>
      <c r="F24" s="87">
        <f t="shared" si="4"/>
        <v>840611</v>
      </c>
      <c r="G24" s="70" t="s">
        <v>1273</v>
      </c>
      <c r="H24" s="72" t="s">
        <v>2502</v>
      </c>
      <c r="I24" s="129" t="str">
        <f>IFERROR(VLOOKUP(H24,'공직유관단체 코드'!$C$5:$D$1037,2,),"")</f>
        <v/>
      </c>
      <c r="J24" s="30">
        <v>38705</v>
      </c>
      <c r="K24" s="30">
        <v>39493</v>
      </c>
      <c r="L24" s="139">
        <f t="shared" si="5"/>
        <v>2.1589041095890411</v>
      </c>
      <c r="M24" s="53" t="s">
        <v>2504</v>
      </c>
      <c r="N24" s="53" t="s">
        <v>2508</v>
      </c>
      <c r="O24" s="55" t="s">
        <v>2509</v>
      </c>
      <c r="P24" s="243">
        <v>38705</v>
      </c>
      <c r="Q24" s="243">
        <v>39493</v>
      </c>
      <c r="R24" s="125">
        <f t="shared" si="6"/>
        <v>2.1589041095890411</v>
      </c>
      <c r="S24" s="98" t="s">
        <v>117</v>
      </c>
      <c r="T24" s="98" t="s">
        <v>1278</v>
      </c>
      <c r="U24" s="327" t="s">
        <v>117</v>
      </c>
      <c r="V24" s="329"/>
      <c r="W24" s="243">
        <v>38705</v>
      </c>
      <c r="X24" s="243">
        <v>39493</v>
      </c>
      <c r="Y24" s="143">
        <f t="shared" si="7"/>
        <v>2.1589041095890411</v>
      </c>
    </row>
    <row r="25" spans="5:25">
      <c r="E25" s="53" t="s">
        <v>2511</v>
      </c>
      <c r="F25" s="87">
        <f t="shared" si="4"/>
        <v>760415</v>
      </c>
      <c r="G25" s="70" t="s">
        <v>1273</v>
      </c>
      <c r="H25" s="72" t="s">
        <v>2072</v>
      </c>
      <c r="I25" s="129" t="str">
        <f>IFERROR(VLOOKUP(H25,'공직유관단체 코드'!$C$5:$D$1037,2,),"")</f>
        <v/>
      </c>
      <c r="J25" s="30">
        <v>41318</v>
      </c>
      <c r="K25" s="30">
        <v>42993</v>
      </c>
      <c r="L25" s="139">
        <f t="shared" si="5"/>
        <v>4.5890410958904111</v>
      </c>
      <c r="M25" s="53" t="s">
        <v>2519</v>
      </c>
      <c r="N25" s="53" t="s">
        <v>2648</v>
      </c>
      <c r="O25" s="55" t="s">
        <v>2638</v>
      </c>
      <c r="P25" s="30">
        <v>41318</v>
      </c>
      <c r="Q25" s="30">
        <v>42993</v>
      </c>
      <c r="R25" s="125">
        <f t="shared" si="6"/>
        <v>4.5890410958904111</v>
      </c>
      <c r="S25" s="98" t="s">
        <v>117</v>
      </c>
      <c r="T25" s="98" t="s">
        <v>1262</v>
      </c>
      <c r="U25" s="327" t="s">
        <v>131</v>
      </c>
      <c r="V25" s="328" t="s">
        <v>2669</v>
      </c>
      <c r="W25" s="124">
        <v>41318</v>
      </c>
      <c r="X25" s="124">
        <v>42993</v>
      </c>
      <c r="Y25" s="143">
        <f t="shared" si="7"/>
        <v>4.5890410958904111</v>
      </c>
    </row>
    <row r="26" spans="5:25">
      <c r="E26" s="245" t="s">
        <v>2427</v>
      </c>
      <c r="F26" s="87">
        <f t="shared" si="4"/>
        <v>760415</v>
      </c>
      <c r="G26" s="70" t="s">
        <v>1273</v>
      </c>
      <c r="H26" s="72" t="s">
        <v>2632</v>
      </c>
      <c r="I26" s="129" t="str">
        <f>IFERROR(VLOOKUP(H26,'공직유관단체 코드'!$C$5:$D$1037,2,),"")</f>
        <v/>
      </c>
      <c r="J26" s="30">
        <v>39853</v>
      </c>
      <c r="K26" s="30">
        <v>41271</v>
      </c>
      <c r="L26" s="139">
        <f t="shared" si="5"/>
        <v>3.8849315068493149</v>
      </c>
      <c r="M26" s="53" t="s">
        <v>2639</v>
      </c>
      <c r="N26" s="53" t="s">
        <v>2640</v>
      </c>
      <c r="O26" s="55" t="s">
        <v>2641</v>
      </c>
      <c r="P26" s="30">
        <v>39853</v>
      </c>
      <c r="Q26" s="30">
        <v>41271</v>
      </c>
      <c r="R26" s="125">
        <f t="shared" si="6"/>
        <v>3.8849315068493149</v>
      </c>
      <c r="S26" s="98" t="s">
        <v>117</v>
      </c>
      <c r="T26" s="98" t="s">
        <v>1262</v>
      </c>
      <c r="U26" s="327" t="s">
        <v>131</v>
      </c>
      <c r="V26" s="329" t="s">
        <v>2959</v>
      </c>
      <c r="W26" s="124">
        <v>39853</v>
      </c>
      <c r="X26" s="124">
        <v>41271</v>
      </c>
      <c r="Y26" s="143">
        <f t="shared" si="7"/>
        <v>3.8849315068493149</v>
      </c>
    </row>
    <row r="27" spans="5:25">
      <c r="E27" s="245" t="s">
        <v>2427</v>
      </c>
      <c r="F27" s="87">
        <f t="shared" si="4"/>
        <v>760415</v>
      </c>
      <c r="G27" s="70" t="s">
        <v>1273</v>
      </c>
      <c r="H27" s="72" t="s">
        <v>2633</v>
      </c>
      <c r="I27" s="129" t="str">
        <f>IFERROR(VLOOKUP(H27,'공직유관단체 코드'!$C$5:$D$1037,2,),"")</f>
        <v/>
      </c>
      <c r="J27" s="30">
        <v>39643</v>
      </c>
      <c r="K27" s="30">
        <v>39852</v>
      </c>
      <c r="L27" s="139">
        <f t="shared" si="5"/>
        <v>0.57260273972602738</v>
      </c>
      <c r="M27" s="53" t="s">
        <v>2639</v>
      </c>
      <c r="N27" s="53" t="s">
        <v>2520</v>
      </c>
      <c r="O27" s="55" t="s">
        <v>2642</v>
      </c>
      <c r="P27" s="30">
        <v>39643</v>
      </c>
      <c r="Q27" s="30">
        <v>39852</v>
      </c>
      <c r="R27" s="125">
        <f t="shared" si="6"/>
        <v>0.57260273972602738</v>
      </c>
      <c r="S27" s="98" t="s">
        <v>117</v>
      </c>
      <c r="T27" s="98" t="s">
        <v>1262</v>
      </c>
      <c r="U27" s="327" t="s">
        <v>131</v>
      </c>
      <c r="V27" s="329" t="s">
        <v>2959</v>
      </c>
      <c r="W27" s="124">
        <v>39643</v>
      </c>
      <c r="X27" s="124">
        <v>39852</v>
      </c>
      <c r="Y27" s="143">
        <f t="shared" si="7"/>
        <v>0.57260273972602738</v>
      </c>
    </row>
    <row r="28" spans="5:25">
      <c r="E28" s="245" t="s">
        <v>2427</v>
      </c>
      <c r="F28" s="87">
        <f t="shared" si="4"/>
        <v>760415</v>
      </c>
      <c r="G28" s="70" t="s">
        <v>1273</v>
      </c>
      <c r="H28" s="72" t="s">
        <v>2634</v>
      </c>
      <c r="I28" s="129" t="str">
        <f>IFERROR(VLOOKUP(H28,'공직유관단체 코드'!$C$5:$D$1037,2,),"")</f>
        <v/>
      </c>
      <c r="J28" s="30">
        <v>39387</v>
      </c>
      <c r="K28" s="30">
        <v>39633</v>
      </c>
      <c r="L28" s="139">
        <f t="shared" si="5"/>
        <v>0.67397260273972603</v>
      </c>
      <c r="M28" s="53" t="s">
        <v>2643</v>
      </c>
      <c r="N28" s="53" t="s">
        <v>2640</v>
      </c>
      <c r="O28" s="55" t="s">
        <v>2641</v>
      </c>
      <c r="P28" s="30">
        <v>39387</v>
      </c>
      <c r="Q28" s="30">
        <v>39633</v>
      </c>
      <c r="R28" s="125">
        <f t="shared" si="6"/>
        <v>0.67397260273972603</v>
      </c>
      <c r="S28" s="98" t="s">
        <v>117</v>
      </c>
      <c r="T28" s="98" t="s">
        <v>1262</v>
      </c>
      <c r="U28" s="327" t="s">
        <v>131</v>
      </c>
      <c r="V28" s="329" t="s">
        <v>2959</v>
      </c>
      <c r="W28" s="124">
        <v>39387</v>
      </c>
      <c r="X28" s="124">
        <v>39633</v>
      </c>
      <c r="Y28" s="143">
        <f t="shared" si="7"/>
        <v>0.67397260273972603</v>
      </c>
    </row>
    <row r="29" spans="5:25">
      <c r="E29" s="245" t="s">
        <v>2427</v>
      </c>
      <c r="F29" s="87">
        <f t="shared" si="4"/>
        <v>760415</v>
      </c>
      <c r="G29" s="70" t="s">
        <v>1273</v>
      </c>
      <c r="H29" s="72" t="s">
        <v>2634</v>
      </c>
      <c r="I29" s="129" t="str">
        <f>IFERROR(VLOOKUP(H29,'공직유관단체 코드'!$C$5:$D$1037,2,),"")</f>
        <v/>
      </c>
      <c r="J29" s="30">
        <v>38384</v>
      </c>
      <c r="K29" s="30">
        <v>39172</v>
      </c>
      <c r="L29" s="139">
        <f t="shared" si="5"/>
        <v>2.1589041095890411</v>
      </c>
      <c r="M29" s="53" t="s">
        <v>2643</v>
      </c>
      <c r="N29" s="53" t="s">
        <v>2640</v>
      </c>
      <c r="O29" s="55" t="s">
        <v>2641</v>
      </c>
      <c r="P29" s="30">
        <v>38384</v>
      </c>
      <c r="Q29" s="30">
        <v>39172</v>
      </c>
      <c r="R29" s="125">
        <f t="shared" si="6"/>
        <v>2.1589041095890411</v>
      </c>
      <c r="S29" s="98" t="s">
        <v>117</v>
      </c>
      <c r="T29" s="98" t="s">
        <v>1262</v>
      </c>
      <c r="U29" s="327" t="s">
        <v>131</v>
      </c>
      <c r="V29" s="329" t="s">
        <v>2959</v>
      </c>
      <c r="W29" s="124">
        <v>38384</v>
      </c>
      <c r="X29" s="124">
        <v>39172</v>
      </c>
      <c r="Y29" s="143">
        <f t="shared" si="7"/>
        <v>2.1589041095890411</v>
      </c>
    </row>
    <row r="30" spans="5:25">
      <c r="E30" s="245" t="s">
        <v>2427</v>
      </c>
      <c r="F30" s="87">
        <f t="shared" si="4"/>
        <v>760415</v>
      </c>
      <c r="G30" s="70" t="s">
        <v>1273</v>
      </c>
      <c r="H30" s="72" t="s">
        <v>2635</v>
      </c>
      <c r="I30" s="129" t="str">
        <f>IFERROR(VLOOKUP(H30,'공직유관단체 코드'!$C$5:$D$1037,2,),"")</f>
        <v/>
      </c>
      <c r="J30" s="30">
        <v>36276</v>
      </c>
      <c r="K30" s="30">
        <v>37492</v>
      </c>
      <c r="L30" s="139">
        <f t="shared" si="5"/>
        <v>3.3315068493150686</v>
      </c>
      <c r="M30" s="53" t="s">
        <v>2644</v>
      </c>
      <c r="N30" s="53" t="s">
        <v>2645</v>
      </c>
      <c r="O30" s="55" t="s">
        <v>2642</v>
      </c>
      <c r="P30" s="30">
        <v>36276</v>
      </c>
      <c r="Q30" s="30">
        <v>37492</v>
      </c>
      <c r="R30" s="125">
        <f t="shared" si="6"/>
        <v>3.3315068493150686</v>
      </c>
      <c r="S30" s="98" t="s">
        <v>117</v>
      </c>
      <c r="T30" s="98" t="s">
        <v>1262</v>
      </c>
      <c r="U30" s="327" t="s">
        <v>131</v>
      </c>
      <c r="V30" s="329" t="s">
        <v>2959</v>
      </c>
      <c r="W30" s="124">
        <v>36276</v>
      </c>
      <c r="X30" s="124">
        <v>37492</v>
      </c>
      <c r="Y30" s="143">
        <f t="shared" si="7"/>
        <v>3.3315068493150686</v>
      </c>
    </row>
    <row r="31" spans="5:25">
      <c r="E31" s="245" t="s">
        <v>2427</v>
      </c>
      <c r="F31" s="87">
        <f t="shared" si="4"/>
        <v>760415</v>
      </c>
      <c r="G31" s="70" t="s">
        <v>2637</v>
      </c>
      <c r="H31" s="72" t="s">
        <v>2636</v>
      </c>
      <c r="I31" s="129" t="str">
        <f>IFERROR(VLOOKUP(H31,'공직유관단체 코드'!$C$5:$D$1037,2,),"")</f>
        <v/>
      </c>
      <c r="J31" s="30">
        <v>34639</v>
      </c>
      <c r="K31" s="30">
        <v>35489</v>
      </c>
      <c r="L31" s="139">
        <f t="shared" si="5"/>
        <v>2.3287671232876712</v>
      </c>
      <c r="M31" s="53" t="s">
        <v>2646</v>
      </c>
      <c r="N31" s="53" t="s">
        <v>2645</v>
      </c>
      <c r="O31" s="55" t="s">
        <v>2647</v>
      </c>
      <c r="P31" s="30">
        <v>34639</v>
      </c>
      <c r="Q31" s="30">
        <v>35489</v>
      </c>
      <c r="R31" s="125">
        <f t="shared" si="6"/>
        <v>2.3287671232876712</v>
      </c>
      <c r="S31" s="98" t="s">
        <v>117</v>
      </c>
      <c r="T31" s="98" t="s">
        <v>1278</v>
      </c>
      <c r="U31" s="327" t="s">
        <v>117</v>
      </c>
      <c r="V31" s="329"/>
      <c r="W31" s="124">
        <v>34639</v>
      </c>
      <c r="X31" s="124">
        <v>35489</v>
      </c>
      <c r="Y31" s="143">
        <f t="shared" si="7"/>
        <v>2.3287671232876712</v>
      </c>
    </row>
    <row r="32" spans="5:25">
      <c r="E32" s="53" t="s">
        <v>2523</v>
      </c>
      <c r="F32" s="87">
        <f>IF(ISBLANK($E32),"",VLOOKUP($E32,대표이사_참여인력_개요,2,FALSE))</f>
        <v>821121</v>
      </c>
      <c r="G32" s="70" t="s">
        <v>1273</v>
      </c>
      <c r="H32" s="72" t="s">
        <v>2072</v>
      </c>
      <c r="I32" s="129" t="str">
        <f>IFERROR(VLOOKUP(H32,'공직유관단체 코드'!$C$5:$D$1037,2,),"")</f>
        <v/>
      </c>
      <c r="J32" s="30">
        <v>41730</v>
      </c>
      <c r="K32" s="30">
        <v>42993</v>
      </c>
      <c r="L32" s="139">
        <f>IF(ISBLANK(J32),"",DATEDIF(J32,K32,"d")/365)</f>
        <v>3.4602739726027396</v>
      </c>
      <c r="M32" s="245" t="s">
        <v>2519</v>
      </c>
      <c r="N32" s="53" t="s">
        <v>2650</v>
      </c>
      <c r="O32" s="55" t="s">
        <v>2651</v>
      </c>
      <c r="P32" s="243">
        <v>41730</v>
      </c>
      <c r="Q32" s="243">
        <v>42993</v>
      </c>
      <c r="R32" s="125">
        <f>IF(ISBLANK(P32),"",DATEDIF(P32,Q32,"d")/365)</f>
        <v>3.4602739726027396</v>
      </c>
      <c r="S32" s="98" t="s">
        <v>117</v>
      </c>
      <c r="T32" s="98" t="s">
        <v>1262</v>
      </c>
      <c r="U32" s="327" t="s">
        <v>131</v>
      </c>
      <c r="V32" s="328" t="s">
        <v>2669</v>
      </c>
      <c r="W32" s="243">
        <v>41730</v>
      </c>
      <c r="X32" s="243">
        <v>42993</v>
      </c>
      <c r="Y32" s="143">
        <f>IF(ISBLANK(W32),"",DATEDIF(W32,X32,"d")/365)</f>
        <v>3.4602739726027396</v>
      </c>
    </row>
    <row r="33" spans="5:25">
      <c r="E33" s="245" t="s">
        <v>2428</v>
      </c>
      <c r="F33" s="87">
        <f>IF(ISBLANK($E33),"",VLOOKUP($E33,대표이사_참여인력_개요,2,FALSE))</f>
        <v>821121</v>
      </c>
      <c r="G33" s="70" t="s">
        <v>1626</v>
      </c>
      <c r="H33" s="72" t="s">
        <v>2649</v>
      </c>
      <c r="I33" s="129" t="str">
        <f>IFERROR(VLOOKUP(H33,'공직유관단체 코드'!$C$5:$D$1037,2,),"")</f>
        <v/>
      </c>
      <c r="J33" s="30">
        <v>40038</v>
      </c>
      <c r="K33" s="30">
        <v>41729</v>
      </c>
      <c r="L33" s="139">
        <f>IF(ISBLANK(J33),"",DATEDIF(J33,K33,"d")/365)</f>
        <v>4.6328767123287671</v>
      </c>
      <c r="M33" s="53" t="s">
        <v>2652</v>
      </c>
      <c r="N33" s="53" t="s">
        <v>2653</v>
      </c>
      <c r="O33" s="55" t="s">
        <v>2654</v>
      </c>
      <c r="P33" s="243">
        <v>40038</v>
      </c>
      <c r="Q33" s="243">
        <v>41729</v>
      </c>
      <c r="R33" s="125">
        <f>IF(ISBLANK(P33),"",DATEDIF(P33,Q33,"d")/365)</f>
        <v>4.6328767123287671</v>
      </c>
      <c r="S33" s="98" t="s">
        <v>117</v>
      </c>
      <c r="T33" s="98" t="s">
        <v>1278</v>
      </c>
      <c r="U33" s="327" t="s">
        <v>117</v>
      </c>
      <c r="V33" s="329"/>
      <c r="W33" s="243">
        <v>40038</v>
      </c>
      <c r="X33" s="243">
        <v>41729</v>
      </c>
      <c r="Y33" s="143">
        <f>IF(ISBLANK(W33),"",DATEDIF(W33,X33,"d")/365)</f>
        <v>4.6328767123287671</v>
      </c>
    </row>
    <row r="34" spans="5:25">
      <c r="E34" s="53" t="s">
        <v>2524</v>
      </c>
      <c r="F34" s="87">
        <f>IF(ISBLANK($E34),"",VLOOKUP($E34,대표이사_참여인력_개요,2,FALSE))</f>
        <v>901120</v>
      </c>
      <c r="G34" s="70" t="s">
        <v>1273</v>
      </c>
      <c r="H34" s="72" t="s">
        <v>2513</v>
      </c>
      <c r="I34" s="129" t="str">
        <f>IFERROR(VLOOKUP(H34,'공직유관단체 코드'!$C$5:$D$1037,2,),"")</f>
        <v/>
      </c>
      <c r="J34" s="30">
        <v>42751</v>
      </c>
      <c r="K34" s="30">
        <v>42993</v>
      </c>
      <c r="L34" s="139">
        <f>IF(ISBLANK(J34),"",DATEDIF(J34,K34,"d")/365)</f>
        <v>0.66301369863013704</v>
      </c>
      <c r="M34" s="53" t="s">
        <v>2525</v>
      </c>
      <c r="N34" s="53" t="s">
        <v>2508</v>
      </c>
      <c r="O34" s="55" t="s">
        <v>2526</v>
      </c>
      <c r="P34" s="243">
        <v>42751</v>
      </c>
      <c r="Q34" s="243">
        <v>42993</v>
      </c>
      <c r="R34" s="125">
        <f>IF(ISBLANK(P34),"",DATEDIF(P34,Q34,"d")/365)</f>
        <v>0.66301369863013704</v>
      </c>
      <c r="S34" s="98" t="s">
        <v>117</v>
      </c>
      <c r="T34" s="98" t="s">
        <v>1262</v>
      </c>
      <c r="U34" s="327" t="s">
        <v>131</v>
      </c>
      <c r="V34" s="328" t="s">
        <v>2669</v>
      </c>
      <c r="W34" s="243">
        <v>42751</v>
      </c>
      <c r="X34" s="243">
        <v>42993</v>
      </c>
      <c r="Y34" s="143">
        <f>IF(ISBLANK(W34),"",DATEDIF(W34,X34,"d")/365)</f>
        <v>0.66301369863013704</v>
      </c>
    </row>
    <row r="35" spans="5:25">
      <c r="E35" s="53" t="s">
        <v>2512</v>
      </c>
      <c r="F35" s="87">
        <f t="shared" si="4"/>
        <v>740420</v>
      </c>
      <c r="G35" s="70" t="s">
        <v>1273</v>
      </c>
      <c r="H35" s="72" t="s">
        <v>2513</v>
      </c>
      <c r="I35" s="129" t="str">
        <f>IFERROR(VLOOKUP(H35,'공직유관단체 코드'!$C$5:$D$1037,2,),"")</f>
        <v/>
      </c>
      <c r="J35" s="243">
        <v>37712</v>
      </c>
      <c r="K35" s="243">
        <v>42993</v>
      </c>
      <c r="L35" s="139">
        <f t="shared" si="5"/>
        <v>14.468493150684932</v>
      </c>
      <c r="M35" s="245" t="s">
        <v>2517</v>
      </c>
      <c r="N35" s="245" t="s">
        <v>2518</v>
      </c>
      <c r="O35" s="55" t="s">
        <v>2517</v>
      </c>
      <c r="P35" s="243">
        <v>37712</v>
      </c>
      <c r="Q35" s="243">
        <v>42993</v>
      </c>
      <c r="R35" s="125">
        <f t="shared" si="6"/>
        <v>14.468493150684932</v>
      </c>
      <c r="S35" s="98" t="s">
        <v>117</v>
      </c>
      <c r="T35" s="98" t="s">
        <v>1262</v>
      </c>
      <c r="U35" s="327" t="s">
        <v>131</v>
      </c>
      <c r="V35" s="328" t="s">
        <v>2669</v>
      </c>
      <c r="W35" s="243">
        <v>37712</v>
      </c>
      <c r="X35" s="243">
        <v>42993</v>
      </c>
      <c r="Y35" s="143">
        <f t="shared" si="7"/>
        <v>14.468493150684932</v>
      </c>
    </row>
    <row r="36" spans="5:25">
      <c r="E36" s="245" t="s">
        <v>2512</v>
      </c>
      <c r="F36" s="87">
        <f t="shared" si="4"/>
        <v>740420</v>
      </c>
      <c r="G36" s="70" t="s">
        <v>1626</v>
      </c>
      <c r="H36" s="72" t="s">
        <v>2514</v>
      </c>
      <c r="I36" s="129" t="str">
        <f>IFERROR(VLOOKUP(H36,'공직유관단체 코드'!$C$5:$D$1037,2,),"")</f>
        <v/>
      </c>
      <c r="J36" s="243">
        <v>36982</v>
      </c>
      <c r="K36" s="243">
        <v>37711</v>
      </c>
      <c r="L36" s="139">
        <f t="shared" si="5"/>
        <v>1.9972602739726026</v>
      </c>
      <c r="M36" s="245" t="s">
        <v>2519</v>
      </c>
      <c r="N36" s="245" t="s">
        <v>2520</v>
      </c>
      <c r="O36" s="55" t="s">
        <v>2521</v>
      </c>
      <c r="P36" s="243">
        <v>36982</v>
      </c>
      <c r="Q36" s="243">
        <v>37711</v>
      </c>
      <c r="R36" s="125">
        <f t="shared" si="6"/>
        <v>1.9972602739726026</v>
      </c>
      <c r="S36" s="98" t="s">
        <v>117</v>
      </c>
      <c r="T36" s="98" t="s">
        <v>1625</v>
      </c>
      <c r="U36" s="327" t="s">
        <v>117</v>
      </c>
      <c r="V36" s="329"/>
      <c r="W36" s="243">
        <v>36982</v>
      </c>
      <c r="X36" s="243">
        <v>37711</v>
      </c>
      <c r="Y36" s="143">
        <f t="shared" si="7"/>
        <v>1.9972602739726026</v>
      </c>
    </row>
    <row r="37" spans="5:25">
      <c r="E37" s="245" t="s">
        <v>2512</v>
      </c>
      <c r="F37" s="87">
        <f t="shared" si="4"/>
        <v>740420</v>
      </c>
      <c r="G37" s="70" t="s">
        <v>1273</v>
      </c>
      <c r="H37" s="72" t="s">
        <v>2515</v>
      </c>
      <c r="I37" s="129" t="str">
        <f>IFERROR(VLOOKUP(H37,'공직유관단체 코드'!$C$5:$D$1037,2,),"")</f>
        <v/>
      </c>
      <c r="J37" s="243">
        <v>36923</v>
      </c>
      <c r="K37" s="243">
        <v>36980</v>
      </c>
      <c r="L37" s="139">
        <f t="shared" si="5"/>
        <v>0.15616438356164383</v>
      </c>
      <c r="M37" s="245" t="s">
        <v>2519</v>
      </c>
      <c r="N37" s="245" t="s">
        <v>2520</v>
      </c>
      <c r="O37" s="55" t="s">
        <v>2521</v>
      </c>
      <c r="P37" s="243">
        <v>36923</v>
      </c>
      <c r="Q37" s="243">
        <v>36980</v>
      </c>
      <c r="R37" s="125">
        <f t="shared" si="6"/>
        <v>0.15616438356164383</v>
      </c>
      <c r="S37" s="98" t="s">
        <v>117</v>
      </c>
      <c r="T37" s="98" t="s">
        <v>1625</v>
      </c>
      <c r="U37" s="327" t="s">
        <v>117</v>
      </c>
      <c r="V37" s="329"/>
      <c r="W37" s="243">
        <v>36923</v>
      </c>
      <c r="X37" s="243">
        <v>36980</v>
      </c>
      <c r="Y37" s="143">
        <f t="shared" si="7"/>
        <v>0.15616438356164383</v>
      </c>
    </row>
    <row r="38" spans="5:25">
      <c r="E38" s="245" t="s">
        <v>2512</v>
      </c>
      <c r="F38" s="87">
        <f t="shared" si="4"/>
        <v>740420</v>
      </c>
      <c r="G38" s="70" t="s">
        <v>1273</v>
      </c>
      <c r="H38" s="72" t="s">
        <v>2488</v>
      </c>
      <c r="I38" s="129" t="str">
        <f>IFERROR(VLOOKUP(H38,'공직유관단체 코드'!$C$5:$D$1037,2,),"")</f>
        <v/>
      </c>
      <c r="J38" s="243">
        <v>36518</v>
      </c>
      <c r="K38" s="243">
        <v>36921</v>
      </c>
      <c r="L38" s="139">
        <f t="shared" si="5"/>
        <v>1.1041095890410959</v>
      </c>
      <c r="M38" s="245" t="s">
        <v>2519</v>
      </c>
      <c r="N38" s="245" t="s">
        <v>2520</v>
      </c>
      <c r="O38" s="55" t="s">
        <v>2521</v>
      </c>
      <c r="P38" s="243">
        <v>36518</v>
      </c>
      <c r="Q38" s="243">
        <v>36921</v>
      </c>
      <c r="R38" s="125">
        <f t="shared" si="6"/>
        <v>1.1041095890410959</v>
      </c>
      <c r="S38" s="98" t="s">
        <v>117</v>
      </c>
      <c r="T38" s="98" t="s">
        <v>1262</v>
      </c>
      <c r="U38" s="327" t="s">
        <v>131</v>
      </c>
      <c r="V38" s="329" t="s">
        <v>2985</v>
      </c>
      <c r="W38" s="243">
        <v>36518</v>
      </c>
      <c r="X38" s="243">
        <v>36921</v>
      </c>
      <c r="Y38" s="143">
        <f t="shared" si="7"/>
        <v>1.1041095890410959</v>
      </c>
    </row>
    <row r="39" spans="5:25">
      <c r="E39" s="245" t="s">
        <v>2512</v>
      </c>
      <c r="F39" s="87">
        <f t="shared" si="4"/>
        <v>740420</v>
      </c>
      <c r="G39" s="70" t="s">
        <v>1626</v>
      </c>
      <c r="H39" s="72" t="s">
        <v>2516</v>
      </c>
      <c r="I39" s="129" t="str">
        <f>IFERROR(VLOOKUP(H39,'공직유관단체 코드'!$C$5:$D$1037,2,),"")</f>
        <v/>
      </c>
      <c r="J39" s="243">
        <v>34016</v>
      </c>
      <c r="K39" s="243">
        <v>36516</v>
      </c>
      <c r="L39" s="139">
        <f t="shared" si="5"/>
        <v>6.8493150684931505</v>
      </c>
      <c r="M39" s="245" t="s">
        <v>2522</v>
      </c>
      <c r="N39" s="245" t="s">
        <v>2506</v>
      </c>
      <c r="O39" s="55" t="s">
        <v>2521</v>
      </c>
      <c r="P39" s="243">
        <v>34016</v>
      </c>
      <c r="Q39" s="243">
        <v>36516</v>
      </c>
      <c r="R39" s="125">
        <f t="shared" si="6"/>
        <v>6.8493150684931505</v>
      </c>
      <c r="S39" s="98" t="s">
        <v>117</v>
      </c>
      <c r="T39" s="98" t="s">
        <v>1278</v>
      </c>
      <c r="U39" s="327" t="s">
        <v>117</v>
      </c>
      <c r="V39" s="329"/>
      <c r="W39" s="243">
        <v>34016</v>
      </c>
      <c r="X39" s="243">
        <v>36516</v>
      </c>
      <c r="Y39" s="143">
        <f t="shared" si="7"/>
        <v>6.8493150684931505</v>
      </c>
    </row>
    <row r="40" spans="5:25">
      <c r="E40" s="245" t="s">
        <v>2655</v>
      </c>
      <c r="F40" s="87">
        <f t="shared" si="4"/>
        <v>851219</v>
      </c>
      <c r="G40" s="70" t="s">
        <v>1273</v>
      </c>
      <c r="H40" s="72" t="s">
        <v>2072</v>
      </c>
      <c r="I40" s="129" t="str">
        <f>IFERROR(VLOOKUP(H40,'공직유관단체 코드'!$C$5:$D$1037,2,),"")</f>
        <v/>
      </c>
      <c r="J40" s="243">
        <v>42474</v>
      </c>
      <c r="K40" s="243">
        <v>42993</v>
      </c>
      <c r="L40" s="139">
        <f t="shared" ref="L40:L41" si="8">IF(ISBLANK(J40),"",DATEDIF(J40,K40,"d")/365)</f>
        <v>1.4219178082191781</v>
      </c>
      <c r="M40" s="245" t="s">
        <v>2517</v>
      </c>
      <c r="N40" s="245" t="s">
        <v>2483</v>
      </c>
      <c r="O40" s="55" t="s">
        <v>2517</v>
      </c>
      <c r="P40" s="243">
        <v>42474</v>
      </c>
      <c r="Q40" s="243">
        <v>42993</v>
      </c>
      <c r="R40" s="125">
        <f t="shared" ref="R40:R41" si="9">IF(ISBLANK(P40),"",DATEDIF(P40,Q40,"d")/365)</f>
        <v>1.4219178082191781</v>
      </c>
      <c r="S40" s="98" t="s">
        <v>117</v>
      </c>
      <c r="T40" s="98" t="s">
        <v>1262</v>
      </c>
      <c r="U40" s="327" t="s">
        <v>131</v>
      </c>
      <c r="V40" s="328" t="s">
        <v>2669</v>
      </c>
      <c r="W40" s="243">
        <v>42474</v>
      </c>
      <c r="X40" s="243">
        <v>42993</v>
      </c>
      <c r="Y40" s="143">
        <f t="shared" ref="Y40:Y41" si="10">IF(ISBLANK(W40),"",DATEDIF(W40,X40,"d")/365)</f>
        <v>1.4219178082191781</v>
      </c>
    </row>
    <row r="41" spans="5:25">
      <c r="E41" s="245" t="s">
        <v>2655</v>
      </c>
      <c r="F41" s="87">
        <f t="shared" si="4"/>
        <v>851219</v>
      </c>
      <c r="G41" s="70" t="s">
        <v>1273</v>
      </c>
      <c r="H41" s="72" t="s">
        <v>2661</v>
      </c>
      <c r="I41" s="129" t="str">
        <f>IFERROR(VLOOKUP(H41,'공직유관단체 코드'!$C$5:$D$1037,2,),"")</f>
        <v/>
      </c>
      <c r="J41" s="243">
        <v>41015</v>
      </c>
      <c r="K41" s="243">
        <v>42468</v>
      </c>
      <c r="L41" s="139">
        <f t="shared" si="8"/>
        <v>3.9808219178082194</v>
      </c>
      <c r="M41" s="245" t="s">
        <v>2662</v>
      </c>
      <c r="N41" s="245" t="s">
        <v>2663</v>
      </c>
      <c r="O41" s="55" t="s">
        <v>2668</v>
      </c>
      <c r="P41" s="243">
        <v>41015</v>
      </c>
      <c r="Q41" s="243">
        <v>42468</v>
      </c>
      <c r="R41" s="125">
        <f t="shared" si="9"/>
        <v>3.9808219178082194</v>
      </c>
      <c r="S41" s="98" t="s">
        <v>2664</v>
      </c>
      <c r="T41" s="98" t="s">
        <v>1278</v>
      </c>
      <c r="U41" s="327" t="s">
        <v>117</v>
      </c>
      <c r="V41" s="328"/>
      <c r="W41" s="243">
        <v>41015</v>
      </c>
      <c r="X41" s="243">
        <v>42468</v>
      </c>
      <c r="Y41" s="143">
        <f t="shared" si="10"/>
        <v>3.9808219178082194</v>
      </c>
    </row>
    <row r="42" spans="5:25" hidden="1">
      <c r="E42" s="53"/>
      <c r="F42" s="87" t="str">
        <f t="shared" si="4"/>
        <v/>
      </c>
      <c r="G42" s="70"/>
      <c r="H42" s="72"/>
      <c r="I42" s="129" t="str">
        <f>IFERROR(VLOOKUP(H42,'공직유관단체 코드'!$C$5:$D$1037,2,),"")</f>
        <v/>
      </c>
      <c r="J42" s="30"/>
      <c r="K42" s="30"/>
      <c r="L42" s="139" t="str">
        <f t="shared" si="5"/>
        <v/>
      </c>
      <c r="M42" s="53"/>
      <c r="N42" s="53"/>
      <c r="O42" s="55"/>
      <c r="P42" s="30"/>
      <c r="Q42" s="30"/>
      <c r="R42" s="125" t="str">
        <f t="shared" si="6"/>
        <v/>
      </c>
      <c r="S42" s="98"/>
      <c r="T42" s="98"/>
      <c r="U42" s="126"/>
      <c r="V42" s="116"/>
      <c r="W42" s="124"/>
      <c r="X42" s="124"/>
      <c r="Y42" s="143" t="str">
        <f t="shared" si="7"/>
        <v/>
      </c>
    </row>
    <row r="43" spans="5:25" hidden="1">
      <c r="E43" s="53"/>
      <c r="F43" s="87" t="str">
        <f t="shared" si="4"/>
        <v/>
      </c>
      <c r="G43" s="70"/>
      <c r="H43" s="72"/>
      <c r="I43" s="129" t="str">
        <f>IFERROR(VLOOKUP(H43,'공직유관단체 코드'!$C$5:$D$1037,2,),"")</f>
        <v/>
      </c>
      <c r="J43" s="30"/>
      <c r="K43" s="30"/>
      <c r="L43" s="139" t="str">
        <f t="shared" si="5"/>
        <v/>
      </c>
      <c r="M43" s="53"/>
      <c r="N43" s="53"/>
      <c r="O43" s="55"/>
      <c r="P43" s="30"/>
      <c r="Q43" s="30"/>
      <c r="R43" s="125" t="str">
        <f t="shared" si="6"/>
        <v/>
      </c>
      <c r="S43" s="98"/>
      <c r="T43" s="98"/>
      <c r="U43" s="126"/>
      <c r="V43" s="116"/>
      <c r="W43" s="124"/>
      <c r="X43" s="124"/>
      <c r="Y43" s="143" t="str">
        <f t="shared" si="7"/>
        <v/>
      </c>
    </row>
    <row r="44" spans="5:25" hidden="1">
      <c r="E44" s="53"/>
      <c r="F44" s="87" t="str">
        <f t="shared" si="4"/>
        <v/>
      </c>
      <c r="G44" s="70"/>
      <c r="H44" s="72"/>
      <c r="I44" s="129" t="str">
        <f>IFERROR(VLOOKUP(H44,'공직유관단체 코드'!$C$5:$D$1037,2,),"")</f>
        <v/>
      </c>
      <c r="J44" s="30"/>
      <c r="K44" s="30"/>
      <c r="L44" s="139" t="str">
        <f t="shared" si="5"/>
        <v/>
      </c>
      <c r="M44" s="53"/>
      <c r="N44" s="53"/>
      <c r="O44" s="55"/>
      <c r="P44" s="30"/>
      <c r="Q44" s="30"/>
      <c r="R44" s="125" t="str">
        <f t="shared" si="6"/>
        <v/>
      </c>
      <c r="S44" s="98"/>
      <c r="T44" s="98"/>
      <c r="U44" s="126"/>
      <c r="V44" s="116"/>
      <c r="W44" s="124"/>
      <c r="X44" s="124"/>
      <c r="Y44" s="143" t="str">
        <f t="shared" si="7"/>
        <v/>
      </c>
    </row>
    <row r="45" spans="5:25" hidden="1">
      <c r="E45" s="53"/>
      <c r="F45" s="87" t="str">
        <f t="shared" si="4"/>
        <v/>
      </c>
      <c r="G45" s="70"/>
      <c r="H45" s="72"/>
      <c r="I45" s="129" t="str">
        <f>IFERROR(VLOOKUP(H45,'공직유관단체 코드'!$C$5:$D$1037,2,),"")</f>
        <v/>
      </c>
      <c r="J45" s="30"/>
      <c r="K45" s="30"/>
      <c r="L45" s="139" t="str">
        <f t="shared" si="5"/>
        <v/>
      </c>
      <c r="M45" s="53"/>
      <c r="N45" s="53"/>
      <c r="O45" s="55"/>
      <c r="P45" s="30"/>
      <c r="Q45" s="30"/>
      <c r="R45" s="125" t="str">
        <f t="shared" si="6"/>
        <v/>
      </c>
      <c r="S45" s="98"/>
      <c r="T45" s="98"/>
      <c r="U45" s="126"/>
      <c r="V45" s="116"/>
      <c r="W45" s="124"/>
      <c r="X45" s="124"/>
      <c r="Y45" s="143" t="str">
        <f t="shared" si="7"/>
        <v/>
      </c>
    </row>
    <row r="46" spans="5:25" hidden="1">
      <c r="E46" s="53"/>
      <c r="F46" s="87" t="str">
        <f t="shared" si="4"/>
        <v/>
      </c>
      <c r="G46" s="70"/>
      <c r="H46" s="72"/>
      <c r="I46" s="129" t="str">
        <f>IFERROR(VLOOKUP(H46,'공직유관단체 코드'!$C$5:$D$1037,2,),"")</f>
        <v/>
      </c>
      <c r="J46" s="30"/>
      <c r="K46" s="30"/>
      <c r="L46" s="139" t="str">
        <f t="shared" si="5"/>
        <v/>
      </c>
      <c r="M46" s="53"/>
      <c r="N46" s="53"/>
      <c r="O46" s="55"/>
      <c r="P46" s="30"/>
      <c r="Q46" s="30"/>
      <c r="R46" s="125" t="str">
        <f t="shared" si="6"/>
        <v/>
      </c>
      <c r="S46" s="98"/>
      <c r="T46" s="98"/>
      <c r="U46" s="126"/>
      <c r="V46" s="116"/>
      <c r="W46" s="124"/>
      <c r="X46" s="124"/>
      <c r="Y46" s="143" t="str">
        <f t="shared" si="7"/>
        <v/>
      </c>
    </row>
    <row r="47" spans="5:25" hidden="1">
      <c r="E47" s="53"/>
      <c r="F47" s="87" t="str">
        <f t="shared" si="4"/>
        <v/>
      </c>
      <c r="G47" s="70"/>
      <c r="H47" s="72"/>
      <c r="I47" s="129" t="str">
        <f>IFERROR(VLOOKUP(H47,'공직유관단체 코드'!$C$5:$D$1037,2,),"")</f>
        <v/>
      </c>
      <c r="J47" s="30"/>
      <c r="K47" s="30"/>
      <c r="L47" s="139" t="str">
        <f t="shared" si="5"/>
        <v/>
      </c>
      <c r="M47" s="53"/>
      <c r="N47" s="53"/>
      <c r="O47" s="55"/>
      <c r="P47" s="30"/>
      <c r="Q47" s="30"/>
      <c r="R47" s="125" t="str">
        <f t="shared" si="6"/>
        <v/>
      </c>
      <c r="S47" s="98"/>
      <c r="T47" s="98"/>
      <c r="U47" s="126"/>
      <c r="V47" s="116"/>
      <c r="W47" s="124"/>
      <c r="X47" s="124"/>
      <c r="Y47" s="143" t="str">
        <f t="shared" si="7"/>
        <v/>
      </c>
    </row>
    <row r="48" spans="5:25" hidden="1">
      <c r="E48" s="53"/>
      <c r="F48" s="87" t="str">
        <f t="shared" si="4"/>
        <v/>
      </c>
      <c r="G48" s="70"/>
      <c r="H48" s="72"/>
      <c r="I48" s="129" t="str">
        <f>IFERROR(VLOOKUP(H48,'공직유관단체 코드'!$C$5:$D$1037,2,),"")</f>
        <v/>
      </c>
      <c r="J48" s="30"/>
      <c r="K48" s="30"/>
      <c r="L48" s="139" t="str">
        <f t="shared" si="5"/>
        <v/>
      </c>
      <c r="M48" s="53"/>
      <c r="N48" s="53"/>
      <c r="O48" s="55"/>
      <c r="P48" s="30"/>
      <c r="Q48" s="30"/>
      <c r="R48" s="125" t="str">
        <f t="shared" si="6"/>
        <v/>
      </c>
      <c r="S48" s="98"/>
      <c r="T48" s="98"/>
      <c r="U48" s="126"/>
      <c r="V48" s="116"/>
      <c r="W48" s="124"/>
      <c r="X48" s="124"/>
      <c r="Y48" s="143" t="str">
        <f t="shared" si="7"/>
        <v/>
      </c>
    </row>
    <row r="49" spans="5:25" hidden="1">
      <c r="E49" s="53"/>
      <c r="F49" s="87" t="str">
        <f t="shared" si="4"/>
        <v/>
      </c>
      <c r="G49" s="70"/>
      <c r="H49" s="72"/>
      <c r="I49" s="129" t="str">
        <f>IFERROR(VLOOKUP(H49,'공직유관단체 코드'!$C$5:$D$1037,2,),"")</f>
        <v/>
      </c>
      <c r="J49" s="30"/>
      <c r="K49" s="30"/>
      <c r="L49" s="139" t="str">
        <f t="shared" si="5"/>
        <v/>
      </c>
      <c r="M49" s="53"/>
      <c r="N49" s="53"/>
      <c r="O49" s="55"/>
      <c r="P49" s="30"/>
      <c r="Q49" s="30"/>
      <c r="R49" s="125" t="str">
        <f t="shared" si="6"/>
        <v/>
      </c>
      <c r="S49" s="98"/>
      <c r="T49" s="98"/>
      <c r="U49" s="126"/>
      <c r="V49" s="116"/>
      <c r="W49" s="124"/>
      <c r="X49" s="124"/>
      <c r="Y49" s="143" t="str">
        <f t="shared" si="7"/>
        <v/>
      </c>
    </row>
    <row r="50" spans="5:25" hidden="1">
      <c r="E50" s="53"/>
      <c r="F50" s="87" t="str">
        <f t="shared" si="4"/>
        <v/>
      </c>
      <c r="G50" s="70"/>
      <c r="H50" s="72"/>
      <c r="I50" s="129" t="str">
        <f>IFERROR(VLOOKUP(H50,'공직유관단체 코드'!$C$5:$D$1037,2,),"")</f>
        <v/>
      </c>
      <c r="J50" s="30"/>
      <c r="K50" s="30"/>
      <c r="L50" s="139" t="str">
        <f t="shared" si="5"/>
        <v/>
      </c>
      <c r="M50" s="53"/>
      <c r="N50" s="53"/>
      <c r="O50" s="55"/>
      <c r="P50" s="30"/>
      <c r="Q50" s="30"/>
      <c r="R50" s="125" t="str">
        <f t="shared" si="6"/>
        <v/>
      </c>
      <c r="S50" s="98"/>
      <c r="T50" s="98"/>
      <c r="U50" s="126"/>
      <c r="V50" s="116"/>
      <c r="W50" s="124"/>
      <c r="X50" s="124"/>
      <c r="Y50" s="143" t="str">
        <f t="shared" si="7"/>
        <v/>
      </c>
    </row>
  </sheetData>
  <mergeCells count="7">
    <mergeCell ref="E4:F4"/>
    <mergeCell ref="P4:R4"/>
    <mergeCell ref="S4:V4"/>
    <mergeCell ref="W4:Y4"/>
    <mergeCell ref="G4:I4"/>
    <mergeCell ref="J4:L4"/>
    <mergeCell ref="M4:O4"/>
  </mergeCells>
  <phoneticPr fontId="1" type="noConversion"/>
  <dataValidations count="3">
    <dataValidation type="list" allowBlank="1" showInputMessage="1" showErrorMessage="1" sqref="G11:G41 G42:G50">
      <formula1>재직회사_유형</formula1>
    </dataValidation>
    <dataValidation type="list" allowBlank="1" showInputMessage="1" showErrorMessage="1" sqref="S11:S41 S42:S50 U11:U41 U42:U50">
      <formula1>여부</formula1>
    </dataValidation>
    <dataValidation type="list" allowBlank="1" showInputMessage="1" showErrorMessage="1" sqref="T11:T41 T42:T50">
      <formula1>주요업무수행내역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665"/>
  <sheetViews>
    <sheetView view="pageBreakPreview" topLeftCell="A67" zoomScale="60" zoomScaleNormal="100" workbookViewId="0">
      <selection activeCell="O39" sqref="O39"/>
    </sheetView>
  </sheetViews>
  <sheetFormatPr defaultRowHeight="16.5"/>
  <cols>
    <col min="1" max="1" width="43.5" bestFit="1" customWidth="1"/>
    <col min="2" max="2" width="8.625" bestFit="1" customWidth="1"/>
    <col min="3" max="3" width="14.25" bestFit="1" customWidth="1"/>
    <col min="4" max="4" width="9.875" bestFit="1" customWidth="1"/>
  </cols>
  <sheetData>
    <row r="1" spans="1:4">
      <c r="A1" s="193" t="s">
        <v>1479</v>
      </c>
      <c r="B1" s="193" t="s">
        <v>1258</v>
      </c>
      <c r="C1" s="193" t="s">
        <v>1528</v>
      </c>
      <c r="D1" s="193" t="s">
        <v>1259</v>
      </c>
    </row>
    <row r="2" spans="1:4">
      <c r="A2" s="92" t="s">
        <v>2937</v>
      </c>
      <c r="B2" s="93" t="s">
        <v>146</v>
      </c>
      <c r="C2" s="94">
        <v>-1000000000</v>
      </c>
      <c r="D2" s="95">
        <v>39440</v>
      </c>
    </row>
    <row r="3" spans="1:4">
      <c r="A3" s="309" t="s">
        <v>2937</v>
      </c>
      <c r="B3" s="310" t="s">
        <v>146</v>
      </c>
      <c r="C3" s="311">
        <v>-20200000000</v>
      </c>
      <c r="D3" s="312">
        <v>39442</v>
      </c>
    </row>
    <row r="4" spans="1:4">
      <c r="A4" s="309" t="s">
        <v>2937</v>
      </c>
      <c r="B4" s="310" t="s">
        <v>147</v>
      </c>
      <c r="C4" s="311">
        <v>33447843788</v>
      </c>
      <c r="D4" s="312">
        <v>40123</v>
      </c>
    </row>
    <row r="5" spans="1:4">
      <c r="A5" s="309" t="s">
        <v>2925</v>
      </c>
      <c r="B5" s="310" t="s">
        <v>146</v>
      </c>
      <c r="C5" s="311">
        <v>-7700000000</v>
      </c>
      <c r="D5" s="312">
        <v>39581</v>
      </c>
    </row>
    <row r="6" spans="1:4">
      <c r="A6" s="309" t="s">
        <v>2925</v>
      </c>
      <c r="B6" s="310" t="s">
        <v>146</v>
      </c>
      <c r="C6" s="311">
        <v>-100000000</v>
      </c>
      <c r="D6" s="312">
        <v>39953</v>
      </c>
    </row>
    <row r="7" spans="1:4">
      <c r="A7" s="309" t="s">
        <v>2925</v>
      </c>
      <c r="B7" s="310" t="s">
        <v>146</v>
      </c>
      <c r="C7" s="311">
        <v>-670000000</v>
      </c>
      <c r="D7" s="312">
        <v>39954</v>
      </c>
    </row>
    <row r="8" spans="1:4">
      <c r="A8" s="309" t="s">
        <v>2925</v>
      </c>
      <c r="B8" s="310" t="s">
        <v>147</v>
      </c>
      <c r="C8" s="311">
        <v>1580806070</v>
      </c>
      <c r="D8" s="312">
        <v>39980</v>
      </c>
    </row>
    <row r="9" spans="1:4">
      <c r="A9" s="309" t="s">
        <v>2925</v>
      </c>
      <c r="B9" s="310" t="s">
        <v>146</v>
      </c>
      <c r="C9" s="311">
        <v>-350000000</v>
      </c>
      <c r="D9" s="312">
        <v>40001</v>
      </c>
    </row>
    <row r="10" spans="1:4">
      <c r="A10" s="309" t="s">
        <v>2925</v>
      </c>
      <c r="B10" s="310" t="s">
        <v>147</v>
      </c>
      <c r="C10" s="311">
        <v>3398453180</v>
      </c>
      <c r="D10" s="312">
        <v>40004</v>
      </c>
    </row>
    <row r="11" spans="1:4">
      <c r="A11" s="309" t="s">
        <v>2925</v>
      </c>
      <c r="B11" s="310" t="s">
        <v>146</v>
      </c>
      <c r="C11" s="311">
        <v>-7350000000</v>
      </c>
      <c r="D11" s="312">
        <v>40007</v>
      </c>
    </row>
    <row r="12" spans="1:4">
      <c r="A12" s="309" t="s">
        <v>2925</v>
      </c>
      <c r="B12" s="310" t="s">
        <v>147</v>
      </c>
      <c r="C12" s="311">
        <v>925619086</v>
      </c>
      <c r="D12" s="312">
        <v>40301</v>
      </c>
    </row>
    <row r="13" spans="1:4">
      <c r="A13" s="309" t="s">
        <v>2925</v>
      </c>
      <c r="B13" s="310" t="s">
        <v>147</v>
      </c>
      <c r="C13" s="311">
        <v>1000000000</v>
      </c>
      <c r="D13" s="312">
        <v>40360</v>
      </c>
    </row>
    <row r="14" spans="1:4">
      <c r="A14" s="309" t="s">
        <v>2925</v>
      </c>
      <c r="B14" s="310" t="s">
        <v>147</v>
      </c>
      <c r="C14" s="311">
        <v>1540000000</v>
      </c>
      <c r="D14" s="312">
        <v>40422</v>
      </c>
    </row>
    <row r="15" spans="1:4">
      <c r="A15" s="309" t="s">
        <v>2925</v>
      </c>
      <c r="B15" s="310" t="s">
        <v>147</v>
      </c>
      <c r="C15" s="311">
        <v>10472000000</v>
      </c>
      <c r="D15" s="312">
        <v>40535</v>
      </c>
    </row>
    <row r="16" spans="1:4">
      <c r="A16" s="309" t="s">
        <v>2925</v>
      </c>
      <c r="B16" s="310" t="s">
        <v>146</v>
      </c>
      <c r="C16" s="311">
        <v>-13475000000</v>
      </c>
      <c r="D16" s="312">
        <v>40723</v>
      </c>
    </row>
    <row r="17" spans="1:4">
      <c r="A17" s="309" t="s">
        <v>2925</v>
      </c>
      <c r="B17" s="310" t="s">
        <v>147</v>
      </c>
      <c r="C17" s="311">
        <v>825067740</v>
      </c>
      <c r="D17" s="312">
        <v>40773</v>
      </c>
    </row>
    <row r="18" spans="1:4">
      <c r="A18" s="309" t="s">
        <v>2925</v>
      </c>
      <c r="B18" s="310" t="s">
        <v>147</v>
      </c>
      <c r="C18" s="311">
        <v>692398030</v>
      </c>
      <c r="D18" s="312">
        <v>41071</v>
      </c>
    </row>
    <row r="19" spans="1:4">
      <c r="A19" s="309" t="s">
        <v>2925</v>
      </c>
      <c r="B19" s="310" t="s">
        <v>147</v>
      </c>
      <c r="C19" s="311">
        <v>200000000</v>
      </c>
      <c r="D19" s="312">
        <v>41096</v>
      </c>
    </row>
    <row r="20" spans="1:4">
      <c r="A20" s="309" t="s">
        <v>2925</v>
      </c>
      <c r="B20" s="310" t="s">
        <v>147</v>
      </c>
      <c r="C20" s="311">
        <v>370000000</v>
      </c>
      <c r="D20" s="312">
        <v>42725</v>
      </c>
    </row>
    <row r="21" spans="1:4">
      <c r="A21" s="309" t="s">
        <v>2925</v>
      </c>
      <c r="B21" s="310" t="s">
        <v>147</v>
      </c>
      <c r="C21" s="311">
        <v>550000000</v>
      </c>
      <c r="D21" s="312">
        <v>42772</v>
      </c>
    </row>
    <row r="22" spans="1:4">
      <c r="A22" s="309" t="s">
        <v>2925</v>
      </c>
      <c r="B22" s="310" t="s">
        <v>147</v>
      </c>
      <c r="C22" s="311">
        <v>1745686960</v>
      </c>
      <c r="D22" s="312">
        <v>42895</v>
      </c>
    </row>
    <row r="23" spans="1:4">
      <c r="A23" s="309" t="s">
        <v>2925</v>
      </c>
      <c r="B23" s="310" t="s">
        <v>147</v>
      </c>
      <c r="C23" s="311">
        <v>19531154334</v>
      </c>
      <c r="D23" s="312">
        <v>42906</v>
      </c>
    </row>
    <row r="24" spans="1:4">
      <c r="A24" s="309" t="s">
        <v>2925</v>
      </c>
      <c r="B24" s="310" t="s">
        <v>148</v>
      </c>
      <c r="C24" s="311">
        <v>1307809836</v>
      </c>
      <c r="D24" s="312">
        <v>42906</v>
      </c>
    </row>
    <row r="25" spans="1:4">
      <c r="A25" s="309" t="s">
        <v>2925</v>
      </c>
      <c r="B25" s="310" t="s">
        <v>147</v>
      </c>
      <c r="C25" s="311">
        <v>19628000000</v>
      </c>
      <c r="D25" s="312">
        <v>42950</v>
      </c>
    </row>
    <row r="26" spans="1:4">
      <c r="A26" s="309" t="s">
        <v>2925</v>
      </c>
      <c r="B26" s="310" t="s">
        <v>148</v>
      </c>
      <c r="C26" s="311">
        <v>4907000000</v>
      </c>
      <c r="D26" s="312">
        <v>42950</v>
      </c>
    </row>
    <row r="27" spans="1:4">
      <c r="A27" s="309" t="s">
        <v>2925</v>
      </c>
      <c r="B27" s="310" t="s">
        <v>147</v>
      </c>
      <c r="C27" s="311">
        <v>1840000000</v>
      </c>
      <c r="D27" s="312">
        <v>42978</v>
      </c>
    </row>
    <row r="28" spans="1:4">
      <c r="A28" s="309" t="s">
        <v>2925</v>
      </c>
      <c r="B28" s="310" t="s">
        <v>148</v>
      </c>
      <c r="C28" s="311">
        <v>460000000</v>
      </c>
      <c r="D28" s="312">
        <v>42978</v>
      </c>
    </row>
    <row r="29" spans="1:4">
      <c r="A29" s="309" t="s">
        <v>2925</v>
      </c>
      <c r="B29" s="310" t="s">
        <v>149</v>
      </c>
      <c r="C29" s="311">
        <f ca="1">'2.5 제안사 펀드현황'!AL12*1000000</f>
        <v>3378000000</v>
      </c>
      <c r="D29" s="312">
        <v>42993</v>
      </c>
    </row>
    <row r="30" spans="1:4">
      <c r="A30" s="309" t="s">
        <v>2930</v>
      </c>
      <c r="B30" s="310" t="s">
        <v>146</v>
      </c>
      <c r="C30" s="311">
        <v>-1250000000</v>
      </c>
      <c r="D30" s="312">
        <v>39581</v>
      </c>
    </row>
    <row r="31" spans="1:4">
      <c r="A31" s="309" t="s">
        <v>2930</v>
      </c>
      <c r="B31" s="310" t="s">
        <v>146</v>
      </c>
      <c r="C31" s="311">
        <v>-2300000000</v>
      </c>
      <c r="D31" s="312">
        <v>39583</v>
      </c>
    </row>
    <row r="32" spans="1:4">
      <c r="A32" s="309" t="s">
        <v>2930</v>
      </c>
      <c r="B32" s="310" t="s">
        <v>146</v>
      </c>
      <c r="C32" s="311">
        <v>-200000000</v>
      </c>
      <c r="D32" s="312">
        <v>39584</v>
      </c>
    </row>
    <row r="33" spans="1:4">
      <c r="A33" s="309" t="s">
        <v>2930</v>
      </c>
      <c r="B33" s="310" t="s">
        <v>146</v>
      </c>
      <c r="C33" s="311">
        <v>-1250000000</v>
      </c>
      <c r="D33" s="312">
        <v>39587</v>
      </c>
    </row>
    <row r="34" spans="1:4">
      <c r="A34" s="309" t="s">
        <v>2930</v>
      </c>
      <c r="B34" s="310" t="s">
        <v>147</v>
      </c>
      <c r="C34" s="311">
        <v>2384460600</v>
      </c>
      <c r="D34" s="312">
        <v>40004</v>
      </c>
    </row>
    <row r="35" spans="1:4">
      <c r="A35" s="309" t="s">
        <v>2930</v>
      </c>
      <c r="B35" s="310" t="s">
        <v>147</v>
      </c>
      <c r="C35" s="311">
        <v>1162129780</v>
      </c>
      <c r="D35" s="312">
        <v>40385</v>
      </c>
    </row>
    <row r="36" spans="1:4">
      <c r="A36" s="309" t="s">
        <v>2930</v>
      </c>
      <c r="B36" s="310" t="s">
        <v>147</v>
      </c>
      <c r="C36" s="311">
        <v>3050000000</v>
      </c>
      <c r="D36" s="312">
        <v>40535</v>
      </c>
    </row>
    <row r="37" spans="1:4">
      <c r="A37" s="309" t="s">
        <v>2930</v>
      </c>
      <c r="B37" s="310" t="s">
        <v>147</v>
      </c>
      <c r="C37" s="311">
        <v>821849950</v>
      </c>
      <c r="D37" s="312">
        <v>40773</v>
      </c>
    </row>
    <row r="38" spans="1:4">
      <c r="A38" s="309" t="s">
        <v>2930</v>
      </c>
      <c r="B38" s="310" t="s">
        <v>147</v>
      </c>
      <c r="C38" s="311">
        <v>590583530</v>
      </c>
      <c r="D38" s="312">
        <v>41096</v>
      </c>
    </row>
    <row r="39" spans="1:4">
      <c r="A39" s="309" t="s">
        <v>2930</v>
      </c>
      <c r="B39" s="310" t="s">
        <v>147</v>
      </c>
      <c r="C39" s="311">
        <v>120000000</v>
      </c>
      <c r="D39" s="312">
        <v>42725</v>
      </c>
    </row>
    <row r="40" spans="1:4">
      <c r="A40" s="309" t="s">
        <v>2930</v>
      </c>
      <c r="B40" s="310" t="s">
        <v>147</v>
      </c>
      <c r="C40" s="311">
        <v>1439888540</v>
      </c>
      <c r="D40" s="312">
        <v>42983</v>
      </c>
    </row>
    <row r="41" spans="1:4">
      <c r="A41" s="309" t="s">
        <v>2930</v>
      </c>
      <c r="B41" s="310" t="s">
        <v>148</v>
      </c>
      <c r="C41" s="311">
        <v>864420815</v>
      </c>
      <c r="D41" s="312">
        <v>42983</v>
      </c>
    </row>
    <row r="42" spans="1:4">
      <c r="A42" s="309" t="s">
        <v>2930</v>
      </c>
      <c r="B42" s="310" t="s">
        <v>149</v>
      </c>
      <c r="C42" s="311">
        <f ca="1">'2.5 제안사 펀드현황'!AL13*1000000</f>
        <v>1175000000</v>
      </c>
      <c r="D42" s="312">
        <v>42993</v>
      </c>
    </row>
    <row r="43" spans="1:4">
      <c r="A43" s="309" t="s">
        <v>2935</v>
      </c>
      <c r="B43" s="310" t="s">
        <v>146</v>
      </c>
      <c r="C43" s="311">
        <v>-5100000000</v>
      </c>
      <c r="D43" s="312">
        <v>39825</v>
      </c>
    </row>
    <row r="44" spans="1:4">
      <c r="A44" s="309" t="s">
        <v>2935</v>
      </c>
      <c r="B44" s="310" t="s">
        <v>146</v>
      </c>
      <c r="C44" s="311">
        <v>-300000000</v>
      </c>
      <c r="D44" s="312">
        <v>40050</v>
      </c>
    </row>
    <row r="45" spans="1:4">
      <c r="A45" s="309" t="s">
        <v>2935</v>
      </c>
      <c r="B45" s="310" t="s">
        <v>146</v>
      </c>
      <c r="C45" s="311">
        <v>-2549979600</v>
      </c>
      <c r="D45" s="312">
        <v>40175</v>
      </c>
    </row>
    <row r="46" spans="1:4">
      <c r="A46" s="309" t="s">
        <v>2935</v>
      </c>
      <c r="B46" s="310" t="s">
        <v>147</v>
      </c>
      <c r="C46" s="311">
        <v>4123376118</v>
      </c>
      <c r="D46" s="312">
        <v>40298</v>
      </c>
    </row>
    <row r="47" spans="1:4">
      <c r="A47" s="309" t="s">
        <v>2935</v>
      </c>
      <c r="B47" s="310" t="s">
        <v>148</v>
      </c>
      <c r="C47" s="311">
        <v>376604422</v>
      </c>
      <c r="D47" s="312">
        <v>40298</v>
      </c>
    </row>
    <row r="48" spans="1:4">
      <c r="A48" s="309" t="s">
        <v>2935</v>
      </c>
      <c r="B48" s="310" t="s">
        <v>146</v>
      </c>
      <c r="C48" s="311">
        <v>-3059998640</v>
      </c>
      <c r="D48" s="312">
        <v>40324</v>
      </c>
    </row>
    <row r="49" spans="1:4">
      <c r="A49" s="309" t="s">
        <v>2935</v>
      </c>
      <c r="B49" s="310" t="s">
        <v>147</v>
      </c>
      <c r="C49" s="311">
        <v>5957122574</v>
      </c>
      <c r="D49" s="312">
        <v>40324</v>
      </c>
    </row>
    <row r="50" spans="1:4">
      <c r="A50" s="309" t="s">
        <v>2935</v>
      </c>
      <c r="B50" s="310" t="s">
        <v>148</v>
      </c>
      <c r="C50" s="311">
        <v>113070216</v>
      </c>
      <c r="D50" s="312">
        <v>40324</v>
      </c>
    </row>
    <row r="51" spans="1:4">
      <c r="A51" s="309" t="s">
        <v>2935</v>
      </c>
      <c r="B51" s="310" t="s">
        <v>146</v>
      </c>
      <c r="C51" s="311">
        <v>-6732000000</v>
      </c>
      <c r="D51" s="312">
        <v>40723</v>
      </c>
    </row>
    <row r="52" spans="1:4">
      <c r="A52" s="309" t="s">
        <v>2935</v>
      </c>
      <c r="B52" s="310" t="s">
        <v>146</v>
      </c>
      <c r="C52" s="311">
        <v>-1428000000</v>
      </c>
      <c r="D52" s="312">
        <v>40892</v>
      </c>
    </row>
    <row r="53" spans="1:4">
      <c r="A53" s="309" t="s">
        <v>2935</v>
      </c>
      <c r="B53" s="310" t="s">
        <v>146</v>
      </c>
      <c r="C53" s="311">
        <v>-3060000000</v>
      </c>
      <c r="D53" s="312">
        <v>41368</v>
      </c>
    </row>
    <row r="54" spans="1:4">
      <c r="A54" s="309" t="s">
        <v>2935</v>
      </c>
      <c r="B54" s="310" t="s">
        <v>147</v>
      </c>
      <c r="C54" s="311">
        <v>3019600550</v>
      </c>
      <c r="D54" s="312">
        <v>42325</v>
      </c>
    </row>
    <row r="55" spans="1:4">
      <c r="A55" s="309" t="s">
        <v>2935</v>
      </c>
      <c r="B55" s="310" t="s">
        <v>147</v>
      </c>
      <c r="C55" s="311">
        <v>282924100</v>
      </c>
      <c r="D55" s="312">
        <v>42720</v>
      </c>
    </row>
    <row r="56" spans="1:4">
      <c r="A56" s="309" t="s">
        <v>2935</v>
      </c>
      <c r="B56" s="310" t="s">
        <v>147</v>
      </c>
      <c r="C56" s="311">
        <v>486481430</v>
      </c>
      <c r="D56" s="312">
        <v>42895</v>
      </c>
    </row>
    <row r="57" spans="1:4">
      <c r="A57" s="309" t="s">
        <v>2935</v>
      </c>
      <c r="B57" s="310" t="s">
        <v>147</v>
      </c>
      <c r="C57" s="311">
        <v>10242107380</v>
      </c>
      <c r="D57" s="312">
        <v>42921</v>
      </c>
    </row>
    <row r="58" spans="1:4">
      <c r="A58" s="309" t="s">
        <v>2935</v>
      </c>
      <c r="B58" s="310" t="s">
        <v>147</v>
      </c>
      <c r="C58" s="311">
        <v>8835002055</v>
      </c>
      <c r="D58" s="312">
        <v>42948</v>
      </c>
    </row>
    <row r="59" spans="1:4">
      <c r="A59" s="309" t="s">
        <v>2935</v>
      </c>
      <c r="B59" s="310" t="s">
        <v>148</v>
      </c>
      <c r="C59" s="311">
        <v>1665963695</v>
      </c>
      <c r="D59" s="312">
        <v>42948</v>
      </c>
    </row>
    <row r="60" spans="1:4">
      <c r="A60" s="309" t="s">
        <v>2935</v>
      </c>
      <c r="B60" s="310" t="s">
        <v>147</v>
      </c>
      <c r="C60" s="311">
        <v>1948648692</v>
      </c>
      <c r="D60" s="312">
        <v>42978</v>
      </c>
    </row>
    <row r="61" spans="1:4">
      <c r="A61" s="309" t="s">
        <v>2935</v>
      </c>
      <c r="B61" s="310" t="s">
        <v>148</v>
      </c>
      <c r="C61" s="311">
        <v>348756698</v>
      </c>
      <c r="D61" s="312">
        <v>42978</v>
      </c>
    </row>
    <row r="62" spans="1:4">
      <c r="A62" s="309" t="s">
        <v>2935</v>
      </c>
      <c r="B62" s="310" t="s">
        <v>149</v>
      </c>
      <c r="C62" s="311">
        <f ca="1">'2.5 제안사 펀드현황'!AL14*1000000</f>
        <v>14360000000</v>
      </c>
      <c r="D62" s="312">
        <v>42993</v>
      </c>
    </row>
    <row r="63" spans="1:4">
      <c r="A63" s="92" t="s">
        <v>2957</v>
      </c>
      <c r="B63" s="93" t="s">
        <v>146</v>
      </c>
      <c r="C63" s="94">
        <v>-26000000000</v>
      </c>
      <c r="D63" s="95">
        <v>40001</v>
      </c>
    </row>
    <row r="64" spans="1:4">
      <c r="A64" s="309" t="s">
        <v>2742</v>
      </c>
      <c r="B64" s="310" t="s">
        <v>146</v>
      </c>
      <c r="C64" s="311">
        <v>-12500000000</v>
      </c>
      <c r="D64" s="312">
        <v>40297</v>
      </c>
    </row>
    <row r="65" spans="1:4">
      <c r="A65" s="309" t="s">
        <v>2742</v>
      </c>
      <c r="B65" s="310" t="s">
        <v>147</v>
      </c>
      <c r="C65" s="311">
        <v>12500000000</v>
      </c>
      <c r="D65" s="312">
        <v>40340</v>
      </c>
    </row>
    <row r="66" spans="1:4">
      <c r="A66" s="309" t="s">
        <v>2742</v>
      </c>
      <c r="B66" s="310" t="s">
        <v>147</v>
      </c>
      <c r="C66" s="311">
        <v>2996247430</v>
      </c>
      <c r="D66" s="312">
        <v>40346</v>
      </c>
    </row>
    <row r="67" spans="1:4">
      <c r="A67" s="309" t="s">
        <v>2742</v>
      </c>
      <c r="B67" s="310" t="s">
        <v>147</v>
      </c>
      <c r="C67" s="311">
        <v>1999788170</v>
      </c>
      <c r="D67" s="312">
        <v>40451</v>
      </c>
    </row>
    <row r="68" spans="1:4">
      <c r="A68" s="309" t="s">
        <v>2742</v>
      </c>
      <c r="B68" s="310" t="s">
        <v>147</v>
      </c>
      <c r="C68" s="311">
        <v>28305248812</v>
      </c>
      <c r="D68" s="312">
        <v>40535</v>
      </c>
    </row>
    <row r="69" spans="1:4">
      <c r="A69" s="309" t="s">
        <v>2742</v>
      </c>
      <c r="B69" s="310" t="s">
        <v>148</v>
      </c>
      <c r="C69" s="311">
        <v>963812657</v>
      </c>
      <c r="D69" s="312">
        <v>40535</v>
      </c>
    </row>
    <row r="70" spans="1:4">
      <c r="A70" s="309" t="s">
        <v>2742</v>
      </c>
      <c r="B70" s="310" t="s">
        <v>147</v>
      </c>
      <c r="C70" s="311">
        <v>6645177</v>
      </c>
      <c r="D70" s="312">
        <v>40679</v>
      </c>
    </row>
    <row r="71" spans="1:4">
      <c r="A71" s="309" t="s">
        <v>2742</v>
      </c>
      <c r="B71" s="310" t="s">
        <v>148</v>
      </c>
      <c r="C71" s="311">
        <v>1661294</v>
      </c>
      <c r="D71" s="312">
        <v>40679</v>
      </c>
    </row>
    <row r="72" spans="1:4">
      <c r="A72" s="92" t="s">
        <v>2017</v>
      </c>
      <c r="B72" s="93" t="s">
        <v>146</v>
      </c>
      <c r="C72" s="94">
        <v>-4650000000</v>
      </c>
      <c r="D72" s="95">
        <v>40100</v>
      </c>
    </row>
    <row r="73" spans="1:4">
      <c r="A73" s="92" t="s">
        <v>2017</v>
      </c>
      <c r="B73" s="93" t="s">
        <v>146</v>
      </c>
      <c r="C73" s="94">
        <v>-3487500000</v>
      </c>
      <c r="D73" s="95">
        <v>40633</v>
      </c>
    </row>
    <row r="74" spans="1:4">
      <c r="A74" s="92" t="s">
        <v>2017</v>
      </c>
      <c r="B74" s="93" t="s">
        <v>146</v>
      </c>
      <c r="C74" s="94">
        <v>-3177500000</v>
      </c>
      <c r="D74" s="95">
        <v>40744</v>
      </c>
    </row>
    <row r="75" spans="1:4">
      <c r="A75" s="92" t="s">
        <v>2017</v>
      </c>
      <c r="B75" s="93" t="s">
        <v>146</v>
      </c>
      <c r="C75" s="94">
        <v>-3503000000</v>
      </c>
      <c r="D75" s="95">
        <v>40968</v>
      </c>
    </row>
    <row r="76" spans="1:4">
      <c r="A76" s="92" t="s">
        <v>2017</v>
      </c>
      <c r="B76" s="96" t="s">
        <v>146</v>
      </c>
      <c r="C76" s="94">
        <v>-682000000</v>
      </c>
      <c r="D76" s="95">
        <v>41558</v>
      </c>
    </row>
    <row r="77" spans="1:4">
      <c r="A77" s="92" t="s">
        <v>2017</v>
      </c>
      <c r="B77" s="96" t="s">
        <v>147</v>
      </c>
      <c r="C77" s="94">
        <v>1666000000</v>
      </c>
      <c r="D77" s="95">
        <v>42151</v>
      </c>
    </row>
    <row r="78" spans="1:4">
      <c r="A78" s="92" t="s">
        <v>2017</v>
      </c>
      <c r="B78" s="96" t="s">
        <v>147</v>
      </c>
      <c r="C78" s="94">
        <v>3716000000</v>
      </c>
      <c r="D78" s="95">
        <v>42262</v>
      </c>
    </row>
    <row r="79" spans="1:4">
      <c r="A79" s="92" t="s">
        <v>2017</v>
      </c>
      <c r="B79" s="96" t="s">
        <v>147</v>
      </c>
      <c r="C79" s="94">
        <v>5976000000</v>
      </c>
      <c r="D79" s="95">
        <v>42289</v>
      </c>
    </row>
    <row r="80" spans="1:4">
      <c r="A80" s="92" t="s">
        <v>2017</v>
      </c>
      <c r="B80" s="96" t="s">
        <v>147</v>
      </c>
      <c r="C80" s="94">
        <v>716000000</v>
      </c>
      <c r="D80" s="95">
        <v>42681</v>
      </c>
    </row>
    <row r="81" spans="1:4">
      <c r="A81" s="92" t="s">
        <v>2017</v>
      </c>
      <c r="B81" s="96" t="s">
        <v>147</v>
      </c>
      <c r="C81" s="94">
        <v>1126000000</v>
      </c>
      <c r="D81" s="95">
        <v>42702</v>
      </c>
    </row>
    <row r="82" spans="1:4">
      <c r="A82" s="92" t="s">
        <v>2017</v>
      </c>
      <c r="B82" s="96" t="s">
        <v>147</v>
      </c>
      <c r="C82" s="94">
        <v>179000000</v>
      </c>
      <c r="D82" s="95">
        <v>42893</v>
      </c>
    </row>
    <row r="83" spans="1:4">
      <c r="A83" s="92" t="s">
        <v>2017</v>
      </c>
      <c r="B83" s="96" t="s">
        <v>149</v>
      </c>
      <c r="C83" s="94">
        <f ca="1">'2.5 제안사 펀드현황'!AL16*1000000</f>
        <v>2957000000</v>
      </c>
      <c r="D83" s="95">
        <v>42993</v>
      </c>
    </row>
    <row r="84" spans="1:4">
      <c r="A84" s="309" t="s">
        <v>2747</v>
      </c>
      <c r="B84" s="313" t="s">
        <v>146</v>
      </c>
      <c r="C84" s="311">
        <v>-42000000000</v>
      </c>
      <c r="D84" s="312">
        <v>40175</v>
      </c>
    </row>
    <row r="85" spans="1:4">
      <c r="A85" s="309" t="s">
        <v>2747</v>
      </c>
      <c r="B85" s="313" t="s">
        <v>147</v>
      </c>
      <c r="C85" s="311">
        <v>1500000000</v>
      </c>
      <c r="D85" s="312">
        <v>40270</v>
      </c>
    </row>
    <row r="86" spans="1:4">
      <c r="A86" s="309" t="s">
        <v>2747</v>
      </c>
      <c r="B86" s="313" t="s">
        <v>147</v>
      </c>
      <c r="C86" s="311">
        <v>65102939792</v>
      </c>
      <c r="D86" s="312">
        <v>40905</v>
      </c>
    </row>
    <row r="87" spans="1:4">
      <c r="A87" s="309" t="s">
        <v>2747</v>
      </c>
      <c r="B87" s="313" t="s">
        <v>148</v>
      </c>
      <c r="C87" s="311">
        <v>4923085702</v>
      </c>
      <c r="D87" s="312">
        <v>40905</v>
      </c>
    </row>
    <row r="88" spans="1:4">
      <c r="A88" s="92" t="s">
        <v>2027</v>
      </c>
      <c r="B88" s="96" t="s">
        <v>146</v>
      </c>
      <c r="C88" s="94">
        <v>-5250000000</v>
      </c>
      <c r="D88" s="95">
        <v>40330</v>
      </c>
    </row>
    <row r="89" spans="1:4">
      <c r="A89" s="92" t="s">
        <v>2027</v>
      </c>
      <c r="B89" s="96" t="s">
        <v>147</v>
      </c>
      <c r="C89" s="94">
        <v>787500000</v>
      </c>
      <c r="D89" s="95">
        <v>42724</v>
      </c>
    </row>
    <row r="90" spans="1:4">
      <c r="A90" s="92" t="s">
        <v>2027</v>
      </c>
      <c r="B90" s="96" t="s">
        <v>147</v>
      </c>
      <c r="C90" s="94">
        <v>169575000</v>
      </c>
      <c r="D90" s="95">
        <v>42893</v>
      </c>
    </row>
    <row r="91" spans="1:4">
      <c r="A91" s="92" t="s">
        <v>2027</v>
      </c>
      <c r="B91" s="96" t="s">
        <v>149</v>
      </c>
      <c r="C91" s="94">
        <f ca="1">'2.5 제안사 펀드현황'!AL18*1000000</f>
        <v>5025000000</v>
      </c>
      <c r="D91" s="95">
        <v>42993</v>
      </c>
    </row>
    <row r="92" spans="1:4">
      <c r="A92" s="92" t="s">
        <v>2028</v>
      </c>
      <c r="B92" s="96" t="s">
        <v>146</v>
      </c>
      <c r="C92" s="94">
        <v>-11000000000</v>
      </c>
      <c r="D92" s="95">
        <v>40330</v>
      </c>
    </row>
    <row r="93" spans="1:4">
      <c r="A93" s="92" t="s">
        <v>2028</v>
      </c>
      <c r="B93" s="96" t="s">
        <v>147</v>
      </c>
      <c r="C93" s="94">
        <v>539000000</v>
      </c>
      <c r="D93" s="95">
        <v>42258</v>
      </c>
    </row>
    <row r="94" spans="1:4">
      <c r="A94" s="92" t="s">
        <v>2028</v>
      </c>
      <c r="B94" s="96" t="s">
        <v>147</v>
      </c>
      <c r="C94" s="94">
        <v>377300000</v>
      </c>
      <c r="D94" s="95">
        <v>42724</v>
      </c>
    </row>
    <row r="95" spans="1:4">
      <c r="A95" s="92" t="s">
        <v>2028</v>
      </c>
      <c r="B95" s="96" t="s">
        <v>147</v>
      </c>
      <c r="C95" s="94">
        <v>302511000</v>
      </c>
      <c r="D95" s="95">
        <v>42893</v>
      </c>
    </row>
    <row r="96" spans="1:4">
      <c r="A96" s="92" t="s">
        <v>2028</v>
      </c>
      <c r="B96" s="96" t="s">
        <v>149</v>
      </c>
      <c r="C96" s="94">
        <f ca="1">'2.5 제안사 펀드현황'!AL19*1000000</f>
        <v>4457000000</v>
      </c>
      <c r="D96" s="95">
        <v>42993</v>
      </c>
    </row>
    <row r="97" spans="1:4">
      <c r="A97" s="92" t="s">
        <v>2018</v>
      </c>
      <c r="B97" s="96" t="s">
        <v>146</v>
      </c>
      <c r="C97" s="94">
        <v>-3000000000</v>
      </c>
      <c r="D97" s="95">
        <v>40359</v>
      </c>
    </row>
    <row r="98" spans="1:4">
      <c r="A98" s="92" t="s">
        <v>2018</v>
      </c>
      <c r="B98" s="96" t="s">
        <v>146</v>
      </c>
      <c r="C98" s="94">
        <v>-1800000000</v>
      </c>
      <c r="D98" s="95">
        <v>40654</v>
      </c>
    </row>
    <row r="99" spans="1:4">
      <c r="A99" s="92" t="s">
        <v>2018</v>
      </c>
      <c r="B99" s="96" t="s">
        <v>146</v>
      </c>
      <c r="C99" s="94">
        <v>-1500000000</v>
      </c>
      <c r="D99" s="95">
        <v>40658</v>
      </c>
    </row>
    <row r="100" spans="1:4">
      <c r="A100" s="92" t="s">
        <v>2018</v>
      </c>
      <c r="B100" s="96" t="s">
        <v>146</v>
      </c>
      <c r="C100" s="94">
        <v>-1000000000</v>
      </c>
      <c r="D100" s="95">
        <v>40744</v>
      </c>
    </row>
    <row r="101" spans="1:4">
      <c r="A101" s="92" t="s">
        <v>2018</v>
      </c>
      <c r="B101" s="96" t="s">
        <v>146</v>
      </c>
      <c r="C101" s="94">
        <v>-1000000000</v>
      </c>
      <c r="D101" s="95">
        <v>40840</v>
      </c>
    </row>
    <row r="102" spans="1:4">
      <c r="A102" s="92" t="s">
        <v>2018</v>
      </c>
      <c r="B102" s="96" t="s">
        <v>146</v>
      </c>
      <c r="C102" s="94">
        <v>-1400000000</v>
      </c>
      <c r="D102" s="95">
        <v>41101</v>
      </c>
    </row>
    <row r="103" spans="1:4">
      <c r="A103" s="92" t="s">
        <v>2018</v>
      </c>
      <c r="B103" s="96" t="s">
        <v>146</v>
      </c>
      <c r="C103" s="94">
        <v>-300000000</v>
      </c>
      <c r="D103" s="95">
        <v>41362</v>
      </c>
    </row>
    <row r="104" spans="1:4">
      <c r="A104" s="92" t="s">
        <v>2018</v>
      </c>
      <c r="B104" s="96" t="s">
        <v>147</v>
      </c>
      <c r="C104" s="94">
        <v>1500000000</v>
      </c>
      <c r="D104" s="95">
        <v>41808</v>
      </c>
    </row>
    <row r="105" spans="1:4">
      <c r="A105" s="92" t="s">
        <v>2018</v>
      </c>
      <c r="B105" s="96" t="s">
        <v>147</v>
      </c>
      <c r="C105" s="94">
        <v>2000000000</v>
      </c>
      <c r="D105" s="95">
        <v>41962</v>
      </c>
    </row>
    <row r="106" spans="1:4">
      <c r="A106" s="92" t="s">
        <v>2018</v>
      </c>
      <c r="B106" s="96" t="s">
        <v>147</v>
      </c>
      <c r="C106" s="94">
        <v>2633000000</v>
      </c>
      <c r="D106" s="95">
        <v>42109</v>
      </c>
    </row>
    <row r="107" spans="1:4">
      <c r="A107" s="92" t="s">
        <v>2018</v>
      </c>
      <c r="B107" s="96" t="s">
        <v>147</v>
      </c>
      <c r="C107" s="94">
        <v>800000000</v>
      </c>
      <c r="D107" s="95">
        <v>42123</v>
      </c>
    </row>
    <row r="108" spans="1:4">
      <c r="A108" s="92" t="s">
        <v>2018</v>
      </c>
      <c r="B108" s="96" t="s">
        <v>147</v>
      </c>
      <c r="C108" s="94">
        <v>1147000000</v>
      </c>
      <c r="D108" s="95">
        <v>42151</v>
      </c>
    </row>
    <row r="109" spans="1:4">
      <c r="A109" s="92" t="s">
        <v>2018</v>
      </c>
      <c r="B109" s="96" t="s">
        <v>147</v>
      </c>
      <c r="C109" s="94">
        <v>1746000000</v>
      </c>
      <c r="D109" s="95">
        <v>42289</v>
      </c>
    </row>
    <row r="110" spans="1:4">
      <c r="A110" s="92" t="s">
        <v>2018</v>
      </c>
      <c r="B110" s="96" t="s">
        <v>149</v>
      </c>
      <c r="C110" s="94">
        <f ca="1">'2.5 제안사 펀드현황'!AL20*1000000</f>
        <v>1901000000</v>
      </c>
      <c r="D110" s="95">
        <v>42993</v>
      </c>
    </row>
    <row r="111" spans="1:4">
      <c r="A111" s="92" t="s">
        <v>2054</v>
      </c>
      <c r="B111" s="96" t="s">
        <v>146</v>
      </c>
      <c r="C111" s="94">
        <v>-4600000000</v>
      </c>
      <c r="D111" s="95">
        <v>40400</v>
      </c>
    </row>
    <row r="112" spans="1:4">
      <c r="A112" s="92" t="s">
        <v>2054</v>
      </c>
      <c r="B112" s="96" t="s">
        <v>146</v>
      </c>
      <c r="C112" s="94">
        <v>-10810000000</v>
      </c>
      <c r="D112" s="95">
        <v>40540</v>
      </c>
    </row>
    <row r="113" spans="1:4">
      <c r="A113" s="92" t="s">
        <v>2054</v>
      </c>
      <c r="B113" s="96" t="s">
        <v>146</v>
      </c>
      <c r="C113" s="94">
        <v>-6210000000</v>
      </c>
      <c r="D113" s="95">
        <v>40637</v>
      </c>
    </row>
    <row r="114" spans="1:4">
      <c r="A114" s="92" t="s">
        <v>2054</v>
      </c>
      <c r="B114" s="96" t="s">
        <v>146</v>
      </c>
      <c r="C114" s="94">
        <v>-1380000000</v>
      </c>
      <c r="D114" s="95">
        <v>40662</v>
      </c>
    </row>
    <row r="115" spans="1:4">
      <c r="A115" s="92" t="s">
        <v>2054</v>
      </c>
      <c r="B115" s="96" t="s">
        <v>147</v>
      </c>
      <c r="C115" s="94">
        <v>5299752040</v>
      </c>
      <c r="D115" s="95">
        <v>40928</v>
      </c>
    </row>
    <row r="116" spans="1:4">
      <c r="A116" s="92" t="s">
        <v>2054</v>
      </c>
      <c r="B116" s="96" t="s">
        <v>147</v>
      </c>
      <c r="C116" s="94">
        <v>2140000000</v>
      </c>
      <c r="D116" s="95">
        <v>40987</v>
      </c>
    </row>
    <row r="117" spans="1:4">
      <c r="A117" s="92" t="s">
        <v>2054</v>
      </c>
      <c r="B117" s="96" t="s">
        <v>147</v>
      </c>
      <c r="C117" s="94">
        <v>204000000</v>
      </c>
      <c r="D117" s="95">
        <v>41040</v>
      </c>
    </row>
    <row r="118" spans="1:4">
      <c r="A118" s="92" t="s">
        <v>2054</v>
      </c>
      <c r="B118" s="96" t="s">
        <v>147</v>
      </c>
      <c r="C118" s="94">
        <v>17199737130</v>
      </c>
      <c r="D118" s="95">
        <v>41598</v>
      </c>
    </row>
    <row r="119" spans="1:4">
      <c r="A119" s="92" t="s">
        <v>2054</v>
      </c>
      <c r="B119" s="96" t="s">
        <v>147</v>
      </c>
      <c r="C119" s="94">
        <v>2699682900</v>
      </c>
      <c r="D119" s="95">
        <v>41668</v>
      </c>
    </row>
    <row r="120" spans="1:4">
      <c r="A120" s="92" t="s">
        <v>2054</v>
      </c>
      <c r="B120" s="96" t="s">
        <v>147</v>
      </c>
      <c r="C120" s="94">
        <v>219248519</v>
      </c>
      <c r="D120" s="95">
        <v>41855</v>
      </c>
    </row>
    <row r="121" spans="1:4">
      <c r="A121" s="92" t="s">
        <v>2054</v>
      </c>
      <c r="B121" s="96" t="s">
        <v>148</v>
      </c>
      <c r="C121" s="94">
        <v>30751481</v>
      </c>
      <c r="D121" s="95">
        <v>41855</v>
      </c>
    </row>
    <row r="122" spans="1:4">
      <c r="A122" s="92" t="s">
        <v>2054</v>
      </c>
      <c r="B122" s="96" t="s">
        <v>147</v>
      </c>
      <c r="C122" s="94">
        <v>2366970960</v>
      </c>
      <c r="D122" s="95">
        <v>42243</v>
      </c>
    </row>
    <row r="123" spans="1:4">
      <c r="A123" s="92" t="s">
        <v>2054</v>
      </c>
      <c r="B123" s="96" t="s">
        <v>148</v>
      </c>
      <c r="C123" s="94">
        <v>591744990</v>
      </c>
      <c r="D123" s="95">
        <v>42243</v>
      </c>
    </row>
    <row r="124" spans="1:4">
      <c r="A124" s="92" t="s">
        <v>2054</v>
      </c>
      <c r="B124" s="96" t="s">
        <v>147</v>
      </c>
      <c r="C124" s="94">
        <v>531506243</v>
      </c>
      <c r="D124" s="95">
        <v>42271</v>
      </c>
    </row>
    <row r="125" spans="1:4">
      <c r="A125" s="92" t="s">
        <v>2054</v>
      </c>
      <c r="B125" s="96" t="s">
        <v>148</v>
      </c>
      <c r="C125" s="94">
        <v>132876561</v>
      </c>
      <c r="D125" s="95">
        <v>42271</v>
      </c>
    </row>
    <row r="126" spans="1:4">
      <c r="A126" s="92" t="s">
        <v>2054</v>
      </c>
      <c r="B126" s="96" t="s">
        <v>147</v>
      </c>
      <c r="C126" s="94">
        <v>204762700</v>
      </c>
      <c r="D126" s="95">
        <v>42893</v>
      </c>
    </row>
    <row r="127" spans="1:4">
      <c r="A127" s="92" t="s">
        <v>2054</v>
      </c>
      <c r="B127" s="96" t="s">
        <v>148</v>
      </c>
      <c r="C127" s="94">
        <v>51190675</v>
      </c>
      <c r="D127" s="95">
        <v>42893</v>
      </c>
    </row>
    <row r="128" spans="1:4">
      <c r="A128" s="92" t="s">
        <v>2054</v>
      </c>
      <c r="B128" s="96" t="s">
        <v>147</v>
      </c>
      <c r="C128" s="94">
        <v>2934892</v>
      </c>
      <c r="D128" s="95">
        <v>42965</v>
      </c>
    </row>
    <row r="129" spans="1:4">
      <c r="A129" s="92" t="s">
        <v>2054</v>
      </c>
      <c r="B129" s="96" t="s">
        <v>148</v>
      </c>
      <c r="C129" s="94">
        <v>733722</v>
      </c>
      <c r="D129" s="95">
        <v>42965</v>
      </c>
    </row>
    <row r="130" spans="1:4">
      <c r="A130" s="92" t="s">
        <v>2019</v>
      </c>
      <c r="B130" s="96" t="s">
        <v>146</v>
      </c>
      <c r="C130" s="94">
        <v>-3200000000</v>
      </c>
      <c r="D130" s="95">
        <v>40421</v>
      </c>
    </row>
    <row r="131" spans="1:4">
      <c r="A131" s="92" t="s">
        <v>2019</v>
      </c>
      <c r="B131" s="96" t="s">
        <v>146</v>
      </c>
      <c r="C131" s="94">
        <v>-1248000000</v>
      </c>
      <c r="D131" s="95">
        <v>40633</v>
      </c>
    </row>
    <row r="132" spans="1:4">
      <c r="A132" s="92" t="s">
        <v>2019</v>
      </c>
      <c r="B132" s="96" t="s">
        <v>146</v>
      </c>
      <c r="C132" s="94">
        <v>-672000000</v>
      </c>
      <c r="D132" s="95">
        <v>40696</v>
      </c>
    </row>
    <row r="133" spans="1:4">
      <c r="A133" s="92" t="s">
        <v>2019</v>
      </c>
      <c r="B133" s="96" t="s">
        <v>146</v>
      </c>
      <c r="C133" s="94">
        <v>-128000000</v>
      </c>
      <c r="D133" s="95">
        <v>40829</v>
      </c>
    </row>
    <row r="134" spans="1:4">
      <c r="A134" s="92" t="s">
        <v>2019</v>
      </c>
      <c r="B134" s="96" t="s">
        <v>146</v>
      </c>
      <c r="C134" s="94">
        <v>-320000000</v>
      </c>
      <c r="D134" s="95">
        <v>40910</v>
      </c>
    </row>
    <row r="135" spans="1:4">
      <c r="A135" s="92" t="s">
        <v>2019</v>
      </c>
      <c r="B135" s="96" t="s">
        <v>146</v>
      </c>
      <c r="C135" s="94">
        <v>-320000000</v>
      </c>
      <c r="D135" s="95">
        <v>40938</v>
      </c>
    </row>
    <row r="136" spans="1:4">
      <c r="A136" s="92" t="s">
        <v>2019</v>
      </c>
      <c r="B136" s="96" t="s">
        <v>146</v>
      </c>
      <c r="C136" s="94">
        <v>-2880000000</v>
      </c>
      <c r="D136" s="95">
        <v>40968</v>
      </c>
    </row>
    <row r="137" spans="1:4">
      <c r="A137" s="92" t="s">
        <v>2019</v>
      </c>
      <c r="B137" s="96" t="s">
        <v>146</v>
      </c>
      <c r="C137" s="94">
        <v>-960000000</v>
      </c>
      <c r="D137" s="95">
        <v>41129</v>
      </c>
    </row>
    <row r="138" spans="1:4">
      <c r="A138" s="92" t="s">
        <v>2019</v>
      </c>
      <c r="B138" s="96" t="s">
        <v>146</v>
      </c>
      <c r="C138" s="94">
        <v>-2240000000</v>
      </c>
      <c r="D138" s="95">
        <v>41214</v>
      </c>
    </row>
    <row r="139" spans="1:4">
      <c r="A139" s="92" t="s">
        <v>2019</v>
      </c>
      <c r="B139" s="96" t="s">
        <v>146</v>
      </c>
      <c r="C139" s="94">
        <v>-320000000</v>
      </c>
      <c r="D139" s="95">
        <v>41254</v>
      </c>
    </row>
    <row r="140" spans="1:4">
      <c r="A140" s="92" t="s">
        <v>2019</v>
      </c>
      <c r="B140" s="96" t="s">
        <v>146</v>
      </c>
      <c r="C140" s="94">
        <v>-1280000000</v>
      </c>
      <c r="D140" s="95">
        <v>41270</v>
      </c>
    </row>
    <row r="141" spans="1:4">
      <c r="A141" s="92" t="s">
        <v>2019</v>
      </c>
      <c r="B141" s="96" t="s">
        <v>146</v>
      </c>
      <c r="C141" s="94">
        <v>-320000000</v>
      </c>
      <c r="D141" s="95">
        <v>41331</v>
      </c>
    </row>
    <row r="142" spans="1:4">
      <c r="A142" s="92" t="s">
        <v>2019</v>
      </c>
      <c r="B142" s="96" t="s">
        <v>146</v>
      </c>
      <c r="C142" s="94">
        <v>-992000000</v>
      </c>
      <c r="D142" s="95">
        <v>41388</v>
      </c>
    </row>
    <row r="143" spans="1:4">
      <c r="A143" s="92" t="s">
        <v>2019</v>
      </c>
      <c r="B143" s="96" t="s">
        <v>146</v>
      </c>
      <c r="C143" s="94">
        <v>-3145000000</v>
      </c>
      <c r="D143" s="95">
        <v>41453</v>
      </c>
    </row>
    <row r="144" spans="1:4">
      <c r="A144" s="92" t="s">
        <v>2019</v>
      </c>
      <c r="B144" s="96" t="s">
        <v>146</v>
      </c>
      <c r="C144" s="94">
        <v>-215000000</v>
      </c>
      <c r="D144" s="95">
        <v>41554</v>
      </c>
    </row>
    <row r="145" spans="1:4">
      <c r="A145" s="92" t="s">
        <v>2019</v>
      </c>
      <c r="B145" s="96" t="s">
        <v>147</v>
      </c>
      <c r="C145" s="94">
        <v>2900000000</v>
      </c>
      <c r="D145" s="95">
        <v>41578</v>
      </c>
    </row>
    <row r="146" spans="1:4">
      <c r="A146" s="92" t="s">
        <v>2019</v>
      </c>
      <c r="B146" s="96" t="s">
        <v>146</v>
      </c>
      <c r="C146" s="94">
        <v>-1280000000</v>
      </c>
      <c r="D146" s="95">
        <v>41642</v>
      </c>
    </row>
    <row r="147" spans="1:4">
      <c r="A147" s="92" t="s">
        <v>2019</v>
      </c>
      <c r="B147" s="96" t="s">
        <v>146</v>
      </c>
      <c r="C147" s="94">
        <v>-2880000000</v>
      </c>
      <c r="D147" s="95">
        <v>41662</v>
      </c>
    </row>
    <row r="148" spans="1:4">
      <c r="A148" s="92" t="s">
        <v>2019</v>
      </c>
      <c r="B148" s="96" t="s">
        <v>146</v>
      </c>
      <c r="C148" s="94">
        <v>-2880000000</v>
      </c>
      <c r="D148" s="95">
        <v>41968</v>
      </c>
    </row>
    <row r="149" spans="1:4">
      <c r="A149" s="92" t="s">
        <v>2019</v>
      </c>
      <c r="B149" s="96" t="s">
        <v>147</v>
      </c>
      <c r="C149" s="94">
        <v>7168830580</v>
      </c>
      <c r="D149" s="95">
        <v>42109</v>
      </c>
    </row>
    <row r="150" spans="1:4">
      <c r="A150" s="92" t="s">
        <v>2019</v>
      </c>
      <c r="B150" s="96" t="s">
        <v>147</v>
      </c>
      <c r="C150" s="94">
        <v>2600000000</v>
      </c>
      <c r="D150" s="95">
        <v>42121</v>
      </c>
    </row>
    <row r="151" spans="1:4">
      <c r="A151" s="92" t="s">
        <v>2019</v>
      </c>
      <c r="B151" s="96" t="s">
        <v>146</v>
      </c>
      <c r="C151" s="94">
        <v>-3520000000</v>
      </c>
      <c r="D151" s="95">
        <v>42139</v>
      </c>
    </row>
    <row r="152" spans="1:4">
      <c r="A152" s="92" t="s">
        <v>2019</v>
      </c>
      <c r="B152" s="96" t="s">
        <v>146</v>
      </c>
      <c r="C152" s="94">
        <v>-3200000000</v>
      </c>
      <c r="D152" s="95">
        <v>42174</v>
      </c>
    </row>
    <row r="153" spans="1:4">
      <c r="A153" s="92" t="s">
        <v>2019</v>
      </c>
      <c r="B153" s="96" t="s">
        <v>147</v>
      </c>
      <c r="C153" s="94">
        <v>7799588970</v>
      </c>
      <c r="D153" s="95">
        <v>42212</v>
      </c>
    </row>
    <row r="154" spans="1:4">
      <c r="A154" s="92" t="s">
        <v>2019</v>
      </c>
      <c r="B154" s="96" t="s">
        <v>147</v>
      </c>
      <c r="C154" s="94">
        <v>1779223100</v>
      </c>
      <c r="D154" s="95">
        <v>42254</v>
      </c>
    </row>
    <row r="155" spans="1:4">
      <c r="A155" s="92" t="s">
        <v>2019</v>
      </c>
      <c r="B155" s="96" t="s">
        <v>147</v>
      </c>
      <c r="C155" s="94">
        <v>3087602950</v>
      </c>
      <c r="D155" s="95">
        <v>42285</v>
      </c>
    </row>
    <row r="156" spans="1:4">
      <c r="A156" s="92" t="s">
        <v>2019</v>
      </c>
      <c r="B156" s="96" t="s">
        <v>147</v>
      </c>
      <c r="C156" s="94">
        <v>6175176320</v>
      </c>
      <c r="D156" s="95">
        <v>42383</v>
      </c>
    </row>
    <row r="157" spans="1:4">
      <c r="A157" s="92" t="s">
        <v>2019</v>
      </c>
      <c r="B157" s="96" t="s">
        <v>147</v>
      </c>
      <c r="C157" s="94">
        <v>1000000000</v>
      </c>
      <c r="D157" s="95">
        <v>42431</v>
      </c>
    </row>
    <row r="158" spans="1:4">
      <c r="A158" s="92" t="s">
        <v>2019</v>
      </c>
      <c r="B158" s="96" t="s">
        <v>147</v>
      </c>
      <c r="C158" s="94">
        <v>8784101584</v>
      </c>
      <c r="D158" s="95">
        <v>42559</v>
      </c>
    </row>
    <row r="159" spans="1:4">
      <c r="A159" s="92" t="s">
        <v>2019</v>
      </c>
      <c r="B159" s="96" t="s">
        <v>148</v>
      </c>
      <c r="C159" s="94">
        <v>815898416</v>
      </c>
      <c r="D159" s="95">
        <v>42559</v>
      </c>
    </row>
    <row r="160" spans="1:4">
      <c r="A160" s="92" t="s">
        <v>2019</v>
      </c>
      <c r="B160" s="96" t="s">
        <v>147</v>
      </c>
      <c r="C160" s="94">
        <v>1520000000</v>
      </c>
      <c r="D160" s="95">
        <v>42681</v>
      </c>
    </row>
    <row r="161" spans="1:4">
      <c r="A161" s="92" t="s">
        <v>2019</v>
      </c>
      <c r="B161" s="96" t="s">
        <v>148</v>
      </c>
      <c r="C161" s="94">
        <v>380000000</v>
      </c>
      <c r="D161" s="95">
        <v>42681</v>
      </c>
    </row>
    <row r="162" spans="1:4">
      <c r="A162" s="92" t="s">
        <v>2019</v>
      </c>
      <c r="B162" s="96" t="s">
        <v>147</v>
      </c>
      <c r="C162" s="94">
        <v>1312000000</v>
      </c>
      <c r="D162" s="95">
        <v>42702</v>
      </c>
    </row>
    <row r="163" spans="1:4">
      <c r="A163" s="92" t="s">
        <v>2019</v>
      </c>
      <c r="B163" s="96" t="s">
        <v>148</v>
      </c>
      <c r="C163" s="94">
        <v>328000000</v>
      </c>
      <c r="D163" s="95">
        <v>42702</v>
      </c>
    </row>
    <row r="164" spans="1:4">
      <c r="A164" s="92" t="s">
        <v>2019</v>
      </c>
      <c r="B164" s="96" t="s">
        <v>147</v>
      </c>
      <c r="C164" s="94">
        <v>2240000000</v>
      </c>
      <c r="D164" s="95">
        <v>42836</v>
      </c>
    </row>
    <row r="165" spans="1:4">
      <c r="A165" s="92" t="s">
        <v>2019</v>
      </c>
      <c r="B165" s="96" t="s">
        <v>148</v>
      </c>
      <c r="C165" s="94">
        <v>560000000</v>
      </c>
      <c r="D165" s="95">
        <v>42836</v>
      </c>
    </row>
    <row r="166" spans="1:4">
      <c r="A166" s="92" t="s">
        <v>2019</v>
      </c>
      <c r="B166" s="96" t="s">
        <v>147</v>
      </c>
      <c r="C166" s="94">
        <v>1880000000</v>
      </c>
      <c r="D166" s="95">
        <v>42881</v>
      </c>
    </row>
    <row r="167" spans="1:4">
      <c r="A167" s="92" t="s">
        <v>2019</v>
      </c>
      <c r="B167" s="96" t="s">
        <v>148</v>
      </c>
      <c r="C167" s="94">
        <v>470000000</v>
      </c>
      <c r="D167" s="95">
        <v>42881</v>
      </c>
    </row>
    <row r="168" spans="1:4">
      <c r="A168" s="92" t="s">
        <v>2019</v>
      </c>
      <c r="B168" s="96" t="s">
        <v>149</v>
      </c>
      <c r="C168" s="94">
        <f ca="1">'2.5 제안사 펀드현황'!AL22*1000000</f>
        <v>3377000000</v>
      </c>
      <c r="D168" s="95">
        <v>42993</v>
      </c>
    </row>
    <row r="169" spans="1:4">
      <c r="A169" s="309" t="s">
        <v>2895</v>
      </c>
      <c r="B169" s="313" t="s">
        <v>146</v>
      </c>
      <c r="C169" s="311">
        <v>-300000000</v>
      </c>
      <c r="D169" s="312">
        <v>40445</v>
      </c>
    </row>
    <row r="170" spans="1:4">
      <c r="A170" s="309" t="s">
        <v>2751</v>
      </c>
      <c r="B170" s="313" t="s">
        <v>146</v>
      </c>
      <c r="C170" s="311">
        <v>-4200000000</v>
      </c>
      <c r="D170" s="312">
        <v>40448</v>
      </c>
    </row>
    <row r="171" spans="1:4">
      <c r="A171" s="309" t="s">
        <v>2751</v>
      </c>
      <c r="B171" s="313" t="s">
        <v>146</v>
      </c>
      <c r="C171" s="311">
        <v>-10500000000</v>
      </c>
      <c r="D171" s="312">
        <v>40540</v>
      </c>
    </row>
    <row r="172" spans="1:4">
      <c r="A172" s="309" t="s">
        <v>2751</v>
      </c>
      <c r="B172" s="313" t="s">
        <v>147</v>
      </c>
      <c r="C172" s="311">
        <v>3178248854</v>
      </c>
      <c r="D172" s="312">
        <v>41032</v>
      </c>
    </row>
    <row r="173" spans="1:4">
      <c r="A173" s="309" t="s">
        <v>2751</v>
      </c>
      <c r="B173" s="313" t="s">
        <v>147</v>
      </c>
      <c r="C173" s="311">
        <v>10500000000</v>
      </c>
      <c r="D173" s="312">
        <v>41578</v>
      </c>
    </row>
    <row r="174" spans="1:4">
      <c r="A174" s="309" t="s">
        <v>2751</v>
      </c>
      <c r="B174" s="313" t="s">
        <v>147</v>
      </c>
      <c r="C174" s="311">
        <v>120646342</v>
      </c>
      <c r="D174" s="312">
        <v>41739</v>
      </c>
    </row>
    <row r="175" spans="1:4">
      <c r="A175" s="309" t="s">
        <v>2751</v>
      </c>
      <c r="B175" s="313" t="s">
        <v>147</v>
      </c>
      <c r="C175" s="311">
        <v>1500000000</v>
      </c>
      <c r="D175" s="312">
        <v>42258</v>
      </c>
    </row>
    <row r="176" spans="1:4">
      <c r="A176" s="309" t="s">
        <v>2751</v>
      </c>
      <c r="B176" s="313" t="s">
        <v>147</v>
      </c>
      <c r="C176" s="311">
        <v>495000000</v>
      </c>
      <c r="D176" s="312">
        <v>42265</v>
      </c>
    </row>
    <row r="177" spans="1:4">
      <c r="A177" s="309" t="s">
        <v>2751</v>
      </c>
      <c r="B177" s="313" t="s">
        <v>149</v>
      </c>
      <c r="C177" s="311">
        <f ca="1">'2.5 제안사 펀드현황'!AL23*1000000</f>
        <v>4569000000</v>
      </c>
      <c r="D177" s="312">
        <v>42993</v>
      </c>
    </row>
    <row r="178" spans="1:4">
      <c r="A178" s="309" t="s">
        <v>2758</v>
      </c>
      <c r="B178" s="313" t="s">
        <v>146</v>
      </c>
      <c r="C178" s="311">
        <v>-43500000000</v>
      </c>
      <c r="D178" s="312">
        <v>40533</v>
      </c>
    </row>
    <row r="179" spans="1:4">
      <c r="A179" s="309" t="s">
        <v>2758</v>
      </c>
      <c r="B179" s="313" t="s">
        <v>147</v>
      </c>
      <c r="C179" s="311">
        <v>18460095000</v>
      </c>
      <c r="D179" s="312">
        <v>40904</v>
      </c>
    </row>
    <row r="180" spans="1:4">
      <c r="A180" s="309" t="s">
        <v>2758</v>
      </c>
      <c r="B180" s="313" t="s">
        <v>147</v>
      </c>
      <c r="C180" s="311">
        <v>5402700000</v>
      </c>
      <c r="D180" s="312">
        <v>40907</v>
      </c>
    </row>
    <row r="181" spans="1:4">
      <c r="A181" s="309" t="s">
        <v>2758</v>
      </c>
      <c r="B181" s="313" t="s">
        <v>147</v>
      </c>
      <c r="C181" s="311">
        <v>15900000000</v>
      </c>
      <c r="D181" s="312">
        <v>41269</v>
      </c>
    </row>
    <row r="182" spans="1:4">
      <c r="A182" s="309" t="s">
        <v>2758</v>
      </c>
      <c r="B182" s="313" t="s">
        <v>147</v>
      </c>
      <c r="C182" s="311">
        <v>30819563531</v>
      </c>
      <c r="D182" s="312">
        <v>41948</v>
      </c>
    </row>
    <row r="183" spans="1:4">
      <c r="A183" s="309" t="s">
        <v>2758</v>
      </c>
      <c r="B183" s="313" t="s">
        <v>148</v>
      </c>
      <c r="C183" s="311">
        <v>5280436469</v>
      </c>
      <c r="D183" s="312">
        <v>41948</v>
      </c>
    </row>
    <row r="184" spans="1:4">
      <c r="A184" s="309" t="s">
        <v>2758</v>
      </c>
      <c r="B184" s="313" t="s">
        <v>147</v>
      </c>
      <c r="C184" s="311">
        <v>135710616</v>
      </c>
      <c r="D184" s="312">
        <v>42587</v>
      </c>
    </row>
    <row r="185" spans="1:4">
      <c r="A185" s="309" t="s">
        <v>2758</v>
      </c>
      <c r="B185" s="313" t="s">
        <v>148</v>
      </c>
      <c r="C185" s="311">
        <v>64289384</v>
      </c>
      <c r="D185" s="312">
        <v>42587</v>
      </c>
    </row>
    <row r="186" spans="1:4">
      <c r="A186" s="309" t="s">
        <v>2758</v>
      </c>
      <c r="B186" s="313" t="s">
        <v>147</v>
      </c>
      <c r="C186" s="311">
        <v>4824010800</v>
      </c>
      <c r="D186" s="312">
        <v>42734</v>
      </c>
    </row>
    <row r="187" spans="1:4">
      <c r="A187" s="309" t="s">
        <v>2758</v>
      </c>
      <c r="B187" s="313" t="s">
        <v>148</v>
      </c>
      <c r="C187" s="311">
        <v>1206002700</v>
      </c>
      <c r="D187" s="312">
        <v>42734</v>
      </c>
    </row>
    <row r="188" spans="1:4">
      <c r="A188" s="309" t="s">
        <v>2758</v>
      </c>
      <c r="B188" s="313" t="s">
        <v>149</v>
      </c>
      <c r="C188" s="311">
        <f ca="1">'2.5 제안사 펀드현황'!AL24*1000000</f>
        <v>17062000000</v>
      </c>
      <c r="D188" s="312">
        <v>42993</v>
      </c>
    </row>
    <row r="189" spans="1:4">
      <c r="A189" s="92" t="s">
        <v>2020</v>
      </c>
      <c r="B189" s="96" t="s">
        <v>146</v>
      </c>
      <c r="C189" s="94">
        <v>-10000000000</v>
      </c>
      <c r="D189" s="95">
        <v>40872</v>
      </c>
    </row>
    <row r="190" spans="1:4">
      <c r="A190" s="92" t="s">
        <v>2020</v>
      </c>
      <c r="B190" s="96" t="s">
        <v>146</v>
      </c>
      <c r="C190" s="94">
        <v>-3600000000</v>
      </c>
      <c r="D190" s="95">
        <v>41088</v>
      </c>
    </row>
    <row r="191" spans="1:4">
      <c r="A191" s="92" t="s">
        <v>2020</v>
      </c>
      <c r="B191" s="96" t="s">
        <v>146</v>
      </c>
      <c r="C191" s="94">
        <v>-5200000000</v>
      </c>
      <c r="D191" s="95">
        <v>41108</v>
      </c>
    </row>
    <row r="192" spans="1:4">
      <c r="A192" s="92" t="s">
        <v>2020</v>
      </c>
      <c r="B192" s="96" t="s">
        <v>146</v>
      </c>
      <c r="C192" s="94">
        <v>-2000000000</v>
      </c>
      <c r="D192" s="95">
        <v>41255</v>
      </c>
    </row>
    <row r="193" spans="1:4">
      <c r="A193" s="92" t="s">
        <v>2020</v>
      </c>
      <c r="B193" s="96" t="s">
        <v>146</v>
      </c>
      <c r="C193" s="94">
        <v>-2000000000</v>
      </c>
      <c r="D193" s="95">
        <v>41333</v>
      </c>
    </row>
    <row r="194" spans="1:4">
      <c r="A194" s="92" t="s">
        <v>2020</v>
      </c>
      <c r="B194" s="96" t="s">
        <v>146</v>
      </c>
      <c r="C194" s="94">
        <v>-2000000000</v>
      </c>
      <c r="D194" s="95">
        <v>41366</v>
      </c>
    </row>
    <row r="195" spans="1:4">
      <c r="A195" s="92" t="s">
        <v>2020</v>
      </c>
      <c r="B195" s="96" t="s">
        <v>146</v>
      </c>
      <c r="C195" s="94">
        <v>-2000000000</v>
      </c>
      <c r="D195" s="95">
        <v>41387</v>
      </c>
    </row>
    <row r="196" spans="1:4">
      <c r="A196" s="92" t="s">
        <v>2020</v>
      </c>
      <c r="B196" s="96" t="s">
        <v>146</v>
      </c>
      <c r="C196" s="94">
        <v>-3500000000</v>
      </c>
      <c r="D196" s="95">
        <v>41403</v>
      </c>
    </row>
    <row r="197" spans="1:4">
      <c r="A197" s="92" t="s">
        <v>2020</v>
      </c>
      <c r="B197" s="96" t="s">
        <v>146</v>
      </c>
      <c r="C197" s="94">
        <v>-7000000000</v>
      </c>
      <c r="D197" s="95">
        <v>41451</v>
      </c>
    </row>
    <row r="198" spans="1:4">
      <c r="A198" s="92" t="s">
        <v>2020</v>
      </c>
      <c r="B198" s="96" t="s">
        <v>147</v>
      </c>
      <c r="C198" s="94">
        <v>5021940610</v>
      </c>
      <c r="D198" s="95">
        <v>41453</v>
      </c>
    </row>
    <row r="199" spans="1:4">
      <c r="A199" s="92" t="s">
        <v>2020</v>
      </c>
      <c r="B199" s="96" t="s">
        <v>146</v>
      </c>
      <c r="C199" s="94">
        <v>-6000000000</v>
      </c>
      <c r="D199" s="95">
        <v>41691</v>
      </c>
    </row>
    <row r="200" spans="1:4">
      <c r="A200" s="92" t="s">
        <v>2020</v>
      </c>
      <c r="B200" s="96" t="s">
        <v>146</v>
      </c>
      <c r="C200" s="94">
        <v>-3000000000</v>
      </c>
      <c r="D200" s="95">
        <v>41712</v>
      </c>
    </row>
    <row r="201" spans="1:4">
      <c r="A201" s="92" t="s">
        <v>2020</v>
      </c>
      <c r="B201" s="96" t="s">
        <v>146</v>
      </c>
      <c r="C201" s="94">
        <v>-3700000000</v>
      </c>
      <c r="D201" s="95">
        <v>41768</v>
      </c>
    </row>
    <row r="202" spans="1:4">
      <c r="A202" s="92" t="s">
        <v>2020</v>
      </c>
      <c r="B202" s="96" t="s">
        <v>147</v>
      </c>
      <c r="C202" s="94">
        <v>3041862130</v>
      </c>
      <c r="D202" s="95">
        <v>41829</v>
      </c>
    </row>
    <row r="203" spans="1:4">
      <c r="A203" s="92" t="s">
        <v>2020</v>
      </c>
      <c r="B203" s="96" t="s">
        <v>147</v>
      </c>
      <c r="C203" s="94">
        <v>5276000000</v>
      </c>
      <c r="D203" s="95">
        <v>42083</v>
      </c>
    </row>
    <row r="204" spans="1:4">
      <c r="A204" s="92" t="s">
        <v>2020</v>
      </c>
      <c r="B204" s="96" t="s">
        <v>147</v>
      </c>
      <c r="C204" s="94">
        <v>2150000000</v>
      </c>
      <c r="D204" s="95">
        <v>42151</v>
      </c>
    </row>
    <row r="205" spans="1:4">
      <c r="A205" s="92" t="s">
        <v>2020</v>
      </c>
      <c r="B205" s="96" t="s">
        <v>147</v>
      </c>
      <c r="C205" s="94">
        <v>4308050670</v>
      </c>
      <c r="D205" s="95">
        <v>42194</v>
      </c>
    </row>
    <row r="206" spans="1:4">
      <c r="A206" s="92" t="s">
        <v>2020</v>
      </c>
      <c r="B206" s="96" t="s">
        <v>147</v>
      </c>
      <c r="C206" s="94">
        <v>4283144450</v>
      </c>
      <c r="D206" s="95">
        <v>42311</v>
      </c>
    </row>
    <row r="207" spans="1:4">
      <c r="A207" s="92" t="s">
        <v>2020</v>
      </c>
      <c r="B207" s="96" t="s">
        <v>147</v>
      </c>
      <c r="C207" s="94">
        <v>998696130</v>
      </c>
      <c r="D207" s="95">
        <v>42346</v>
      </c>
    </row>
    <row r="208" spans="1:4">
      <c r="A208" s="92" t="s">
        <v>2020</v>
      </c>
      <c r="B208" s="96" t="s">
        <v>147</v>
      </c>
      <c r="C208" s="94">
        <v>11667180490</v>
      </c>
      <c r="D208" s="95">
        <v>42369</v>
      </c>
    </row>
    <row r="209" spans="1:4">
      <c r="A209" s="92" t="s">
        <v>2020</v>
      </c>
      <c r="B209" s="96" t="s">
        <v>147</v>
      </c>
      <c r="C209" s="94">
        <v>3450461870</v>
      </c>
      <c r="D209" s="95">
        <v>42418</v>
      </c>
    </row>
    <row r="210" spans="1:4">
      <c r="A210" s="92" t="s">
        <v>2020</v>
      </c>
      <c r="B210" s="96" t="s">
        <v>147</v>
      </c>
      <c r="C210" s="94">
        <v>840000000</v>
      </c>
      <c r="D210" s="95">
        <v>42439</v>
      </c>
    </row>
    <row r="211" spans="1:4">
      <c r="A211" s="92" t="s">
        <v>2020</v>
      </c>
      <c r="B211" s="96" t="s">
        <v>147</v>
      </c>
      <c r="C211" s="94">
        <v>9690000000</v>
      </c>
      <c r="D211" s="95">
        <v>42604</v>
      </c>
    </row>
    <row r="212" spans="1:4">
      <c r="A212" s="92" t="s">
        <v>2020</v>
      </c>
      <c r="B212" s="96" t="s">
        <v>147</v>
      </c>
      <c r="C212" s="94">
        <v>1468000000</v>
      </c>
      <c r="D212" s="95">
        <v>42681</v>
      </c>
    </row>
    <row r="213" spans="1:4">
      <c r="A213" s="92" t="s">
        <v>2020</v>
      </c>
      <c r="B213" s="96" t="s">
        <v>147</v>
      </c>
      <c r="C213" s="94">
        <v>1736000000</v>
      </c>
      <c r="D213" s="95">
        <v>42702</v>
      </c>
    </row>
    <row r="214" spans="1:4">
      <c r="A214" s="92" t="s">
        <v>2020</v>
      </c>
      <c r="B214" s="96" t="s">
        <v>147</v>
      </c>
      <c r="C214" s="94">
        <v>2943000000</v>
      </c>
      <c r="D214" s="95">
        <v>42832</v>
      </c>
    </row>
    <row r="215" spans="1:4">
      <c r="A215" s="92" t="s">
        <v>2020</v>
      </c>
      <c r="B215" s="96" t="s">
        <v>147</v>
      </c>
      <c r="C215" s="94">
        <v>200000000</v>
      </c>
      <c r="D215" s="95">
        <v>42922</v>
      </c>
    </row>
    <row r="216" spans="1:4">
      <c r="A216" s="92" t="s">
        <v>2020</v>
      </c>
      <c r="B216" s="96" t="s">
        <v>149</v>
      </c>
      <c r="C216" s="94">
        <f ca="1">'2.5 제안사 펀드현황'!AL25*1000000</f>
        <v>2750000000</v>
      </c>
      <c r="D216" s="95">
        <v>42993</v>
      </c>
    </row>
    <row r="217" spans="1:4">
      <c r="A217" s="309" t="s">
        <v>2761</v>
      </c>
      <c r="B217" s="313" t="s">
        <v>146</v>
      </c>
      <c r="C217" s="311">
        <v>-45000000000</v>
      </c>
      <c r="D217" s="312">
        <v>40903</v>
      </c>
    </row>
    <row r="218" spans="1:4">
      <c r="A218" s="309" t="s">
        <v>2761</v>
      </c>
      <c r="B218" s="313" t="s">
        <v>147</v>
      </c>
      <c r="C218" s="311">
        <v>753360000</v>
      </c>
      <c r="D218" s="312">
        <v>41096</v>
      </c>
    </row>
    <row r="219" spans="1:4">
      <c r="A219" s="309" t="s">
        <v>2761</v>
      </c>
      <c r="B219" s="313" t="s">
        <v>147</v>
      </c>
      <c r="C219" s="311">
        <v>753360000</v>
      </c>
      <c r="D219" s="312">
        <v>41302</v>
      </c>
    </row>
    <row r="220" spans="1:4">
      <c r="A220" s="309" t="s">
        <v>2761</v>
      </c>
      <c r="B220" s="313" t="s">
        <v>147</v>
      </c>
      <c r="C220" s="311">
        <v>245280000</v>
      </c>
      <c r="D220" s="312">
        <v>41417</v>
      </c>
    </row>
    <row r="221" spans="1:4">
      <c r="A221" s="309" t="s">
        <v>2761</v>
      </c>
      <c r="B221" s="313" t="s">
        <v>147</v>
      </c>
      <c r="C221" s="311">
        <v>753360000</v>
      </c>
      <c r="D221" s="312">
        <v>41466</v>
      </c>
    </row>
    <row r="222" spans="1:4">
      <c r="A222" s="309" t="s">
        <v>2761</v>
      </c>
      <c r="B222" s="313" t="s">
        <v>147</v>
      </c>
      <c r="C222" s="311">
        <v>736395623</v>
      </c>
      <c r="D222" s="312">
        <v>41663</v>
      </c>
    </row>
    <row r="223" spans="1:4">
      <c r="A223" s="309" t="s">
        <v>2761</v>
      </c>
      <c r="B223" s="313" t="s">
        <v>147</v>
      </c>
      <c r="C223" s="311">
        <v>608878350</v>
      </c>
      <c r="D223" s="312">
        <v>41831</v>
      </c>
    </row>
    <row r="224" spans="1:4">
      <c r="A224" s="309" t="s">
        <v>2761</v>
      </c>
      <c r="B224" s="313" t="s">
        <v>147</v>
      </c>
      <c r="C224" s="311">
        <v>300000000</v>
      </c>
      <c r="D224" s="312">
        <v>42020</v>
      </c>
    </row>
    <row r="225" spans="1:4">
      <c r="A225" s="309" t="s">
        <v>2761</v>
      </c>
      <c r="B225" s="313" t="s">
        <v>147</v>
      </c>
      <c r="C225" s="311">
        <v>210000000</v>
      </c>
      <c r="D225" s="312">
        <v>42216</v>
      </c>
    </row>
    <row r="226" spans="1:4">
      <c r="A226" s="309" t="s">
        <v>2761</v>
      </c>
      <c r="B226" s="313" t="s">
        <v>147</v>
      </c>
      <c r="C226" s="311">
        <v>275000000</v>
      </c>
      <c r="D226" s="312">
        <v>42404</v>
      </c>
    </row>
    <row r="227" spans="1:4">
      <c r="A227" s="309" t="s">
        <v>2761</v>
      </c>
      <c r="B227" s="313" t="s">
        <v>147</v>
      </c>
      <c r="C227" s="311">
        <v>200000000</v>
      </c>
      <c r="D227" s="312">
        <v>42566</v>
      </c>
    </row>
    <row r="228" spans="1:4">
      <c r="A228" s="309" t="s">
        <v>2761</v>
      </c>
      <c r="B228" s="313" t="s">
        <v>147</v>
      </c>
      <c r="C228" s="311">
        <v>25320150000</v>
      </c>
      <c r="D228" s="312">
        <v>42732</v>
      </c>
    </row>
    <row r="229" spans="1:4">
      <c r="A229" s="309" t="s">
        <v>2761</v>
      </c>
      <c r="B229" s="313" t="s">
        <v>147</v>
      </c>
      <c r="C229" s="311">
        <v>1260000000</v>
      </c>
      <c r="D229" s="312">
        <v>42916</v>
      </c>
    </row>
    <row r="230" spans="1:4">
      <c r="A230" s="309" t="s">
        <v>2761</v>
      </c>
      <c r="B230" s="313" t="s">
        <v>147</v>
      </c>
      <c r="C230" s="311">
        <v>26825000000</v>
      </c>
      <c r="D230" s="312">
        <v>42972</v>
      </c>
    </row>
    <row r="231" spans="1:4">
      <c r="A231" s="309" t="s">
        <v>2761</v>
      </c>
      <c r="B231" s="313" t="s">
        <v>149</v>
      </c>
      <c r="C231" s="311">
        <f ca="1">'2.5 제안사 펀드현황'!AL26*1000000</f>
        <v>18876000000</v>
      </c>
      <c r="D231" s="312">
        <v>42993</v>
      </c>
    </row>
    <row r="232" spans="1:4">
      <c r="A232" s="309" t="s">
        <v>2765</v>
      </c>
      <c r="B232" s="313" t="s">
        <v>146</v>
      </c>
      <c r="C232" s="311">
        <v>-71000000000</v>
      </c>
      <c r="D232" s="312">
        <v>41054</v>
      </c>
    </row>
    <row r="233" spans="1:4">
      <c r="A233" s="309" t="s">
        <v>2765</v>
      </c>
      <c r="B233" s="313" t="s">
        <v>147</v>
      </c>
      <c r="C233" s="311">
        <v>6468463</v>
      </c>
      <c r="D233" s="312">
        <v>41365</v>
      </c>
    </row>
    <row r="234" spans="1:4">
      <c r="A234" s="309" t="s">
        <v>2765</v>
      </c>
      <c r="B234" s="313" t="s">
        <v>147</v>
      </c>
      <c r="C234" s="311">
        <v>396656</v>
      </c>
      <c r="D234" s="312">
        <v>41726</v>
      </c>
    </row>
    <row r="235" spans="1:4">
      <c r="A235" s="309" t="s">
        <v>2765</v>
      </c>
      <c r="B235" s="313" t="s">
        <v>147</v>
      </c>
      <c r="C235" s="311">
        <v>237581</v>
      </c>
      <c r="D235" s="312">
        <v>42094</v>
      </c>
    </row>
    <row r="236" spans="1:4">
      <c r="A236" s="309" t="s">
        <v>2765</v>
      </c>
      <c r="B236" s="313" t="s">
        <v>147</v>
      </c>
      <c r="C236" s="311">
        <v>2072846</v>
      </c>
      <c r="D236" s="312">
        <v>42460</v>
      </c>
    </row>
    <row r="237" spans="1:4">
      <c r="A237" s="309" t="s">
        <v>2765</v>
      </c>
      <c r="B237" s="313" t="s">
        <v>146</v>
      </c>
      <c r="C237" s="311">
        <v>-20000000</v>
      </c>
      <c r="D237" s="312">
        <v>42552</v>
      </c>
    </row>
    <row r="238" spans="1:4">
      <c r="A238" s="309" t="s">
        <v>2765</v>
      </c>
      <c r="B238" s="313" t="s">
        <v>146</v>
      </c>
      <c r="C238" s="311">
        <v>-180000000</v>
      </c>
      <c r="D238" s="312">
        <v>42647</v>
      </c>
    </row>
    <row r="239" spans="1:4">
      <c r="A239" s="309" t="s">
        <v>2765</v>
      </c>
      <c r="B239" s="313" t="s">
        <v>146</v>
      </c>
      <c r="C239" s="311">
        <v>-200000000</v>
      </c>
      <c r="D239" s="312">
        <v>42737</v>
      </c>
    </row>
    <row r="240" spans="1:4">
      <c r="A240" s="309" t="s">
        <v>2765</v>
      </c>
      <c r="B240" s="313" t="s">
        <v>147</v>
      </c>
      <c r="C240" s="311">
        <v>2315538</v>
      </c>
      <c r="D240" s="312">
        <v>42825</v>
      </c>
    </row>
    <row r="241" spans="1:4">
      <c r="A241" s="309" t="s">
        <v>2765</v>
      </c>
      <c r="B241" s="313" t="s">
        <v>146</v>
      </c>
      <c r="C241" s="311">
        <v>-200000000</v>
      </c>
      <c r="D241" s="312">
        <v>42828</v>
      </c>
    </row>
    <row r="242" spans="1:4">
      <c r="A242" s="309" t="s">
        <v>2765</v>
      </c>
      <c r="B242" s="313" t="s">
        <v>146</v>
      </c>
      <c r="C242" s="311">
        <v>-200000000</v>
      </c>
      <c r="D242" s="312">
        <v>42919</v>
      </c>
    </row>
    <row r="243" spans="1:4">
      <c r="A243" s="309" t="s">
        <v>2765</v>
      </c>
      <c r="B243" s="313" t="s">
        <v>149</v>
      </c>
      <c r="C243" s="311">
        <f ca="1">'2.5 제안사 펀드현황'!AL27*1000000</f>
        <v>68564000000</v>
      </c>
      <c r="D243" s="312">
        <v>42993</v>
      </c>
    </row>
    <row r="244" spans="1:4">
      <c r="A244" s="309" t="s">
        <v>2689</v>
      </c>
      <c r="B244" s="313" t="s">
        <v>146</v>
      </c>
      <c r="C244" s="311">
        <v>-154500000000</v>
      </c>
      <c r="D244" s="312">
        <v>41467</v>
      </c>
    </row>
    <row r="245" spans="1:4">
      <c r="A245" s="309" t="s">
        <v>2689</v>
      </c>
      <c r="B245" s="313" t="s">
        <v>147</v>
      </c>
      <c r="C245" s="311">
        <v>5998084280</v>
      </c>
      <c r="D245" s="312">
        <v>41767</v>
      </c>
    </row>
    <row r="246" spans="1:4">
      <c r="A246" s="309" t="s">
        <v>2689</v>
      </c>
      <c r="B246" s="313" t="s">
        <v>147</v>
      </c>
      <c r="C246" s="311">
        <v>6000000000</v>
      </c>
      <c r="D246" s="312">
        <v>41950</v>
      </c>
    </row>
    <row r="247" spans="1:4">
      <c r="A247" s="309" t="s">
        <v>2689</v>
      </c>
      <c r="B247" s="313" t="s">
        <v>147</v>
      </c>
      <c r="C247" s="311">
        <v>6350000000</v>
      </c>
      <c r="D247" s="312">
        <v>42137</v>
      </c>
    </row>
    <row r="248" spans="1:4">
      <c r="A248" s="309" t="s">
        <v>2689</v>
      </c>
      <c r="B248" s="313" t="s">
        <v>147</v>
      </c>
      <c r="C248" s="311">
        <v>5950000000</v>
      </c>
      <c r="D248" s="312">
        <v>42314</v>
      </c>
    </row>
    <row r="249" spans="1:4">
      <c r="A249" s="309" t="s">
        <v>2689</v>
      </c>
      <c r="B249" s="313" t="s">
        <v>147</v>
      </c>
      <c r="C249" s="311">
        <v>11000000000</v>
      </c>
      <c r="D249" s="312">
        <v>42494</v>
      </c>
    </row>
    <row r="250" spans="1:4">
      <c r="A250" s="309" t="s">
        <v>2689</v>
      </c>
      <c r="B250" s="313" t="s">
        <v>147</v>
      </c>
      <c r="C250" s="311">
        <v>15395925000</v>
      </c>
      <c r="D250" s="312">
        <v>42828</v>
      </c>
    </row>
    <row r="251" spans="1:4">
      <c r="A251" s="309" t="s">
        <v>2689</v>
      </c>
      <c r="B251" s="313" t="s">
        <v>147</v>
      </c>
      <c r="C251" s="311">
        <v>199603959035</v>
      </c>
      <c r="D251" s="312">
        <v>42902</v>
      </c>
    </row>
    <row r="252" spans="1:4">
      <c r="A252" s="309" t="s">
        <v>2689</v>
      </c>
      <c r="B252" s="313" t="s">
        <v>148</v>
      </c>
      <c r="C252" s="311">
        <v>11826639808</v>
      </c>
      <c r="D252" s="312">
        <v>42902</v>
      </c>
    </row>
    <row r="253" spans="1:4">
      <c r="A253" s="309" t="s">
        <v>2689</v>
      </c>
      <c r="B253" s="313" t="s">
        <v>149</v>
      </c>
      <c r="C253" s="311">
        <f ca="1">'2.5 제안사 펀드현황'!AL28*1000000</f>
        <v>686000000</v>
      </c>
      <c r="D253" s="312">
        <v>42993</v>
      </c>
    </row>
    <row r="254" spans="1:4">
      <c r="A254" s="92" t="s">
        <v>2021</v>
      </c>
      <c r="B254" s="96" t="s">
        <v>146</v>
      </c>
      <c r="C254" s="94">
        <v>-10200000000</v>
      </c>
      <c r="D254" s="95">
        <v>41528</v>
      </c>
    </row>
    <row r="255" spans="1:4">
      <c r="A255" s="92" t="s">
        <v>2021</v>
      </c>
      <c r="B255" s="96" t="s">
        <v>146</v>
      </c>
      <c r="C255" s="94">
        <v>-400000000</v>
      </c>
      <c r="D255" s="95">
        <v>41578</v>
      </c>
    </row>
    <row r="256" spans="1:4">
      <c r="A256" s="92" t="s">
        <v>2021</v>
      </c>
      <c r="B256" s="96" t="s">
        <v>146</v>
      </c>
      <c r="C256" s="94">
        <v>-2014000000</v>
      </c>
      <c r="D256" s="95">
        <v>41753</v>
      </c>
    </row>
    <row r="257" spans="1:4">
      <c r="A257" s="92" t="s">
        <v>2021</v>
      </c>
      <c r="B257" s="96" t="s">
        <v>147</v>
      </c>
      <c r="C257" s="94">
        <v>31804350</v>
      </c>
      <c r="D257" s="95">
        <v>41773</v>
      </c>
    </row>
    <row r="258" spans="1:4">
      <c r="A258" s="92" t="s">
        <v>2021</v>
      </c>
      <c r="B258" s="96" t="s">
        <v>146</v>
      </c>
      <c r="C258" s="94">
        <v>-2226000000</v>
      </c>
      <c r="D258" s="95">
        <v>41815</v>
      </c>
    </row>
    <row r="259" spans="1:4">
      <c r="A259" s="92" t="s">
        <v>2021</v>
      </c>
      <c r="B259" s="96" t="s">
        <v>146</v>
      </c>
      <c r="C259" s="94">
        <v>-2597000000</v>
      </c>
      <c r="D259" s="95">
        <v>41849</v>
      </c>
    </row>
    <row r="260" spans="1:4">
      <c r="A260" s="92" t="s">
        <v>2021</v>
      </c>
      <c r="B260" s="96" t="s">
        <v>146</v>
      </c>
      <c r="C260" s="94">
        <v>-2014000000</v>
      </c>
      <c r="D260" s="95">
        <v>41975</v>
      </c>
    </row>
    <row r="261" spans="1:4">
      <c r="A261" s="92" t="s">
        <v>2021</v>
      </c>
      <c r="B261" s="96" t="s">
        <v>146</v>
      </c>
      <c r="C261" s="94">
        <v>-2597000000</v>
      </c>
      <c r="D261" s="95">
        <v>42041</v>
      </c>
    </row>
    <row r="262" spans="1:4">
      <c r="A262" s="92" t="s">
        <v>2021</v>
      </c>
      <c r="B262" s="96" t="s">
        <v>146</v>
      </c>
      <c r="C262" s="94">
        <v>-2014000000</v>
      </c>
      <c r="D262" s="95">
        <v>42051</v>
      </c>
    </row>
    <row r="263" spans="1:4">
      <c r="A263" s="92" t="s">
        <v>2021</v>
      </c>
      <c r="B263" s="96" t="s">
        <v>146</v>
      </c>
      <c r="C263" s="94">
        <v>-3180000000</v>
      </c>
      <c r="D263" s="95">
        <v>42124</v>
      </c>
    </row>
    <row r="264" spans="1:4">
      <c r="A264" s="92" t="s">
        <v>2021</v>
      </c>
      <c r="B264" s="96" t="s">
        <v>146</v>
      </c>
      <c r="C264" s="94">
        <v>-3180000000</v>
      </c>
      <c r="D264" s="95">
        <v>42164</v>
      </c>
    </row>
    <row r="265" spans="1:4">
      <c r="A265" s="92" t="s">
        <v>2021</v>
      </c>
      <c r="B265" s="96" t="s">
        <v>146</v>
      </c>
      <c r="C265" s="94">
        <v>-2014000000</v>
      </c>
      <c r="D265" s="95">
        <v>42185</v>
      </c>
    </row>
    <row r="266" spans="1:4">
      <c r="A266" s="92" t="s">
        <v>2021</v>
      </c>
      <c r="B266" s="96" t="s">
        <v>147</v>
      </c>
      <c r="C266" s="94">
        <v>19507883930</v>
      </c>
      <c r="D266" s="95">
        <v>42194</v>
      </c>
    </row>
    <row r="267" spans="1:4">
      <c r="A267" s="92" t="s">
        <v>2021</v>
      </c>
      <c r="B267" s="96" t="s">
        <v>146</v>
      </c>
      <c r="C267" s="94">
        <v>-2491000000</v>
      </c>
      <c r="D267" s="95">
        <v>42201</v>
      </c>
    </row>
    <row r="268" spans="1:4">
      <c r="A268" s="92" t="s">
        <v>2021</v>
      </c>
      <c r="B268" s="96" t="s">
        <v>147</v>
      </c>
      <c r="C268" s="94">
        <v>9269978570</v>
      </c>
      <c r="D268" s="95">
        <v>42212</v>
      </c>
    </row>
    <row r="269" spans="1:4">
      <c r="A269" s="92" t="s">
        <v>2021</v>
      </c>
      <c r="B269" s="96" t="s">
        <v>147</v>
      </c>
      <c r="C269" s="94">
        <v>3599998580</v>
      </c>
      <c r="D269" s="95">
        <v>42243</v>
      </c>
    </row>
    <row r="270" spans="1:4">
      <c r="A270" s="92" t="s">
        <v>2021</v>
      </c>
      <c r="B270" s="96" t="s">
        <v>146</v>
      </c>
      <c r="C270" s="94">
        <v>-2014000000</v>
      </c>
      <c r="D270" s="95">
        <v>42244</v>
      </c>
    </row>
    <row r="271" spans="1:4">
      <c r="A271" s="92" t="s">
        <v>2021</v>
      </c>
      <c r="B271" s="96" t="s">
        <v>146</v>
      </c>
      <c r="C271" s="94">
        <v>-4028000000</v>
      </c>
      <c r="D271" s="95">
        <v>42318</v>
      </c>
    </row>
    <row r="272" spans="1:4">
      <c r="A272" s="92" t="s">
        <v>2021</v>
      </c>
      <c r="B272" s="96" t="s">
        <v>147</v>
      </c>
      <c r="C272" s="94">
        <v>2235153670</v>
      </c>
      <c r="D272" s="95">
        <v>42341</v>
      </c>
    </row>
    <row r="273" spans="1:4">
      <c r="A273" s="92" t="s">
        <v>2021</v>
      </c>
      <c r="B273" s="96" t="s">
        <v>146</v>
      </c>
      <c r="C273" s="94">
        <v>-2014000000</v>
      </c>
      <c r="D273" s="95">
        <v>42341</v>
      </c>
    </row>
    <row r="274" spans="1:4">
      <c r="A274" s="92" t="s">
        <v>2021</v>
      </c>
      <c r="B274" s="96" t="s">
        <v>146</v>
      </c>
      <c r="C274" s="94">
        <v>-2014000000</v>
      </c>
      <c r="D274" s="95">
        <v>42387</v>
      </c>
    </row>
    <row r="275" spans="1:4">
      <c r="A275" s="92" t="s">
        <v>2021</v>
      </c>
      <c r="B275" s="96" t="s">
        <v>146</v>
      </c>
      <c r="C275" s="94">
        <v>-2438000000</v>
      </c>
      <c r="D275" s="95">
        <v>42450</v>
      </c>
    </row>
    <row r="276" spans="1:4">
      <c r="A276" s="92" t="s">
        <v>2021</v>
      </c>
      <c r="B276" s="96" t="s">
        <v>147</v>
      </c>
      <c r="C276" s="94">
        <v>689000000</v>
      </c>
      <c r="D276" s="95">
        <v>42453</v>
      </c>
    </row>
    <row r="277" spans="1:4">
      <c r="A277" s="92" t="s">
        <v>2021</v>
      </c>
      <c r="B277" s="96" t="s">
        <v>146</v>
      </c>
      <c r="C277" s="94">
        <v>-2014000000</v>
      </c>
      <c r="D277" s="95">
        <v>42460</v>
      </c>
    </row>
    <row r="278" spans="1:4">
      <c r="A278" s="92" t="s">
        <v>2021</v>
      </c>
      <c r="B278" s="96" t="s">
        <v>146</v>
      </c>
      <c r="C278" s="94">
        <v>-2014000000</v>
      </c>
      <c r="D278" s="95">
        <v>42479</v>
      </c>
    </row>
    <row r="279" spans="1:4">
      <c r="A279" s="92" t="s">
        <v>2021</v>
      </c>
      <c r="B279" s="96" t="s">
        <v>147</v>
      </c>
      <c r="C279" s="94">
        <v>3406495820</v>
      </c>
      <c r="D279" s="95">
        <v>42604</v>
      </c>
    </row>
    <row r="280" spans="1:4">
      <c r="A280" s="92" t="s">
        <v>2021</v>
      </c>
      <c r="B280" s="96" t="s">
        <v>146</v>
      </c>
      <c r="C280" s="94">
        <v>-1537000000</v>
      </c>
      <c r="D280" s="95">
        <v>42618</v>
      </c>
    </row>
    <row r="281" spans="1:4">
      <c r="A281" s="92" t="s">
        <v>2021</v>
      </c>
      <c r="B281" s="96" t="s">
        <v>147</v>
      </c>
      <c r="C281" s="94">
        <v>2207022280</v>
      </c>
      <c r="D281" s="95">
        <v>42681</v>
      </c>
    </row>
    <row r="282" spans="1:4">
      <c r="A282" s="92" t="s">
        <v>2021</v>
      </c>
      <c r="B282" s="96" t="s">
        <v>147</v>
      </c>
      <c r="C282" s="94">
        <v>14147570320</v>
      </c>
      <c r="D282" s="95">
        <v>42978</v>
      </c>
    </row>
    <row r="283" spans="1:4">
      <c r="A283" s="92" t="s">
        <v>2021</v>
      </c>
      <c r="B283" s="96" t="s">
        <v>147</v>
      </c>
      <c r="C283" s="94">
        <v>1090841080</v>
      </c>
      <c r="D283" s="95">
        <v>42990</v>
      </c>
    </row>
    <row r="284" spans="1:4">
      <c r="A284" s="92" t="s">
        <v>2021</v>
      </c>
      <c r="B284" s="96" t="s">
        <v>149</v>
      </c>
      <c r="C284" s="94">
        <f ca="1">'2.5 제안사 펀드현황'!AL29*1000000</f>
        <v>33806000000</v>
      </c>
      <c r="D284" s="95">
        <v>42993</v>
      </c>
    </row>
    <row r="285" spans="1:4">
      <c r="A285" s="309" t="s">
        <v>2694</v>
      </c>
      <c r="B285" s="313" t="s">
        <v>146</v>
      </c>
      <c r="C285" s="311">
        <v>-40000000000</v>
      </c>
      <c r="D285" s="312">
        <v>41709</v>
      </c>
    </row>
    <row r="286" spans="1:4">
      <c r="A286" s="309" t="s">
        <v>2694</v>
      </c>
      <c r="B286" s="313" t="s">
        <v>147</v>
      </c>
      <c r="C286" s="311">
        <v>2183013699</v>
      </c>
      <c r="D286" s="312">
        <v>41957</v>
      </c>
    </row>
    <row r="287" spans="1:4">
      <c r="A287" s="309" t="s">
        <v>2694</v>
      </c>
      <c r="B287" s="313" t="s">
        <v>147</v>
      </c>
      <c r="C287" s="311">
        <v>4071459</v>
      </c>
      <c r="D287" s="312">
        <v>42093</v>
      </c>
    </row>
    <row r="288" spans="1:4">
      <c r="A288" s="309" t="s">
        <v>2694</v>
      </c>
      <c r="B288" s="313" t="s">
        <v>147</v>
      </c>
      <c r="C288" s="311">
        <v>1534246575</v>
      </c>
      <c r="D288" s="312">
        <v>42132</v>
      </c>
    </row>
    <row r="289" spans="1:4">
      <c r="A289" s="309" t="s">
        <v>2694</v>
      </c>
      <c r="B289" s="313" t="s">
        <v>147</v>
      </c>
      <c r="C289" s="311">
        <v>1621917808</v>
      </c>
      <c r="D289" s="312">
        <v>42317</v>
      </c>
    </row>
    <row r="290" spans="1:4">
      <c r="A290" s="309" t="s">
        <v>2694</v>
      </c>
      <c r="B290" s="313" t="s">
        <v>147</v>
      </c>
      <c r="C290" s="311">
        <v>2969413</v>
      </c>
      <c r="D290" s="312">
        <v>42457</v>
      </c>
    </row>
    <row r="291" spans="1:4">
      <c r="A291" s="309" t="s">
        <v>2694</v>
      </c>
      <c r="B291" s="313" t="s">
        <v>147</v>
      </c>
      <c r="C291" s="311">
        <v>60631586065</v>
      </c>
      <c r="D291" s="312">
        <v>42503</v>
      </c>
    </row>
    <row r="292" spans="1:4">
      <c r="A292" s="309" t="s">
        <v>2694</v>
      </c>
      <c r="B292" s="313" t="s">
        <v>148</v>
      </c>
      <c r="C292" s="311">
        <v>4268413935</v>
      </c>
      <c r="D292" s="312">
        <v>42521</v>
      </c>
    </row>
    <row r="293" spans="1:4">
      <c r="A293" s="309" t="s">
        <v>2694</v>
      </c>
      <c r="B293" s="313" t="s">
        <v>147</v>
      </c>
      <c r="C293" s="311">
        <v>167819069</v>
      </c>
      <c r="D293" s="312">
        <v>42538</v>
      </c>
    </row>
    <row r="294" spans="1:4">
      <c r="A294" s="309" t="s">
        <v>2694</v>
      </c>
      <c r="B294" s="313" t="s">
        <v>148</v>
      </c>
      <c r="C294" s="311">
        <v>42047385</v>
      </c>
      <c r="D294" s="312">
        <v>42538</v>
      </c>
    </row>
    <row r="295" spans="1:4">
      <c r="A295" s="309" t="s">
        <v>2698</v>
      </c>
      <c r="B295" s="313" t="s">
        <v>146</v>
      </c>
      <c r="C295" s="311">
        <v>-40010000000</v>
      </c>
      <c r="D295" s="312">
        <v>41709</v>
      </c>
    </row>
    <row r="296" spans="1:4">
      <c r="A296" s="309" t="s">
        <v>2698</v>
      </c>
      <c r="B296" s="313" t="s">
        <v>147</v>
      </c>
      <c r="C296" s="311">
        <v>1965258082</v>
      </c>
      <c r="D296" s="312">
        <v>41957</v>
      </c>
    </row>
    <row r="297" spans="1:4">
      <c r="A297" s="309" t="s">
        <v>2698</v>
      </c>
      <c r="B297" s="313" t="s">
        <v>147</v>
      </c>
      <c r="C297" s="311">
        <v>1358777577</v>
      </c>
      <c r="D297" s="312">
        <v>42146</v>
      </c>
    </row>
    <row r="298" spans="1:4">
      <c r="A298" s="309" t="s">
        <v>2698</v>
      </c>
      <c r="B298" s="313" t="s">
        <v>147</v>
      </c>
      <c r="C298" s="311">
        <v>1460131507</v>
      </c>
      <c r="D298" s="312">
        <v>42321</v>
      </c>
    </row>
    <row r="299" spans="1:4">
      <c r="A299" s="309" t="s">
        <v>2698</v>
      </c>
      <c r="B299" s="313" t="s">
        <v>147</v>
      </c>
      <c r="C299" s="311">
        <v>57950807205</v>
      </c>
      <c r="D299" s="312">
        <v>42503</v>
      </c>
    </row>
    <row r="300" spans="1:4">
      <c r="A300" s="309" t="s">
        <v>2698</v>
      </c>
      <c r="B300" s="313" t="s">
        <v>148</v>
      </c>
      <c r="C300" s="311">
        <v>4155212275</v>
      </c>
      <c r="D300" s="312">
        <v>42515</v>
      </c>
    </row>
    <row r="301" spans="1:4">
      <c r="A301" s="309" t="s">
        <v>2698</v>
      </c>
      <c r="B301" s="313" t="s">
        <v>147</v>
      </c>
      <c r="C301" s="311">
        <v>163956988</v>
      </c>
      <c r="D301" s="312">
        <v>42545</v>
      </c>
    </row>
    <row r="302" spans="1:4">
      <c r="A302" s="309" t="s">
        <v>2698</v>
      </c>
      <c r="B302" s="313" t="s">
        <v>148</v>
      </c>
      <c r="C302" s="311">
        <v>126272117</v>
      </c>
      <c r="D302" s="312">
        <v>42545</v>
      </c>
    </row>
    <row r="303" spans="1:4">
      <c r="A303" s="92" t="s">
        <v>2022</v>
      </c>
      <c r="B303" s="96" t="s">
        <v>146</v>
      </c>
      <c r="C303" s="94">
        <v>-6700000000</v>
      </c>
      <c r="D303" s="95">
        <v>41696</v>
      </c>
    </row>
    <row r="304" spans="1:4">
      <c r="A304" s="92" t="s">
        <v>2022</v>
      </c>
      <c r="B304" s="96" t="s">
        <v>146</v>
      </c>
      <c r="C304" s="94">
        <v>-3350000000</v>
      </c>
      <c r="D304" s="95">
        <v>41851</v>
      </c>
    </row>
    <row r="305" spans="1:4">
      <c r="A305" s="92" t="s">
        <v>2022</v>
      </c>
      <c r="B305" s="96" t="s">
        <v>146</v>
      </c>
      <c r="C305" s="94">
        <v>-3350000000</v>
      </c>
      <c r="D305" s="95">
        <v>42046</v>
      </c>
    </row>
    <row r="306" spans="1:4">
      <c r="A306" s="92" t="s">
        <v>2022</v>
      </c>
      <c r="B306" s="96" t="s">
        <v>146</v>
      </c>
      <c r="C306" s="94">
        <v>-3350000000</v>
      </c>
      <c r="D306" s="95">
        <v>42185</v>
      </c>
    </row>
    <row r="307" spans="1:4">
      <c r="A307" s="92" t="s">
        <v>2022</v>
      </c>
      <c r="B307" s="96" t="s">
        <v>146</v>
      </c>
      <c r="C307" s="94">
        <v>-3350000000</v>
      </c>
      <c r="D307" s="95">
        <v>42201</v>
      </c>
    </row>
    <row r="308" spans="1:4">
      <c r="A308" s="92" t="s">
        <v>2022</v>
      </c>
      <c r="B308" s="96" t="s">
        <v>146</v>
      </c>
      <c r="C308" s="94">
        <v>-3350000000</v>
      </c>
      <c r="D308" s="95">
        <v>42289</v>
      </c>
    </row>
    <row r="309" spans="1:4">
      <c r="A309" s="92" t="s">
        <v>2022</v>
      </c>
      <c r="B309" s="96" t="s">
        <v>147</v>
      </c>
      <c r="C309" s="94">
        <v>5695000000</v>
      </c>
      <c r="D309" s="95">
        <v>42341</v>
      </c>
    </row>
    <row r="310" spans="1:4">
      <c r="A310" s="92" t="s">
        <v>2022</v>
      </c>
      <c r="B310" s="96" t="s">
        <v>146</v>
      </c>
      <c r="C310" s="94">
        <v>-3350000000</v>
      </c>
      <c r="D310" s="95">
        <v>42341</v>
      </c>
    </row>
    <row r="311" spans="1:4">
      <c r="A311" s="92" t="s">
        <v>2022</v>
      </c>
      <c r="B311" s="96" t="s">
        <v>147</v>
      </c>
      <c r="C311" s="94">
        <v>1259600000</v>
      </c>
      <c r="D311" s="95">
        <v>42390</v>
      </c>
    </row>
    <row r="312" spans="1:4">
      <c r="A312" s="92" t="s">
        <v>2022</v>
      </c>
      <c r="B312" s="96" t="s">
        <v>146</v>
      </c>
      <c r="C312" s="94">
        <v>-3350000000</v>
      </c>
      <c r="D312" s="95">
        <v>42450</v>
      </c>
    </row>
    <row r="313" spans="1:4">
      <c r="A313" s="92" t="s">
        <v>2022</v>
      </c>
      <c r="B313" s="96" t="s">
        <v>146</v>
      </c>
      <c r="C313" s="94">
        <v>-3350000000</v>
      </c>
      <c r="D313" s="95">
        <v>42479</v>
      </c>
    </row>
    <row r="314" spans="1:4">
      <c r="A314" s="92" t="s">
        <v>2022</v>
      </c>
      <c r="B314" s="96" t="s">
        <v>147</v>
      </c>
      <c r="C314" s="94">
        <v>2010000000</v>
      </c>
      <c r="D314" s="95">
        <v>42681</v>
      </c>
    </row>
    <row r="315" spans="1:4">
      <c r="A315" s="92" t="s">
        <v>2022</v>
      </c>
      <c r="B315" s="96" t="s">
        <v>147</v>
      </c>
      <c r="C315" s="94">
        <v>1139000000</v>
      </c>
      <c r="D315" s="95">
        <v>42990</v>
      </c>
    </row>
    <row r="316" spans="1:4">
      <c r="A316" s="92" t="s">
        <v>2022</v>
      </c>
      <c r="B316" s="96" t="s">
        <v>149</v>
      </c>
      <c r="C316" s="94">
        <f ca="1">'2.5 제안사 펀드현황'!AL32*1000000</f>
        <v>20784000000</v>
      </c>
      <c r="D316" s="95">
        <v>42993</v>
      </c>
    </row>
    <row r="317" spans="1:4">
      <c r="A317" s="92" t="s">
        <v>2023</v>
      </c>
      <c r="B317" s="96" t="s">
        <v>146</v>
      </c>
      <c r="C317" s="94">
        <v>-2000000000</v>
      </c>
      <c r="D317" s="95">
        <v>41691</v>
      </c>
    </row>
    <row r="318" spans="1:4">
      <c r="A318" s="92" t="s">
        <v>2023</v>
      </c>
      <c r="B318" s="96" t="s">
        <v>146</v>
      </c>
      <c r="C318" s="94">
        <v>-1200000000</v>
      </c>
      <c r="D318" s="95">
        <v>41710</v>
      </c>
    </row>
    <row r="319" spans="1:4">
      <c r="A319" s="92" t="s">
        <v>2023</v>
      </c>
      <c r="B319" s="96" t="s">
        <v>146</v>
      </c>
      <c r="C319" s="94">
        <v>-1200000000</v>
      </c>
      <c r="D319" s="95">
        <v>41953</v>
      </c>
    </row>
    <row r="320" spans="1:4">
      <c r="A320" s="92" t="s">
        <v>2023</v>
      </c>
      <c r="B320" s="96" t="s">
        <v>146</v>
      </c>
      <c r="C320" s="94">
        <v>-1600000000</v>
      </c>
      <c r="D320" s="95">
        <v>42040</v>
      </c>
    </row>
    <row r="321" spans="1:4">
      <c r="A321" s="92" t="s">
        <v>2023</v>
      </c>
      <c r="B321" s="96" t="s">
        <v>146</v>
      </c>
      <c r="C321" s="94">
        <v>-10000000000</v>
      </c>
      <c r="D321" s="95">
        <v>42600</v>
      </c>
    </row>
    <row r="322" spans="1:4">
      <c r="A322" s="92" t="s">
        <v>2023</v>
      </c>
      <c r="B322" s="96" t="s">
        <v>149</v>
      </c>
      <c r="C322" s="94">
        <f ca="1">'2.5 제안사 펀드현황'!AL33*1000000</f>
        <v>16834000000</v>
      </c>
      <c r="D322" s="95">
        <v>42993</v>
      </c>
    </row>
    <row r="323" spans="1:4">
      <c r="A323" s="309" t="s">
        <v>2705</v>
      </c>
      <c r="B323" s="313" t="s">
        <v>146</v>
      </c>
      <c r="C323" s="311">
        <v>-125100000000</v>
      </c>
      <c r="D323" s="312">
        <v>41816</v>
      </c>
    </row>
    <row r="324" spans="1:4">
      <c r="A324" s="309" t="s">
        <v>2705</v>
      </c>
      <c r="B324" s="313" t="s">
        <v>147</v>
      </c>
      <c r="C324" s="311">
        <v>2591112330</v>
      </c>
      <c r="D324" s="312">
        <v>42097</v>
      </c>
    </row>
    <row r="325" spans="1:4">
      <c r="A325" s="309" t="s">
        <v>2705</v>
      </c>
      <c r="B325" s="313" t="s">
        <v>147</v>
      </c>
      <c r="C325" s="311">
        <v>100000000</v>
      </c>
      <c r="D325" s="312">
        <v>42349</v>
      </c>
    </row>
    <row r="326" spans="1:4">
      <c r="A326" s="309" t="s">
        <v>2705</v>
      </c>
      <c r="B326" s="313" t="s">
        <v>147</v>
      </c>
      <c r="C326" s="311">
        <v>2502000000</v>
      </c>
      <c r="D326" s="312">
        <v>42503</v>
      </c>
    </row>
    <row r="327" spans="1:4">
      <c r="A327" s="309" t="s">
        <v>2705</v>
      </c>
      <c r="B327" s="313" t="s">
        <v>147</v>
      </c>
      <c r="C327" s="311">
        <v>1776420000</v>
      </c>
      <c r="D327" s="312">
        <v>42615</v>
      </c>
    </row>
    <row r="328" spans="1:4">
      <c r="A328" s="309" t="s">
        <v>2705</v>
      </c>
      <c r="B328" s="313" t="s">
        <v>147</v>
      </c>
      <c r="C328" s="311">
        <v>484262100</v>
      </c>
      <c r="D328" s="312">
        <v>42772</v>
      </c>
    </row>
    <row r="329" spans="1:4">
      <c r="A329" s="309" t="s">
        <v>2705</v>
      </c>
      <c r="B329" s="313" t="s">
        <v>149</v>
      </c>
      <c r="C329" s="311">
        <f ca="1">'2.5 제안사 펀드현황'!AL34*1000000</f>
        <v>123260000000</v>
      </c>
      <c r="D329" s="312">
        <v>42993</v>
      </c>
    </row>
    <row r="330" spans="1:4">
      <c r="A330" s="92" t="s">
        <v>2024</v>
      </c>
      <c r="B330" s="96" t="s">
        <v>146</v>
      </c>
      <c r="C330" s="94">
        <v>-10000000000</v>
      </c>
      <c r="D330" s="95">
        <v>41862</v>
      </c>
    </row>
    <row r="331" spans="1:4">
      <c r="A331" s="92" t="s">
        <v>2024</v>
      </c>
      <c r="B331" s="96" t="s">
        <v>146</v>
      </c>
      <c r="C331" s="94">
        <v>-7950000000</v>
      </c>
      <c r="D331" s="95">
        <v>42094</v>
      </c>
    </row>
    <row r="332" spans="1:4">
      <c r="A332" s="92" t="s">
        <v>2024</v>
      </c>
      <c r="B332" s="96" t="s">
        <v>146</v>
      </c>
      <c r="C332" s="94">
        <v>-5000000000</v>
      </c>
      <c r="D332" s="95">
        <v>42108</v>
      </c>
    </row>
    <row r="333" spans="1:4">
      <c r="A333" s="92" t="s">
        <v>2024</v>
      </c>
      <c r="B333" s="96" t="s">
        <v>146</v>
      </c>
      <c r="C333" s="94">
        <v>-5000000000</v>
      </c>
      <c r="D333" s="95">
        <v>42124</v>
      </c>
    </row>
    <row r="334" spans="1:4">
      <c r="A334" s="92" t="s">
        <v>2024</v>
      </c>
      <c r="B334" s="96" t="s">
        <v>146</v>
      </c>
      <c r="C334" s="94">
        <v>-5000000000</v>
      </c>
      <c r="D334" s="95">
        <v>42185</v>
      </c>
    </row>
    <row r="335" spans="1:4">
      <c r="A335" s="92" t="s">
        <v>2024</v>
      </c>
      <c r="B335" s="96" t="s">
        <v>147</v>
      </c>
      <c r="C335" s="94">
        <v>5977182320</v>
      </c>
      <c r="D335" s="95">
        <v>42219</v>
      </c>
    </row>
    <row r="336" spans="1:4">
      <c r="A336" s="92" t="s">
        <v>2024</v>
      </c>
      <c r="B336" s="96" t="s">
        <v>147</v>
      </c>
      <c r="C336" s="94">
        <v>1435000000</v>
      </c>
      <c r="D336" s="95">
        <v>42243</v>
      </c>
    </row>
    <row r="337" spans="1:4">
      <c r="A337" s="92" t="s">
        <v>2024</v>
      </c>
      <c r="B337" s="96" t="s">
        <v>146</v>
      </c>
      <c r="C337" s="94">
        <v>-5000000000</v>
      </c>
      <c r="D337" s="95">
        <v>42289</v>
      </c>
    </row>
    <row r="338" spans="1:4">
      <c r="A338" s="92" t="s">
        <v>2024</v>
      </c>
      <c r="B338" s="96" t="s">
        <v>146</v>
      </c>
      <c r="C338" s="94">
        <v>-5000000000</v>
      </c>
      <c r="D338" s="95">
        <v>42318</v>
      </c>
    </row>
    <row r="339" spans="1:4">
      <c r="A339" s="92" t="s">
        <v>2024</v>
      </c>
      <c r="B339" s="96" t="s">
        <v>147</v>
      </c>
      <c r="C339" s="94">
        <v>2400000000</v>
      </c>
      <c r="D339" s="95">
        <v>42339</v>
      </c>
    </row>
    <row r="340" spans="1:4">
      <c r="A340" s="92" t="s">
        <v>2024</v>
      </c>
      <c r="B340" s="96" t="s">
        <v>146</v>
      </c>
      <c r="C340" s="94">
        <v>-5000000000</v>
      </c>
      <c r="D340" s="95">
        <v>42366</v>
      </c>
    </row>
    <row r="341" spans="1:4">
      <c r="A341" s="92" t="s">
        <v>2024</v>
      </c>
      <c r="B341" s="96" t="s">
        <v>147</v>
      </c>
      <c r="C341" s="94">
        <v>5116676410</v>
      </c>
      <c r="D341" s="95">
        <v>42369</v>
      </c>
    </row>
    <row r="342" spans="1:4">
      <c r="A342" s="92" t="s">
        <v>2024</v>
      </c>
      <c r="B342" s="96" t="s">
        <v>146</v>
      </c>
      <c r="C342" s="94">
        <v>-2050000000</v>
      </c>
      <c r="D342" s="95">
        <v>42405</v>
      </c>
    </row>
    <row r="343" spans="1:4">
      <c r="A343" s="92" t="s">
        <v>2024</v>
      </c>
      <c r="B343" s="96" t="s">
        <v>147</v>
      </c>
      <c r="C343" s="94">
        <v>1219000000</v>
      </c>
      <c r="D343" s="95">
        <v>42418</v>
      </c>
    </row>
    <row r="344" spans="1:4">
      <c r="A344" s="92" t="s">
        <v>2024</v>
      </c>
      <c r="B344" s="96" t="s">
        <v>147</v>
      </c>
      <c r="C344" s="94">
        <v>1156917440</v>
      </c>
      <c r="D344" s="95">
        <v>42439</v>
      </c>
    </row>
    <row r="345" spans="1:4">
      <c r="A345" s="92" t="s">
        <v>2024</v>
      </c>
      <c r="B345" s="96" t="s">
        <v>147</v>
      </c>
      <c r="C345" s="94">
        <v>9998614380</v>
      </c>
      <c r="D345" s="95">
        <v>42604</v>
      </c>
    </row>
    <row r="346" spans="1:4">
      <c r="A346" s="92" t="s">
        <v>2024</v>
      </c>
      <c r="B346" s="96" t="s">
        <v>149</v>
      </c>
      <c r="C346" s="94">
        <f ca="1">'2.5 제안사 펀드현황'!AL35*1000000</f>
        <v>39850000000</v>
      </c>
      <c r="D346" s="95">
        <v>42993</v>
      </c>
    </row>
    <row r="347" spans="1:4">
      <c r="A347" s="309" t="s">
        <v>2709</v>
      </c>
      <c r="B347" s="313" t="s">
        <v>146</v>
      </c>
      <c r="C347" s="311">
        <v>-29086852800</v>
      </c>
      <c r="D347" s="312">
        <v>42093</v>
      </c>
    </row>
    <row r="348" spans="1:4">
      <c r="A348" s="309" t="s">
        <v>2709</v>
      </c>
      <c r="B348" s="313" t="s">
        <v>146</v>
      </c>
      <c r="C348" s="311">
        <v>-176380108</v>
      </c>
      <c r="D348" s="312">
        <v>42361</v>
      </c>
    </row>
    <row r="349" spans="1:4">
      <c r="A349" s="309" t="s">
        <v>2709</v>
      </c>
      <c r="B349" s="313" t="s">
        <v>147</v>
      </c>
      <c r="C349" s="311">
        <v>617954</v>
      </c>
      <c r="D349" s="312">
        <v>42457</v>
      </c>
    </row>
    <row r="350" spans="1:4">
      <c r="A350" s="309" t="s">
        <v>2709</v>
      </c>
      <c r="B350" s="313" t="s">
        <v>147</v>
      </c>
      <c r="C350" s="311">
        <v>3399</v>
      </c>
      <c r="D350" s="312">
        <v>42825</v>
      </c>
    </row>
    <row r="351" spans="1:4">
      <c r="A351" s="309" t="s">
        <v>2709</v>
      </c>
      <c r="B351" s="313" t="s">
        <v>146</v>
      </c>
      <c r="C351" s="311">
        <v>-64900000000</v>
      </c>
      <c r="D351" s="312">
        <v>42842</v>
      </c>
    </row>
    <row r="352" spans="1:4">
      <c r="A352" s="309" t="s">
        <v>2709</v>
      </c>
      <c r="B352" s="313" t="s">
        <v>146</v>
      </c>
      <c r="C352" s="311">
        <v>-63956471910</v>
      </c>
      <c r="D352" s="312">
        <v>42870</v>
      </c>
    </row>
    <row r="353" spans="1:4">
      <c r="A353" s="309" t="s">
        <v>2709</v>
      </c>
      <c r="B353" s="313" t="s">
        <v>146</v>
      </c>
      <c r="C353" s="311">
        <v>-26100879500</v>
      </c>
      <c r="D353" s="312">
        <v>42878</v>
      </c>
    </row>
    <row r="354" spans="1:4">
      <c r="A354" s="309" t="s">
        <v>2709</v>
      </c>
      <c r="B354" s="313" t="s">
        <v>146</v>
      </c>
      <c r="C354" s="311">
        <v>-8137804814</v>
      </c>
      <c r="D354" s="312">
        <v>42905</v>
      </c>
    </row>
    <row r="355" spans="1:4">
      <c r="A355" s="309" t="s">
        <v>2709</v>
      </c>
      <c r="B355" s="313" t="s">
        <v>149</v>
      </c>
      <c r="C355" s="311">
        <f ca="1">'2.5 제안사 펀드현황'!AL36*1000000</f>
        <v>191628000000</v>
      </c>
      <c r="D355" s="312">
        <v>42993</v>
      </c>
    </row>
    <row r="356" spans="1:4">
      <c r="A356" s="309" t="s">
        <v>2770</v>
      </c>
      <c r="B356" s="313" t="s">
        <v>146</v>
      </c>
      <c r="C356" s="311">
        <v>-27200000000</v>
      </c>
      <c r="D356" s="312">
        <v>42062</v>
      </c>
    </row>
    <row r="357" spans="1:4">
      <c r="A357" s="309" t="s">
        <v>2770</v>
      </c>
      <c r="B357" s="313" t="s">
        <v>147</v>
      </c>
      <c r="C357" s="311">
        <v>247520000</v>
      </c>
      <c r="D357" s="312">
        <v>42250</v>
      </c>
    </row>
    <row r="358" spans="1:4">
      <c r="A358" s="309" t="s">
        <v>2770</v>
      </c>
      <c r="B358" s="313" t="s">
        <v>147</v>
      </c>
      <c r="C358" s="311">
        <v>5740000000</v>
      </c>
      <c r="D358" s="312">
        <v>42458</v>
      </c>
    </row>
    <row r="359" spans="1:4">
      <c r="A359" s="309" t="s">
        <v>2770</v>
      </c>
      <c r="B359" s="313" t="s">
        <v>147</v>
      </c>
      <c r="C359" s="311">
        <v>6649992000</v>
      </c>
      <c r="D359" s="312">
        <v>42482</v>
      </c>
    </row>
    <row r="360" spans="1:4">
      <c r="A360" s="309" t="s">
        <v>2770</v>
      </c>
      <c r="B360" s="313" t="s">
        <v>147</v>
      </c>
      <c r="C360" s="311">
        <v>12538112000</v>
      </c>
      <c r="D360" s="312">
        <v>42489</v>
      </c>
    </row>
    <row r="361" spans="1:4">
      <c r="A361" s="309" t="s">
        <v>2770</v>
      </c>
      <c r="B361" s="313" t="s">
        <v>147</v>
      </c>
      <c r="C361" s="311">
        <v>16993719827</v>
      </c>
      <c r="D361" s="312">
        <v>42494</v>
      </c>
    </row>
    <row r="362" spans="1:4">
      <c r="A362" s="309" t="s">
        <v>2770</v>
      </c>
      <c r="B362" s="313" t="s">
        <v>148</v>
      </c>
      <c r="C362" s="311">
        <v>3206280173</v>
      </c>
      <c r="D362" s="312">
        <v>42494</v>
      </c>
    </row>
    <row r="363" spans="1:4">
      <c r="A363" s="309" t="s">
        <v>2770</v>
      </c>
      <c r="B363" s="313" t="s">
        <v>147</v>
      </c>
      <c r="C363" s="311">
        <v>215950750</v>
      </c>
      <c r="D363" s="312">
        <v>42538</v>
      </c>
    </row>
    <row r="364" spans="1:4">
      <c r="A364" s="309" t="s">
        <v>2770</v>
      </c>
      <c r="B364" s="313" t="s">
        <v>148</v>
      </c>
      <c r="C364" s="311">
        <v>76984738</v>
      </c>
      <c r="D364" s="312">
        <v>42538</v>
      </c>
    </row>
    <row r="365" spans="1:4">
      <c r="A365" s="309" t="s">
        <v>2774</v>
      </c>
      <c r="B365" s="313" t="s">
        <v>146</v>
      </c>
      <c r="C365" s="311">
        <v>-50300000000</v>
      </c>
      <c r="D365" s="312">
        <v>42094</v>
      </c>
    </row>
    <row r="366" spans="1:4">
      <c r="A366" s="309" t="s">
        <v>2774</v>
      </c>
      <c r="B366" s="313" t="s">
        <v>146</v>
      </c>
      <c r="C366" s="311">
        <v>-5700000000</v>
      </c>
      <c r="D366" s="312">
        <v>42100</v>
      </c>
    </row>
    <row r="367" spans="1:4">
      <c r="A367" s="309" t="s">
        <v>2774</v>
      </c>
      <c r="B367" s="313" t="s">
        <v>147</v>
      </c>
      <c r="C367" s="311">
        <v>850000000</v>
      </c>
      <c r="D367" s="312">
        <v>42237</v>
      </c>
    </row>
    <row r="368" spans="1:4">
      <c r="A368" s="309" t="s">
        <v>2774</v>
      </c>
      <c r="B368" s="313" t="s">
        <v>147</v>
      </c>
      <c r="C368" s="311">
        <v>170000000</v>
      </c>
      <c r="D368" s="312">
        <v>42424</v>
      </c>
    </row>
    <row r="369" spans="1:4">
      <c r="A369" s="309" t="s">
        <v>2774</v>
      </c>
      <c r="B369" s="313" t="s">
        <v>147</v>
      </c>
      <c r="C369" s="311">
        <v>61065583794</v>
      </c>
      <c r="D369" s="312">
        <v>42734</v>
      </c>
    </row>
    <row r="370" spans="1:4">
      <c r="A370" s="309" t="s">
        <v>2774</v>
      </c>
      <c r="B370" s="313" t="s">
        <v>148</v>
      </c>
      <c r="C370" s="311">
        <v>333895949</v>
      </c>
      <c r="D370" s="312">
        <v>42734</v>
      </c>
    </row>
    <row r="371" spans="1:4">
      <c r="A371" s="309" t="s">
        <v>2774</v>
      </c>
      <c r="B371" s="313" t="s">
        <v>149</v>
      </c>
      <c r="C371" s="311">
        <f ca="1">'2.5 제안사 펀드현황'!AL38*1000000</f>
        <v>169438000000</v>
      </c>
      <c r="D371" s="312">
        <v>42993</v>
      </c>
    </row>
    <row r="372" spans="1:4">
      <c r="A372" s="309" t="s">
        <v>2777</v>
      </c>
      <c r="B372" s="313" t="s">
        <v>146</v>
      </c>
      <c r="C372" s="311">
        <v>-72300000000</v>
      </c>
      <c r="D372" s="312">
        <v>42164</v>
      </c>
    </row>
    <row r="373" spans="1:4">
      <c r="A373" s="309" t="s">
        <v>2777</v>
      </c>
      <c r="B373" s="313" t="s">
        <v>147</v>
      </c>
      <c r="C373" s="311">
        <v>15183000000</v>
      </c>
      <c r="D373" s="312">
        <v>42416</v>
      </c>
    </row>
    <row r="374" spans="1:4">
      <c r="A374" s="309" t="s">
        <v>2777</v>
      </c>
      <c r="B374" s="313" t="s">
        <v>147</v>
      </c>
      <c r="C374" s="311">
        <v>27014895</v>
      </c>
      <c r="D374" s="312">
        <v>42471</v>
      </c>
    </row>
    <row r="375" spans="1:4">
      <c r="A375" s="309" t="s">
        <v>2777</v>
      </c>
      <c r="B375" s="313" t="s">
        <v>147</v>
      </c>
      <c r="C375" s="311">
        <v>4272930000</v>
      </c>
      <c r="D375" s="312">
        <v>42479</v>
      </c>
    </row>
    <row r="376" spans="1:4">
      <c r="A376" s="309" t="s">
        <v>2777</v>
      </c>
      <c r="B376" s="313" t="s">
        <v>147</v>
      </c>
      <c r="C376" s="311">
        <v>33030255000</v>
      </c>
      <c r="D376" s="312">
        <v>42482</v>
      </c>
    </row>
    <row r="377" spans="1:4">
      <c r="A377" s="309" t="s">
        <v>2777</v>
      </c>
      <c r="B377" s="313" t="s">
        <v>147</v>
      </c>
      <c r="C377" s="311">
        <v>6199999740</v>
      </c>
      <c r="D377" s="312">
        <v>42514</v>
      </c>
    </row>
    <row r="378" spans="1:4">
      <c r="A378" s="309" t="s">
        <v>2777</v>
      </c>
      <c r="B378" s="313" t="s">
        <v>147</v>
      </c>
      <c r="C378" s="311">
        <v>3269998860</v>
      </c>
      <c r="D378" s="312">
        <v>42521</v>
      </c>
    </row>
    <row r="379" spans="1:4">
      <c r="A379" s="309" t="s">
        <v>2777</v>
      </c>
      <c r="B379" s="313" t="s">
        <v>147</v>
      </c>
      <c r="C379" s="311">
        <v>1140026400</v>
      </c>
      <c r="D379" s="312">
        <v>42549</v>
      </c>
    </row>
    <row r="380" spans="1:4">
      <c r="A380" s="309" t="s">
        <v>2777</v>
      </c>
      <c r="B380" s="313" t="s">
        <v>147</v>
      </c>
      <c r="C380" s="311">
        <v>5574330000</v>
      </c>
      <c r="D380" s="312">
        <v>42559</v>
      </c>
    </row>
    <row r="381" spans="1:4">
      <c r="A381" s="309" t="s">
        <v>2777</v>
      </c>
      <c r="B381" s="313" t="s">
        <v>147</v>
      </c>
      <c r="C381" s="311">
        <v>5209215000</v>
      </c>
      <c r="D381" s="312">
        <v>42580</v>
      </c>
    </row>
    <row r="382" spans="1:4">
      <c r="A382" s="309" t="s">
        <v>2777</v>
      </c>
      <c r="B382" s="313" t="s">
        <v>147</v>
      </c>
      <c r="C382" s="311">
        <v>4787441266</v>
      </c>
      <c r="D382" s="312">
        <v>42601</v>
      </c>
    </row>
    <row r="383" spans="1:4">
      <c r="A383" s="309" t="s">
        <v>2777</v>
      </c>
      <c r="B383" s="313" t="s">
        <v>148</v>
      </c>
      <c r="C383" s="311">
        <v>537004404</v>
      </c>
      <c r="D383" s="312">
        <v>42601</v>
      </c>
    </row>
    <row r="384" spans="1:4">
      <c r="A384" s="309" t="s">
        <v>2777</v>
      </c>
      <c r="B384" s="313" t="s">
        <v>147</v>
      </c>
      <c r="C384" s="311">
        <v>896036780</v>
      </c>
      <c r="D384" s="312">
        <v>42643</v>
      </c>
    </row>
    <row r="385" spans="1:4">
      <c r="A385" s="309" t="s">
        <v>2777</v>
      </c>
      <c r="B385" s="313" t="s">
        <v>148</v>
      </c>
      <c r="C385" s="311">
        <v>229885080</v>
      </c>
      <c r="D385" s="312">
        <v>42643</v>
      </c>
    </row>
    <row r="386" spans="1:4">
      <c r="A386" s="309" t="s">
        <v>2777</v>
      </c>
      <c r="B386" s="313" t="s">
        <v>147</v>
      </c>
      <c r="C386" s="311">
        <v>3702957120</v>
      </c>
      <c r="D386" s="312">
        <v>42790</v>
      </c>
    </row>
    <row r="387" spans="1:4">
      <c r="A387" s="309" t="s">
        <v>2777</v>
      </c>
      <c r="B387" s="313" t="s">
        <v>148</v>
      </c>
      <c r="C387" s="311">
        <v>950022000</v>
      </c>
      <c r="D387" s="312">
        <v>42790</v>
      </c>
    </row>
    <row r="388" spans="1:4">
      <c r="A388" s="309" t="s">
        <v>2777</v>
      </c>
      <c r="B388" s="313" t="s">
        <v>147</v>
      </c>
      <c r="C388" s="311">
        <v>4303717320</v>
      </c>
      <c r="D388" s="312">
        <v>42797</v>
      </c>
    </row>
    <row r="389" spans="1:4">
      <c r="A389" s="309" t="s">
        <v>2777</v>
      </c>
      <c r="B389" s="313" t="s">
        <v>148</v>
      </c>
      <c r="C389" s="311">
        <v>1257441600</v>
      </c>
      <c r="D389" s="312">
        <v>42797</v>
      </c>
    </row>
    <row r="390" spans="1:4">
      <c r="A390" s="309" t="s">
        <v>2777</v>
      </c>
      <c r="B390" s="313" t="s">
        <v>147</v>
      </c>
      <c r="C390" s="311">
        <v>2880432000</v>
      </c>
      <c r="D390" s="312">
        <v>42804</v>
      </c>
    </row>
    <row r="391" spans="1:4">
      <c r="A391" s="309" t="s">
        <v>2777</v>
      </c>
      <c r="B391" s="313" t="s">
        <v>148</v>
      </c>
      <c r="C391" s="311">
        <v>720108000</v>
      </c>
      <c r="D391" s="312">
        <v>42804</v>
      </c>
    </row>
    <row r="392" spans="1:4">
      <c r="A392" s="309" t="s">
        <v>2777</v>
      </c>
      <c r="B392" s="313" t="s">
        <v>147</v>
      </c>
      <c r="C392" s="311">
        <v>3126785640</v>
      </c>
      <c r="D392" s="312">
        <v>42846</v>
      </c>
    </row>
    <row r="393" spans="1:4">
      <c r="A393" s="309" t="s">
        <v>2777</v>
      </c>
      <c r="B393" s="313" t="s">
        <v>148</v>
      </c>
      <c r="C393" s="311">
        <v>781700000</v>
      </c>
      <c r="D393" s="312">
        <v>42846</v>
      </c>
    </row>
    <row r="394" spans="1:4">
      <c r="A394" s="309" t="s">
        <v>2777</v>
      </c>
      <c r="B394" s="313" t="s">
        <v>147</v>
      </c>
      <c r="C394" s="311">
        <v>4807417872</v>
      </c>
      <c r="D394" s="312">
        <v>42874</v>
      </c>
    </row>
    <row r="395" spans="1:4">
      <c r="A395" s="309" t="s">
        <v>2777</v>
      </c>
      <c r="B395" s="313" t="s">
        <v>148</v>
      </c>
      <c r="C395" s="311">
        <v>1201854468</v>
      </c>
      <c r="D395" s="312">
        <v>42874</v>
      </c>
    </row>
    <row r="396" spans="1:4">
      <c r="A396" s="309" t="s">
        <v>2777</v>
      </c>
      <c r="B396" s="313" t="s">
        <v>147</v>
      </c>
      <c r="C396" s="311">
        <v>4078298400</v>
      </c>
      <c r="D396" s="312">
        <v>42899</v>
      </c>
    </row>
    <row r="397" spans="1:4">
      <c r="A397" s="309" t="s">
        <v>2777</v>
      </c>
      <c r="B397" s="313" t="s">
        <v>148</v>
      </c>
      <c r="C397" s="311">
        <v>1019574600</v>
      </c>
      <c r="D397" s="312">
        <v>42899</v>
      </c>
    </row>
    <row r="398" spans="1:4">
      <c r="A398" s="309" t="s">
        <v>2777</v>
      </c>
      <c r="B398" s="313" t="s">
        <v>147</v>
      </c>
      <c r="C398" s="311">
        <v>3632352000</v>
      </c>
      <c r="D398" s="312">
        <v>42902</v>
      </c>
    </row>
    <row r="399" spans="1:4">
      <c r="A399" s="309" t="s">
        <v>2777</v>
      </c>
      <c r="B399" s="313" t="s">
        <v>148</v>
      </c>
      <c r="C399" s="311">
        <v>908088000</v>
      </c>
      <c r="D399" s="312">
        <v>42902</v>
      </c>
    </row>
    <row r="400" spans="1:4">
      <c r="A400" s="309" t="s">
        <v>2777</v>
      </c>
      <c r="B400" s="313" t="s">
        <v>147</v>
      </c>
      <c r="C400" s="311">
        <v>7138178950</v>
      </c>
      <c r="D400" s="312">
        <v>42914</v>
      </c>
    </row>
    <row r="401" spans="1:4">
      <c r="A401" s="309" t="s">
        <v>2777</v>
      </c>
      <c r="B401" s="313" t="s">
        <v>148</v>
      </c>
      <c r="C401" s="311">
        <v>1799547000</v>
      </c>
      <c r="D401" s="312">
        <v>42914</v>
      </c>
    </row>
    <row r="402" spans="1:4">
      <c r="A402" s="309" t="s">
        <v>2777</v>
      </c>
      <c r="B402" s="313" t="s">
        <v>147</v>
      </c>
      <c r="C402" s="311">
        <v>3352073120</v>
      </c>
      <c r="D402" s="312">
        <v>42922</v>
      </c>
    </row>
    <row r="403" spans="1:4">
      <c r="A403" s="309" t="s">
        <v>2777</v>
      </c>
      <c r="B403" s="313" t="s">
        <v>148</v>
      </c>
      <c r="C403" s="311">
        <v>860000000</v>
      </c>
      <c r="D403" s="312">
        <v>42922</v>
      </c>
    </row>
    <row r="404" spans="1:4">
      <c r="A404" s="309" t="s">
        <v>2777</v>
      </c>
      <c r="B404" s="313" t="s">
        <v>149</v>
      </c>
      <c r="C404" s="311">
        <f ca="1">'2.5 제안사 펀드현황'!AL39*1000000</f>
        <v>352000000</v>
      </c>
      <c r="D404" s="312">
        <v>42993</v>
      </c>
    </row>
    <row r="405" spans="1:4">
      <c r="A405" s="92" t="s">
        <v>2025</v>
      </c>
      <c r="B405" s="96" t="s">
        <v>146</v>
      </c>
      <c r="C405" s="94">
        <v>-1100000000</v>
      </c>
      <c r="D405" s="95">
        <v>42352</v>
      </c>
    </row>
    <row r="406" spans="1:4">
      <c r="A406" s="92" t="s">
        <v>2025</v>
      </c>
      <c r="B406" s="96" t="s">
        <v>146</v>
      </c>
      <c r="C406" s="94">
        <v>-25750000000</v>
      </c>
      <c r="D406" s="95">
        <v>42367</v>
      </c>
    </row>
    <row r="407" spans="1:4">
      <c r="A407" s="92" t="s">
        <v>2025</v>
      </c>
      <c r="B407" s="96" t="s">
        <v>147</v>
      </c>
      <c r="C407" s="94">
        <v>1110241880</v>
      </c>
      <c r="D407" s="95">
        <v>42824</v>
      </c>
    </row>
    <row r="408" spans="1:4">
      <c r="A408" s="92" t="s">
        <v>2025</v>
      </c>
      <c r="B408" s="96" t="s">
        <v>149</v>
      </c>
      <c r="C408" s="94">
        <f ca="1">'2.5 제안사 펀드현황'!AL40*1000000</f>
        <v>23488000000</v>
      </c>
      <c r="D408" s="95">
        <v>42993</v>
      </c>
    </row>
    <row r="409" spans="1:4">
      <c r="A409" s="309" t="s">
        <v>2779</v>
      </c>
      <c r="B409" s="313" t="s">
        <v>146</v>
      </c>
      <c r="C409" s="311">
        <v>-60228000000</v>
      </c>
      <c r="D409" s="312">
        <v>42633</v>
      </c>
    </row>
    <row r="410" spans="1:4">
      <c r="A410" s="309" t="s">
        <v>2779</v>
      </c>
      <c r="B410" s="313" t="s">
        <v>146</v>
      </c>
      <c r="C410" s="311">
        <v>-54514115000</v>
      </c>
      <c r="D410" s="312">
        <v>42699</v>
      </c>
    </row>
    <row r="411" spans="1:4">
      <c r="A411" s="309" t="s">
        <v>2779</v>
      </c>
      <c r="B411" s="313" t="s">
        <v>146</v>
      </c>
      <c r="C411" s="311">
        <v>-14931485000</v>
      </c>
      <c r="D411" s="312">
        <v>42713</v>
      </c>
    </row>
    <row r="412" spans="1:4">
      <c r="A412" s="309" t="s">
        <v>2779</v>
      </c>
      <c r="B412" s="313" t="s">
        <v>146</v>
      </c>
      <c r="C412" s="311">
        <v>-97507435000</v>
      </c>
      <c r="D412" s="312">
        <v>42732</v>
      </c>
    </row>
    <row r="413" spans="1:4">
      <c r="A413" s="309" t="s">
        <v>2779</v>
      </c>
      <c r="B413" s="313" t="s">
        <v>147</v>
      </c>
      <c r="C413" s="311">
        <v>659532500</v>
      </c>
      <c r="D413" s="312">
        <v>42853</v>
      </c>
    </row>
    <row r="414" spans="1:4">
      <c r="A414" s="309" t="s">
        <v>2779</v>
      </c>
      <c r="B414" s="313" t="s">
        <v>146</v>
      </c>
      <c r="C414" s="311">
        <v>-54025842500</v>
      </c>
      <c r="D414" s="312">
        <v>42874</v>
      </c>
    </row>
    <row r="415" spans="1:4">
      <c r="A415" s="309" t="s">
        <v>2779</v>
      </c>
      <c r="B415" s="313" t="s">
        <v>149</v>
      </c>
      <c r="C415" s="311">
        <f ca="1">'2.5 제안사 펀드현황'!AL41*1000000</f>
        <v>280789000000</v>
      </c>
      <c r="D415" s="312">
        <v>42993</v>
      </c>
    </row>
    <row r="416" spans="1:4">
      <c r="A416" s="309" t="s">
        <v>2715</v>
      </c>
      <c r="B416" s="313" t="s">
        <v>146</v>
      </c>
      <c r="C416" s="311">
        <v>-62677300000</v>
      </c>
      <c r="D416" s="312">
        <v>42465</v>
      </c>
    </row>
    <row r="417" spans="1:4">
      <c r="A417" s="309" t="s">
        <v>2715</v>
      </c>
      <c r="B417" s="313" t="s">
        <v>147</v>
      </c>
      <c r="C417" s="311">
        <v>1107759193</v>
      </c>
      <c r="D417" s="312">
        <v>42548</v>
      </c>
    </row>
    <row r="418" spans="1:4">
      <c r="A418" s="309" t="s">
        <v>2715</v>
      </c>
      <c r="B418" s="313" t="s">
        <v>147</v>
      </c>
      <c r="C418" s="311">
        <v>1387924576</v>
      </c>
      <c r="D418" s="312">
        <v>42640</v>
      </c>
    </row>
    <row r="419" spans="1:4">
      <c r="A419" s="309" t="s">
        <v>2715</v>
      </c>
      <c r="B419" s="313" t="s">
        <v>147</v>
      </c>
      <c r="C419" s="311">
        <v>1387988029</v>
      </c>
      <c r="D419" s="312">
        <v>42731</v>
      </c>
    </row>
    <row r="420" spans="1:4">
      <c r="A420" s="309" t="s">
        <v>2715</v>
      </c>
      <c r="B420" s="313" t="s">
        <v>147</v>
      </c>
      <c r="C420" s="311">
        <v>2621706603</v>
      </c>
      <c r="D420" s="312">
        <v>42823</v>
      </c>
    </row>
    <row r="421" spans="1:4">
      <c r="A421" s="309" t="s">
        <v>2715</v>
      </c>
      <c r="B421" s="313" t="s">
        <v>147</v>
      </c>
      <c r="C421" s="311">
        <v>1207651093</v>
      </c>
      <c r="D421" s="312">
        <v>42919</v>
      </c>
    </row>
    <row r="422" spans="1:4">
      <c r="A422" s="309" t="s">
        <v>2715</v>
      </c>
      <c r="B422" s="313" t="s">
        <v>149</v>
      </c>
      <c r="C422" s="311">
        <f ca="1">'2.5 제안사 펀드현황'!AL42*1000000</f>
        <v>61553000000</v>
      </c>
      <c r="D422" s="312">
        <v>42993</v>
      </c>
    </row>
    <row r="423" spans="1:4">
      <c r="A423" s="309" t="s">
        <v>2719</v>
      </c>
      <c r="B423" s="313" t="s">
        <v>146</v>
      </c>
      <c r="C423" s="311">
        <v>-140200000000</v>
      </c>
      <c r="D423" s="312">
        <v>42503</v>
      </c>
    </row>
    <row r="424" spans="1:4">
      <c r="A424" s="309" t="s">
        <v>2719</v>
      </c>
      <c r="B424" s="313" t="s">
        <v>147</v>
      </c>
      <c r="C424" s="311">
        <v>15231700000</v>
      </c>
      <c r="D424" s="312">
        <v>42866</v>
      </c>
    </row>
    <row r="425" spans="1:4">
      <c r="A425" s="309" t="s">
        <v>2719</v>
      </c>
      <c r="B425" s="313" t="s">
        <v>149</v>
      </c>
      <c r="C425" s="311">
        <f ca="1">'2.5 제안사 펀드현황'!AL43*1000000</f>
        <v>140380000000</v>
      </c>
      <c r="D425" s="312">
        <v>42993</v>
      </c>
    </row>
    <row r="426" spans="1:4">
      <c r="A426" s="92" t="s">
        <v>2961</v>
      </c>
      <c r="B426" s="96" t="s">
        <v>146</v>
      </c>
      <c r="C426" s="94">
        <v>-5060000000</v>
      </c>
      <c r="D426" s="95">
        <v>42521</v>
      </c>
    </row>
    <row r="427" spans="1:4">
      <c r="A427" s="92" t="s">
        <v>2961</v>
      </c>
      <c r="B427" s="96" t="s">
        <v>146</v>
      </c>
      <c r="C427" s="94">
        <v>-2530000000</v>
      </c>
      <c r="D427" s="95">
        <v>42579</v>
      </c>
    </row>
    <row r="428" spans="1:4">
      <c r="A428" s="92" t="s">
        <v>2961</v>
      </c>
      <c r="B428" s="96" t="s">
        <v>146</v>
      </c>
      <c r="C428" s="94">
        <v>-2530000000</v>
      </c>
      <c r="D428" s="95">
        <v>42606</v>
      </c>
    </row>
    <row r="429" spans="1:4">
      <c r="A429" s="92" t="s">
        <v>2961</v>
      </c>
      <c r="B429" s="96" t="s">
        <v>146</v>
      </c>
      <c r="C429" s="94">
        <v>-2530000000</v>
      </c>
      <c r="D429" s="95">
        <v>42621</v>
      </c>
    </row>
    <row r="430" spans="1:4">
      <c r="A430" s="92" t="s">
        <v>2961</v>
      </c>
      <c r="B430" s="96" t="s">
        <v>146</v>
      </c>
      <c r="C430" s="94">
        <v>-5060000000</v>
      </c>
      <c r="D430" s="95">
        <v>42675</v>
      </c>
    </row>
    <row r="431" spans="1:4">
      <c r="A431" s="92" t="s">
        <v>2961</v>
      </c>
      <c r="B431" s="96" t="s">
        <v>146</v>
      </c>
      <c r="C431" s="94">
        <v>-2530000000</v>
      </c>
      <c r="D431" s="95">
        <v>42781</v>
      </c>
    </row>
    <row r="432" spans="1:4">
      <c r="A432" s="92" t="s">
        <v>2961</v>
      </c>
      <c r="B432" s="96" t="s">
        <v>146</v>
      </c>
      <c r="C432" s="94">
        <v>-2530000000</v>
      </c>
      <c r="D432" s="95">
        <v>42824</v>
      </c>
    </row>
    <row r="433" spans="1:4">
      <c r="A433" s="92" t="s">
        <v>2961</v>
      </c>
      <c r="B433" s="96" t="s">
        <v>146</v>
      </c>
      <c r="C433" s="94">
        <v>-2277000000</v>
      </c>
      <c r="D433" s="95">
        <v>42866</v>
      </c>
    </row>
    <row r="434" spans="1:4">
      <c r="A434" s="92" t="s">
        <v>2961</v>
      </c>
      <c r="B434" s="96" t="s">
        <v>149</v>
      </c>
      <c r="C434" s="94">
        <f ca="1">'2.5 제안사 펀드현황'!AL44*1000000</f>
        <v>27537000000</v>
      </c>
      <c r="D434" s="95">
        <v>42993</v>
      </c>
    </row>
    <row r="435" spans="1:4">
      <c r="A435" s="92" t="s">
        <v>2029</v>
      </c>
      <c r="B435" s="96" t="s">
        <v>146</v>
      </c>
      <c r="C435" s="94">
        <v>-7500000000</v>
      </c>
      <c r="D435" s="95">
        <v>42670</v>
      </c>
    </row>
    <row r="436" spans="1:4">
      <c r="A436" s="92" t="s">
        <v>2029</v>
      </c>
      <c r="B436" s="96" t="s">
        <v>146</v>
      </c>
      <c r="C436" s="94">
        <v>-1500000000</v>
      </c>
      <c r="D436" s="95">
        <v>42719</v>
      </c>
    </row>
    <row r="437" spans="1:4">
      <c r="A437" s="92" t="s">
        <v>2029</v>
      </c>
      <c r="B437" s="96" t="s">
        <v>146</v>
      </c>
      <c r="C437" s="94">
        <v>-7800000000</v>
      </c>
      <c r="D437" s="95">
        <v>42769</v>
      </c>
    </row>
    <row r="438" spans="1:4">
      <c r="A438" s="92" t="s">
        <v>2029</v>
      </c>
      <c r="B438" s="96" t="s">
        <v>146</v>
      </c>
      <c r="C438" s="94">
        <v>-1500000000</v>
      </c>
      <c r="D438" s="95">
        <v>42789</v>
      </c>
    </row>
    <row r="439" spans="1:4">
      <c r="A439" s="92" t="s">
        <v>2029</v>
      </c>
      <c r="B439" s="96" t="s">
        <v>146</v>
      </c>
      <c r="C439" s="94">
        <v>-1500000000</v>
      </c>
      <c r="D439" s="95">
        <v>42828</v>
      </c>
    </row>
    <row r="440" spans="1:4">
      <c r="A440" s="92" t="s">
        <v>2029</v>
      </c>
      <c r="B440" s="96" t="s">
        <v>146</v>
      </c>
      <c r="C440" s="94">
        <v>-3000000000</v>
      </c>
      <c r="D440" s="95">
        <v>42886</v>
      </c>
    </row>
    <row r="441" spans="1:4">
      <c r="A441" s="92" t="s">
        <v>2029</v>
      </c>
      <c r="B441" s="96" t="s">
        <v>146</v>
      </c>
      <c r="C441" s="94">
        <v>-2400000000</v>
      </c>
      <c r="D441" s="95">
        <v>42914</v>
      </c>
    </row>
    <row r="442" spans="1:4">
      <c r="A442" s="92" t="s">
        <v>2029</v>
      </c>
      <c r="B442" s="96" t="s">
        <v>146</v>
      </c>
      <c r="C442" s="94">
        <v>-1500000000</v>
      </c>
      <c r="D442" s="95">
        <v>42976</v>
      </c>
    </row>
    <row r="443" spans="1:4">
      <c r="A443" s="92" t="s">
        <v>2029</v>
      </c>
      <c r="B443" s="96" t="s">
        <v>149</v>
      </c>
      <c r="C443" s="94">
        <f ca="1">'2.5 제안사 펀드현황'!AL45*1000000</f>
        <v>26401000000</v>
      </c>
      <c r="D443" s="95">
        <v>42993</v>
      </c>
    </row>
    <row r="444" spans="1:4">
      <c r="A444" s="309" t="s">
        <v>2783</v>
      </c>
      <c r="B444" s="313" t="s">
        <v>146</v>
      </c>
      <c r="C444" s="311">
        <v>-23724960000</v>
      </c>
      <c r="D444" s="312">
        <v>42699</v>
      </c>
    </row>
    <row r="445" spans="1:4">
      <c r="A445" s="309" t="s">
        <v>2783</v>
      </c>
      <c r="B445" s="313" t="s">
        <v>146</v>
      </c>
      <c r="C445" s="311">
        <v>-6488445000</v>
      </c>
      <c r="D445" s="312">
        <v>42713</v>
      </c>
    </row>
    <row r="446" spans="1:4">
      <c r="A446" s="309" t="s">
        <v>2783</v>
      </c>
      <c r="B446" s="313" t="s">
        <v>146</v>
      </c>
      <c r="C446" s="311">
        <v>-42304600000</v>
      </c>
      <c r="D446" s="312">
        <v>42732</v>
      </c>
    </row>
    <row r="447" spans="1:4">
      <c r="A447" s="309" t="s">
        <v>2783</v>
      </c>
      <c r="B447" s="313" t="s">
        <v>146</v>
      </c>
      <c r="C447" s="311">
        <v>-23474570800</v>
      </c>
      <c r="D447" s="312">
        <v>42874</v>
      </c>
    </row>
    <row r="448" spans="1:4">
      <c r="A448" s="309" t="s">
        <v>2783</v>
      </c>
      <c r="B448" s="313" t="s">
        <v>149</v>
      </c>
      <c r="C448" s="311">
        <f ca="1">'2.5 제안사 펀드현황'!AL46*1000000</f>
        <v>95723000000</v>
      </c>
      <c r="D448" s="312">
        <v>42993</v>
      </c>
    </row>
    <row r="449" spans="1:4">
      <c r="A449" s="309" t="s">
        <v>2723</v>
      </c>
      <c r="B449" s="313" t="s">
        <v>146</v>
      </c>
      <c r="C449" s="311">
        <v>-11358094602</v>
      </c>
      <c r="D449" s="312">
        <v>42719</v>
      </c>
    </row>
    <row r="450" spans="1:4">
      <c r="A450" s="309" t="s">
        <v>2723</v>
      </c>
      <c r="B450" s="313" t="s">
        <v>147</v>
      </c>
      <c r="C450" s="311">
        <v>94522139</v>
      </c>
      <c r="D450" s="312">
        <v>42831</v>
      </c>
    </row>
    <row r="451" spans="1:4">
      <c r="A451" s="309" t="s">
        <v>2723</v>
      </c>
      <c r="B451" s="313" t="s">
        <v>149</v>
      </c>
      <c r="C451" s="311">
        <f ca="1">'2.5 제안사 펀드현황'!AL47*1000000</f>
        <v>11835000000</v>
      </c>
      <c r="D451" s="312">
        <v>42993</v>
      </c>
    </row>
    <row r="452" spans="1:4">
      <c r="A452" s="309" t="s">
        <v>2730</v>
      </c>
      <c r="B452" s="313" t="s">
        <v>146</v>
      </c>
      <c r="C452" s="311">
        <v>-112204500000</v>
      </c>
      <c r="D452" s="312">
        <v>42720</v>
      </c>
    </row>
    <row r="453" spans="1:4">
      <c r="A453" s="309" t="s">
        <v>2730</v>
      </c>
      <c r="B453" s="313" t="s">
        <v>147</v>
      </c>
      <c r="C453" s="311">
        <v>9538563563</v>
      </c>
      <c r="D453" s="312">
        <v>42824</v>
      </c>
    </row>
    <row r="454" spans="1:4">
      <c r="A454" s="309" t="s">
        <v>2730</v>
      </c>
      <c r="B454" s="313" t="s">
        <v>147</v>
      </c>
      <c r="C454" s="311">
        <v>2953000000</v>
      </c>
      <c r="D454" s="312">
        <v>42930</v>
      </c>
    </row>
    <row r="455" spans="1:4">
      <c r="A455" s="309" t="s">
        <v>2730</v>
      </c>
      <c r="B455" s="313" t="s">
        <v>149</v>
      </c>
      <c r="C455" s="311">
        <f ca="1">'2.5 제안사 펀드현황'!AL48*1000000</f>
        <v>112205000000</v>
      </c>
      <c r="D455" s="312">
        <v>42993</v>
      </c>
    </row>
    <row r="456" spans="1:4">
      <c r="A456" s="309" t="s">
        <v>2736</v>
      </c>
      <c r="B456" s="313" t="s">
        <v>146</v>
      </c>
      <c r="C456" s="311">
        <v>-10113636364</v>
      </c>
      <c r="D456" s="312">
        <v>42732</v>
      </c>
    </row>
    <row r="457" spans="1:4">
      <c r="A457" s="309" t="s">
        <v>2736</v>
      </c>
      <c r="B457" s="313" t="s">
        <v>146</v>
      </c>
      <c r="C457" s="311">
        <v>-25486363636</v>
      </c>
      <c r="D457" s="312">
        <v>42737</v>
      </c>
    </row>
    <row r="458" spans="1:4">
      <c r="A458" s="309" t="s">
        <v>2736</v>
      </c>
      <c r="B458" s="313" t="s">
        <v>146</v>
      </c>
      <c r="C458" s="311">
        <v>-19900000000</v>
      </c>
      <c r="D458" s="312">
        <v>42821</v>
      </c>
    </row>
    <row r="459" spans="1:4">
      <c r="A459" s="309" t="s">
        <v>2736</v>
      </c>
      <c r="B459" s="313" t="s">
        <v>146</v>
      </c>
      <c r="C459" s="311">
        <v>-20000000000</v>
      </c>
      <c r="D459" s="312">
        <v>42915</v>
      </c>
    </row>
    <row r="460" spans="1:4">
      <c r="A460" s="309" t="s">
        <v>2736</v>
      </c>
      <c r="B460" s="313" t="s">
        <v>146</v>
      </c>
      <c r="C460" s="311">
        <v>-29700000000</v>
      </c>
      <c r="D460" s="312">
        <v>42916</v>
      </c>
    </row>
    <row r="461" spans="1:4">
      <c r="A461" s="309" t="s">
        <v>2736</v>
      </c>
      <c r="B461" s="313" t="s">
        <v>146</v>
      </c>
      <c r="C461" s="311">
        <v>-30000000000</v>
      </c>
      <c r="D461" s="312">
        <v>42920</v>
      </c>
    </row>
    <row r="462" spans="1:4">
      <c r="A462" s="309" t="s">
        <v>2736</v>
      </c>
      <c r="B462" s="313" t="s">
        <v>149</v>
      </c>
      <c r="C462" s="311">
        <f ca="1">'2.5 제안사 펀드현황'!AL49*1000000</f>
        <v>134994000000</v>
      </c>
      <c r="D462" s="312">
        <v>42993</v>
      </c>
    </row>
    <row r="463" spans="1:4">
      <c r="A463" s="92" t="s">
        <v>2337</v>
      </c>
      <c r="B463" s="96" t="s">
        <v>146</v>
      </c>
      <c r="C463" s="94">
        <v>-1420000000</v>
      </c>
      <c r="D463" s="95">
        <v>42915</v>
      </c>
    </row>
    <row r="464" spans="1:4">
      <c r="A464" s="92" t="s">
        <v>2337</v>
      </c>
      <c r="B464" s="96" t="s">
        <v>146</v>
      </c>
      <c r="C464" s="94">
        <v>-210000000</v>
      </c>
      <c r="D464" s="95">
        <v>42951</v>
      </c>
    </row>
    <row r="465" spans="1:4">
      <c r="A465" s="92" t="s">
        <v>2337</v>
      </c>
      <c r="B465" s="96" t="s">
        <v>149</v>
      </c>
      <c r="C465" s="94">
        <f ca="1">'2.5 제안사 펀드현황'!AL50*1000000</f>
        <v>1629000000</v>
      </c>
      <c r="D465" s="95">
        <v>42993</v>
      </c>
    </row>
    <row r="466" spans="1:4">
      <c r="A466" s="309" t="s">
        <v>2787</v>
      </c>
      <c r="B466" s="313" t="s">
        <v>146</v>
      </c>
      <c r="C466" s="311">
        <v>-6000000000</v>
      </c>
      <c r="D466" s="312">
        <v>42972</v>
      </c>
    </row>
    <row r="467" spans="1:4">
      <c r="A467" s="309" t="s">
        <v>2787</v>
      </c>
      <c r="B467" s="313" t="s">
        <v>149</v>
      </c>
      <c r="C467" s="311">
        <f ca="1">'2.5 제안사 펀드현황'!AL51*1000000</f>
        <v>6000000000</v>
      </c>
      <c r="D467" s="312">
        <v>42993</v>
      </c>
    </row>
    <row r="628" spans="1:4">
      <c r="A628" s="92"/>
      <c r="B628" s="96"/>
      <c r="C628" s="94"/>
      <c r="D628" s="95"/>
    </row>
    <row r="629" spans="1:4">
      <c r="A629" s="92"/>
      <c r="B629" s="96"/>
      <c r="C629" s="94"/>
      <c r="D629" s="95"/>
    </row>
    <row r="630" spans="1:4">
      <c r="A630" s="92"/>
      <c r="B630" s="96"/>
      <c r="C630" s="94"/>
      <c r="D630" s="95"/>
    </row>
    <row r="631" spans="1:4">
      <c r="A631" s="92"/>
      <c r="B631" s="96"/>
      <c r="C631" s="94"/>
      <c r="D631" s="95"/>
    </row>
    <row r="632" spans="1:4">
      <c r="A632" s="92"/>
      <c r="B632" s="96"/>
      <c r="C632" s="94"/>
      <c r="D632" s="95"/>
    </row>
    <row r="633" spans="1:4">
      <c r="A633" s="92"/>
      <c r="B633" s="96"/>
      <c r="C633" s="94"/>
      <c r="D633" s="95"/>
    </row>
    <row r="634" spans="1:4">
      <c r="A634" s="92"/>
      <c r="B634" s="96"/>
      <c r="C634" s="94"/>
      <c r="D634" s="95"/>
    </row>
    <row r="635" spans="1:4">
      <c r="A635" s="92"/>
      <c r="B635" s="96"/>
      <c r="C635" s="94"/>
      <c r="D635" s="95"/>
    </row>
    <row r="636" spans="1:4">
      <c r="A636" s="92"/>
      <c r="B636" s="96"/>
      <c r="C636" s="94"/>
      <c r="D636" s="95"/>
    </row>
    <row r="637" spans="1:4">
      <c r="A637" s="92"/>
      <c r="B637" s="96"/>
      <c r="C637" s="94"/>
      <c r="D637" s="95"/>
    </row>
    <row r="638" spans="1:4">
      <c r="A638" s="92"/>
      <c r="B638" s="96"/>
      <c r="C638" s="94"/>
      <c r="D638" s="95"/>
    </row>
    <row r="639" spans="1:4">
      <c r="A639" s="92"/>
      <c r="B639" s="96"/>
      <c r="C639" s="94"/>
      <c r="D639" s="95"/>
    </row>
    <row r="640" spans="1:4">
      <c r="A640" s="92"/>
      <c r="B640" s="96"/>
      <c r="C640" s="94"/>
      <c r="D640" s="95"/>
    </row>
    <row r="641" spans="1:4">
      <c r="A641" s="92"/>
      <c r="B641" s="96"/>
      <c r="C641" s="94"/>
      <c r="D641" s="95"/>
    </row>
    <row r="642" spans="1:4">
      <c r="A642" s="92"/>
      <c r="B642" s="96"/>
      <c r="C642" s="94"/>
      <c r="D642" s="95"/>
    </row>
    <row r="643" spans="1:4">
      <c r="A643" s="92"/>
      <c r="B643" s="96"/>
      <c r="C643" s="94"/>
      <c r="D643" s="95"/>
    </row>
    <row r="644" spans="1:4">
      <c r="A644" s="92"/>
      <c r="B644" s="96"/>
      <c r="C644" s="94"/>
      <c r="D644" s="95"/>
    </row>
    <row r="645" spans="1:4">
      <c r="A645" s="92"/>
      <c r="B645" s="96"/>
      <c r="C645" s="94"/>
      <c r="D645" s="95"/>
    </row>
    <row r="646" spans="1:4">
      <c r="A646" s="92"/>
      <c r="B646" s="96"/>
      <c r="C646" s="94"/>
      <c r="D646" s="95"/>
    </row>
    <row r="647" spans="1:4">
      <c r="A647" s="92"/>
      <c r="B647" s="96"/>
      <c r="C647" s="94"/>
      <c r="D647" s="95"/>
    </row>
    <row r="648" spans="1:4">
      <c r="A648" s="92"/>
      <c r="B648" s="96"/>
      <c r="C648" s="94"/>
      <c r="D648" s="95"/>
    </row>
    <row r="649" spans="1:4">
      <c r="A649" s="92"/>
      <c r="B649" s="96"/>
      <c r="C649" s="94"/>
      <c r="D649" s="95"/>
    </row>
    <row r="650" spans="1:4">
      <c r="A650" s="92"/>
      <c r="B650" s="96"/>
      <c r="C650" s="94"/>
      <c r="D650" s="95"/>
    </row>
    <row r="651" spans="1:4">
      <c r="A651" s="92"/>
      <c r="B651" s="96"/>
      <c r="C651" s="94"/>
      <c r="D651" s="95"/>
    </row>
    <row r="652" spans="1:4">
      <c r="A652" s="92"/>
      <c r="B652" s="96"/>
      <c r="C652" s="94"/>
      <c r="D652" s="95"/>
    </row>
    <row r="653" spans="1:4">
      <c r="A653" s="92"/>
      <c r="B653" s="96"/>
      <c r="C653" s="94"/>
      <c r="D653" s="95"/>
    </row>
    <row r="654" spans="1:4">
      <c r="A654" s="92"/>
      <c r="B654" s="96"/>
      <c r="C654" s="94"/>
      <c r="D654" s="95"/>
    </row>
    <row r="655" spans="1:4">
      <c r="A655" s="92"/>
      <c r="B655" s="96"/>
      <c r="C655" s="94"/>
      <c r="D655" s="95"/>
    </row>
    <row r="656" spans="1:4">
      <c r="A656" s="92"/>
      <c r="B656" s="96"/>
      <c r="C656" s="94"/>
      <c r="D656" s="95"/>
    </row>
    <row r="657" spans="1:4">
      <c r="A657" s="92"/>
      <c r="B657" s="96"/>
      <c r="C657" s="94"/>
      <c r="D657" s="95"/>
    </row>
    <row r="658" spans="1:4">
      <c r="A658" s="92"/>
      <c r="B658" s="96"/>
      <c r="C658" s="94"/>
      <c r="D658" s="95"/>
    </row>
    <row r="659" spans="1:4">
      <c r="A659" s="92"/>
      <c r="B659" s="96"/>
      <c r="C659" s="94"/>
      <c r="D659" s="95"/>
    </row>
    <row r="660" spans="1:4">
      <c r="A660" s="92"/>
      <c r="B660" s="96"/>
      <c r="C660" s="94"/>
      <c r="D660" s="95"/>
    </row>
    <row r="661" spans="1:4">
      <c r="A661" s="92"/>
      <c r="B661" s="96"/>
      <c r="C661" s="94"/>
      <c r="D661" s="95"/>
    </row>
    <row r="662" spans="1:4">
      <c r="A662" s="92"/>
      <c r="B662" s="96"/>
      <c r="C662" s="94"/>
      <c r="D662" s="95"/>
    </row>
    <row r="663" spans="1:4">
      <c r="A663" s="92"/>
      <c r="B663" s="96"/>
      <c r="C663" s="94"/>
      <c r="D663" s="95"/>
    </row>
    <row r="664" spans="1:4">
      <c r="A664" s="92"/>
      <c r="B664" s="96"/>
      <c r="C664" s="94"/>
      <c r="D664" s="95"/>
    </row>
    <row r="665" spans="1:4">
      <c r="A665" s="92"/>
      <c r="B665" s="96"/>
      <c r="C665" s="94"/>
      <c r="D665" s="95"/>
    </row>
  </sheetData>
  <phoneticPr fontId="1" type="noConversion"/>
  <dataValidations count="1">
    <dataValidation type="list" allowBlank="1" showInputMessage="1" showErrorMessage="1" error="목록에서 선택" sqref="B628:B665 B2:B467">
      <formula1>펀드거래유형</formula1>
    </dataValidation>
  </dataValidations>
  <pageMargins left="0.7" right="0.7" top="0.75" bottom="0.75" header="0.3" footer="0.3"/>
  <pageSetup paperSize="9" scale="70" orientation="portrait" r:id="rId1"/>
  <rowBreaks count="7" manualBreakCount="7">
    <brk id="42" max="3" man="1"/>
    <brk id="83" max="3" man="1"/>
    <brk id="129" max="3" man="1"/>
    <brk id="177" max="3" man="1"/>
    <brk id="231" max="3" man="1"/>
    <brk id="284" max="3" man="1"/>
    <brk id="346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190"/>
  <sheetViews>
    <sheetView topLeftCell="A169" zoomScale="85" zoomScaleNormal="85" workbookViewId="0">
      <selection activeCell="A191" sqref="A191:XFD192"/>
    </sheetView>
  </sheetViews>
  <sheetFormatPr defaultRowHeight="16.5"/>
  <cols>
    <col min="1" max="1" width="38.375" customWidth="1"/>
    <col min="2" max="2" width="21" customWidth="1"/>
    <col min="3" max="3" width="9.625" customWidth="1"/>
    <col min="4" max="4" width="11.25" customWidth="1"/>
    <col min="5" max="5" width="33.75" bestFit="1" customWidth="1"/>
  </cols>
  <sheetData>
    <row r="1" spans="1:5">
      <c r="A1" s="193" t="s">
        <v>130</v>
      </c>
      <c r="B1" s="193" t="s">
        <v>1529</v>
      </c>
      <c r="C1" s="193" t="s">
        <v>1260</v>
      </c>
      <c r="D1" s="194" t="s">
        <v>1530</v>
      </c>
      <c r="E1" s="193" t="s">
        <v>1191</v>
      </c>
    </row>
    <row r="2" spans="1:5">
      <c r="A2" s="389" t="s">
        <v>3016</v>
      </c>
      <c r="B2" s="130" t="s">
        <v>3017</v>
      </c>
      <c r="C2" s="388" t="s">
        <v>3018</v>
      </c>
      <c r="D2" s="390">
        <v>39427</v>
      </c>
      <c r="E2" s="130" t="s">
        <v>1252</v>
      </c>
    </row>
    <row r="3" spans="1:5">
      <c r="A3" s="389" t="s">
        <v>3016</v>
      </c>
      <c r="B3" s="314" t="s">
        <v>1256</v>
      </c>
      <c r="C3" s="388" t="s">
        <v>3018</v>
      </c>
      <c r="D3" s="390">
        <v>40123</v>
      </c>
      <c r="E3" s="314" t="s">
        <v>2876</v>
      </c>
    </row>
    <row r="4" spans="1:5">
      <c r="A4" s="130" t="s">
        <v>2742</v>
      </c>
      <c r="B4" s="130" t="s">
        <v>3017</v>
      </c>
      <c r="C4" s="131" t="s">
        <v>2062</v>
      </c>
      <c r="D4" s="132">
        <v>39976</v>
      </c>
      <c r="E4" s="130" t="s">
        <v>1252</v>
      </c>
    </row>
    <row r="5" spans="1:5">
      <c r="A5" s="314" t="s">
        <v>2742</v>
      </c>
      <c r="B5" s="314" t="s">
        <v>1256</v>
      </c>
      <c r="C5" s="315" t="s">
        <v>2062</v>
      </c>
      <c r="D5" s="316">
        <v>40686</v>
      </c>
      <c r="E5" s="314" t="s">
        <v>2876</v>
      </c>
    </row>
    <row r="6" spans="1:5">
      <c r="A6" s="130" t="s">
        <v>2017</v>
      </c>
      <c r="B6" s="130" t="s">
        <v>1250</v>
      </c>
      <c r="C6" s="131" t="s">
        <v>2058</v>
      </c>
      <c r="D6" s="132">
        <v>40100</v>
      </c>
      <c r="E6" s="130" t="s">
        <v>1251</v>
      </c>
    </row>
    <row r="7" spans="1:5">
      <c r="A7" s="130" t="s">
        <v>2017</v>
      </c>
      <c r="B7" s="130" t="s">
        <v>1250</v>
      </c>
      <c r="C7" s="131" t="s">
        <v>2059</v>
      </c>
      <c r="D7" s="132">
        <v>40100</v>
      </c>
      <c r="E7" s="130" t="s">
        <v>1252</v>
      </c>
    </row>
    <row r="8" spans="1:5">
      <c r="A8" s="130" t="s">
        <v>2017</v>
      </c>
      <c r="B8" s="130" t="s">
        <v>1253</v>
      </c>
      <c r="C8" s="131" t="s">
        <v>2059</v>
      </c>
      <c r="D8" s="132">
        <v>40361</v>
      </c>
      <c r="E8" s="130" t="s">
        <v>1254</v>
      </c>
    </row>
    <row r="9" spans="1:5">
      <c r="A9" s="130" t="s">
        <v>2017</v>
      </c>
      <c r="B9" s="130" t="s">
        <v>1255</v>
      </c>
      <c r="C9" s="131" t="s">
        <v>2061</v>
      </c>
      <c r="D9" s="132">
        <v>40361</v>
      </c>
      <c r="E9" s="130" t="s">
        <v>2324</v>
      </c>
    </row>
    <row r="10" spans="1:5">
      <c r="A10" s="130" t="s">
        <v>2017</v>
      </c>
      <c r="B10" s="130" t="s">
        <v>1253</v>
      </c>
      <c r="C10" s="131" t="s">
        <v>2061</v>
      </c>
      <c r="D10" s="132">
        <v>40675</v>
      </c>
      <c r="E10" s="130" t="s">
        <v>1254</v>
      </c>
    </row>
    <row r="11" spans="1:5">
      <c r="A11" s="130" t="s">
        <v>2017</v>
      </c>
      <c r="B11" s="130" t="s">
        <v>1255</v>
      </c>
      <c r="C11" s="131" t="s">
        <v>2325</v>
      </c>
      <c r="D11" s="132">
        <v>40675</v>
      </c>
      <c r="E11" s="130" t="s">
        <v>2326</v>
      </c>
    </row>
    <row r="12" spans="1:5">
      <c r="A12" s="130" t="s">
        <v>2017</v>
      </c>
      <c r="B12" s="130" t="s">
        <v>1253</v>
      </c>
      <c r="C12" s="131" t="s">
        <v>2325</v>
      </c>
      <c r="D12" s="132">
        <v>40854</v>
      </c>
      <c r="E12" s="130" t="s">
        <v>1254</v>
      </c>
    </row>
    <row r="13" spans="1:5">
      <c r="A13" s="130" t="s">
        <v>2017</v>
      </c>
      <c r="B13" s="130" t="s">
        <v>1255</v>
      </c>
      <c r="C13" s="131" t="s">
        <v>2065</v>
      </c>
      <c r="D13" s="132">
        <v>40854</v>
      </c>
      <c r="E13" s="130" t="s">
        <v>2327</v>
      </c>
    </row>
    <row r="14" spans="1:5">
      <c r="A14" s="130" t="s">
        <v>2017</v>
      </c>
      <c r="B14" s="130" t="s">
        <v>1253</v>
      </c>
      <c r="C14" s="131" t="s">
        <v>2065</v>
      </c>
      <c r="D14" s="132">
        <v>42723</v>
      </c>
      <c r="E14" s="130" t="s">
        <v>1254</v>
      </c>
    </row>
    <row r="15" spans="1:5">
      <c r="A15" s="130" t="s">
        <v>2017</v>
      </c>
      <c r="B15" s="130" t="s">
        <v>1256</v>
      </c>
      <c r="C15" s="131" t="s">
        <v>2058</v>
      </c>
      <c r="D15" s="132">
        <v>42993</v>
      </c>
      <c r="E15" s="130" t="s">
        <v>2328</v>
      </c>
    </row>
    <row r="16" spans="1:5">
      <c r="A16" s="314" t="s">
        <v>2747</v>
      </c>
      <c r="B16" s="314" t="s">
        <v>1250</v>
      </c>
      <c r="C16" s="315" t="s">
        <v>2060</v>
      </c>
      <c r="D16" s="316">
        <v>40150</v>
      </c>
      <c r="E16" s="314" t="s">
        <v>1252</v>
      </c>
    </row>
    <row r="17" spans="1:5">
      <c r="A17" s="314" t="s">
        <v>2747</v>
      </c>
      <c r="B17" s="314" t="s">
        <v>1256</v>
      </c>
      <c r="C17" s="315" t="s">
        <v>2060</v>
      </c>
      <c r="D17" s="316">
        <v>40905</v>
      </c>
      <c r="E17" s="314" t="s">
        <v>2876</v>
      </c>
    </row>
    <row r="18" spans="1:5">
      <c r="A18" s="130" t="s">
        <v>2027</v>
      </c>
      <c r="B18" s="130" t="s">
        <v>1250</v>
      </c>
      <c r="C18" s="131" t="s">
        <v>2060</v>
      </c>
      <c r="D18" s="132">
        <v>40330</v>
      </c>
      <c r="E18" s="130" t="s">
        <v>1251</v>
      </c>
    </row>
    <row r="19" spans="1:5">
      <c r="A19" s="130" t="s">
        <v>2027</v>
      </c>
      <c r="B19" s="130" t="s">
        <v>1250</v>
      </c>
      <c r="C19" s="131" t="s">
        <v>2061</v>
      </c>
      <c r="D19" s="132">
        <v>40330</v>
      </c>
      <c r="E19" s="130" t="s">
        <v>1252</v>
      </c>
    </row>
    <row r="20" spans="1:5">
      <c r="A20" s="130" t="s">
        <v>2027</v>
      </c>
      <c r="B20" s="130" t="s">
        <v>1253</v>
      </c>
      <c r="C20" s="131" t="s">
        <v>2061</v>
      </c>
      <c r="D20" s="132">
        <v>40664</v>
      </c>
      <c r="E20" s="130" t="s">
        <v>1254</v>
      </c>
    </row>
    <row r="21" spans="1:5">
      <c r="A21" s="130" t="s">
        <v>2027</v>
      </c>
      <c r="B21" s="130" t="s">
        <v>1255</v>
      </c>
      <c r="C21" s="131" t="s">
        <v>2325</v>
      </c>
      <c r="D21" s="132">
        <v>40664</v>
      </c>
      <c r="E21" s="130" t="s">
        <v>2326</v>
      </c>
    </row>
    <row r="22" spans="1:5">
      <c r="A22" s="130" t="s">
        <v>2027</v>
      </c>
      <c r="B22" s="130" t="s">
        <v>1253</v>
      </c>
      <c r="C22" s="131" t="s">
        <v>2325</v>
      </c>
      <c r="D22" s="132">
        <v>40848</v>
      </c>
      <c r="E22" s="130" t="s">
        <v>1254</v>
      </c>
    </row>
    <row r="23" spans="1:5">
      <c r="A23" s="130" t="s">
        <v>2027</v>
      </c>
      <c r="B23" s="130" t="s">
        <v>1255</v>
      </c>
      <c r="C23" s="131" t="s">
        <v>2065</v>
      </c>
      <c r="D23" s="132">
        <v>40848</v>
      </c>
      <c r="E23" s="130" t="s">
        <v>2327</v>
      </c>
    </row>
    <row r="24" spans="1:5">
      <c r="A24" s="130" t="s">
        <v>2027</v>
      </c>
      <c r="B24" s="130" t="s">
        <v>1253</v>
      </c>
      <c r="C24" s="131" t="s">
        <v>2065</v>
      </c>
      <c r="D24" s="132">
        <v>42723</v>
      </c>
      <c r="E24" s="130" t="s">
        <v>1254</v>
      </c>
    </row>
    <row r="25" spans="1:5">
      <c r="A25" s="130" t="s">
        <v>2027</v>
      </c>
      <c r="B25" s="130" t="s">
        <v>1256</v>
      </c>
      <c r="C25" s="131" t="s">
        <v>2060</v>
      </c>
      <c r="D25" s="132">
        <v>42993</v>
      </c>
      <c r="E25" s="130" t="s">
        <v>2328</v>
      </c>
    </row>
    <row r="26" spans="1:5">
      <c r="A26" s="130" t="s">
        <v>2028</v>
      </c>
      <c r="B26" s="130" t="s">
        <v>1250</v>
      </c>
      <c r="C26" s="131" t="s">
        <v>2060</v>
      </c>
      <c r="D26" s="132">
        <v>40330</v>
      </c>
      <c r="E26" s="130" t="s">
        <v>1251</v>
      </c>
    </row>
    <row r="27" spans="1:5">
      <c r="A27" s="130" t="s">
        <v>2028</v>
      </c>
      <c r="B27" s="130" t="s">
        <v>1250</v>
      </c>
      <c r="C27" s="131" t="s">
        <v>2061</v>
      </c>
      <c r="D27" s="132">
        <v>40330</v>
      </c>
      <c r="E27" s="130" t="s">
        <v>1252</v>
      </c>
    </row>
    <row r="28" spans="1:5">
      <c r="A28" s="130" t="s">
        <v>2028</v>
      </c>
      <c r="B28" s="130" t="s">
        <v>1253</v>
      </c>
      <c r="C28" s="131" t="s">
        <v>2061</v>
      </c>
      <c r="D28" s="132">
        <v>40664</v>
      </c>
      <c r="E28" s="130" t="s">
        <v>1254</v>
      </c>
    </row>
    <row r="29" spans="1:5">
      <c r="A29" s="130" t="s">
        <v>2028</v>
      </c>
      <c r="B29" s="130" t="s">
        <v>1255</v>
      </c>
      <c r="C29" s="131" t="s">
        <v>2325</v>
      </c>
      <c r="D29" s="132">
        <v>40664</v>
      </c>
      <c r="E29" s="130" t="s">
        <v>2326</v>
      </c>
    </row>
    <row r="30" spans="1:5">
      <c r="A30" s="130" t="s">
        <v>2028</v>
      </c>
      <c r="B30" s="130" t="s">
        <v>1253</v>
      </c>
      <c r="C30" s="131" t="s">
        <v>2325</v>
      </c>
      <c r="D30" s="132">
        <v>40848</v>
      </c>
      <c r="E30" s="130" t="s">
        <v>1254</v>
      </c>
    </row>
    <row r="31" spans="1:5">
      <c r="A31" s="130" t="s">
        <v>2028</v>
      </c>
      <c r="B31" s="130" t="s">
        <v>1255</v>
      </c>
      <c r="C31" s="131" t="s">
        <v>2065</v>
      </c>
      <c r="D31" s="132">
        <v>40848</v>
      </c>
      <c r="E31" s="130" t="s">
        <v>2327</v>
      </c>
    </row>
    <row r="32" spans="1:5">
      <c r="A32" s="130" t="s">
        <v>2028</v>
      </c>
      <c r="B32" s="130" t="s">
        <v>1253</v>
      </c>
      <c r="C32" s="131" t="s">
        <v>2065</v>
      </c>
      <c r="D32" s="132">
        <v>42723</v>
      </c>
      <c r="E32" s="130" t="s">
        <v>1254</v>
      </c>
    </row>
    <row r="33" spans="1:5">
      <c r="A33" s="130" t="s">
        <v>2028</v>
      </c>
      <c r="B33" s="130" t="s">
        <v>1256</v>
      </c>
      <c r="C33" s="131" t="s">
        <v>2060</v>
      </c>
      <c r="D33" s="132">
        <v>42993</v>
      </c>
      <c r="E33" s="130" t="s">
        <v>2328</v>
      </c>
    </row>
    <row r="34" spans="1:5">
      <c r="A34" s="130" t="s">
        <v>2018</v>
      </c>
      <c r="B34" s="130" t="s">
        <v>1250</v>
      </c>
      <c r="C34" s="131" t="s">
        <v>2060</v>
      </c>
      <c r="D34" s="132">
        <v>40359</v>
      </c>
      <c r="E34" s="130" t="s">
        <v>1251</v>
      </c>
    </row>
    <row r="35" spans="1:5">
      <c r="A35" s="130" t="s">
        <v>2018</v>
      </c>
      <c r="B35" s="130" t="s">
        <v>1250</v>
      </c>
      <c r="C35" s="131" t="s">
        <v>2058</v>
      </c>
      <c r="D35" s="132">
        <v>40359</v>
      </c>
      <c r="E35" s="130" t="s">
        <v>1252</v>
      </c>
    </row>
    <row r="36" spans="1:5">
      <c r="A36" s="130" t="s">
        <v>2018</v>
      </c>
      <c r="B36" s="130" t="s">
        <v>1256</v>
      </c>
      <c r="C36" s="131" t="s">
        <v>2060</v>
      </c>
      <c r="D36" s="132">
        <v>42993</v>
      </c>
      <c r="E36" s="130" t="s">
        <v>2328</v>
      </c>
    </row>
    <row r="37" spans="1:5">
      <c r="A37" s="130" t="s">
        <v>2018</v>
      </c>
      <c r="B37" s="130" t="s">
        <v>1256</v>
      </c>
      <c r="C37" s="131" t="s">
        <v>2058</v>
      </c>
      <c r="D37" s="132">
        <v>42993</v>
      </c>
      <c r="E37" s="130" t="s">
        <v>2328</v>
      </c>
    </row>
    <row r="38" spans="1:5">
      <c r="A38" s="130" t="s">
        <v>2911</v>
      </c>
      <c r="B38" s="130" t="s">
        <v>1250</v>
      </c>
      <c r="C38" s="131" t="s">
        <v>2062</v>
      </c>
      <c r="D38" s="132">
        <v>40400</v>
      </c>
      <c r="E38" s="130" t="s">
        <v>1251</v>
      </c>
    </row>
    <row r="39" spans="1:5">
      <c r="A39" s="130" t="s">
        <v>2911</v>
      </c>
      <c r="B39" s="130" t="s">
        <v>1250</v>
      </c>
      <c r="C39" s="131" t="s">
        <v>2060</v>
      </c>
      <c r="D39" s="132">
        <v>40400</v>
      </c>
      <c r="E39" s="130" t="s">
        <v>1252</v>
      </c>
    </row>
    <row r="40" spans="1:5">
      <c r="A40" s="130" t="s">
        <v>2911</v>
      </c>
      <c r="B40" s="130" t="s">
        <v>1250</v>
      </c>
      <c r="C40" s="131" t="s">
        <v>2058</v>
      </c>
      <c r="D40" s="132">
        <v>40400</v>
      </c>
      <c r="E40" s="130" t="s">
        <v>1252</v>
      </c>
    </row>
    <row r="41" spans="1:5">
      <c r="A41" s="130" t="s">
        <v>2911</v>
      </c>
      <c r="B41" s="130" t="s">
        <v>1256</v>
      </c>
      <c r="C41" s="131" t="s">
        <v>2062</v>
      </c>
      <c r="D41" s="132">
        <v>42965</v>
      </c>
      <c r="E41" s="130" t="s">
        <v>2666</v>
      </c>
    </row>
    <row r="42" spans="1:5">
      <c r="A42" s="130" t="s">
        <v>2911</v>
      </c>
      <c r="B42" s="130" t="s">
        <v>1256</v>
      </c>
      <c r="C42" s="131" t="s">
        <v>2060</v>
      </c>
      <c r="D42" s="132">
        <v>42965</v>
      </c>
      <c r="E42" s="130" t="s">
        <v>2667</v>
      </c>
    </row>
    <row r="43" spans="1:5">
      <c r="A43" s="130" t="s">
        <v>2911</v>
      </c>
      <c r="B43" s="130" t="s">
        <v>1256</v>
      </c>
      <c r="C43" s="131" t="s">
        <v>2058</v>
      </c>
      <c r="D43" s="132">
        <v>42965</v>
      </c>
      <c r="E43" s="130" t="s">
        <v>2667</v>
      </c>
    </row>
    <row r="44" spans="1:5" s="384" customFormat="1">
      <c r="A44" s="381" t="s">
        <v>2019</v>
      </c>
      <c r="B44" s="381" t="s">
        <v>1250</v>
      </c>
      <c r="C44" s="382" t="s">
        <v>2063</v>
      </c>
      <c r="D44" s="383">
        <v>40429</v>
      </c>
      <c r="E44" s="381" t="s">
        <v>1251</v>
      </c>
    </row>
    <row r="45" spans="1:5" s="384" customFormat="1">
      <c r="A45" s="381" t="s">
        <v>2019</v>
      </c>
      <c r="B45" s="381" t="s">
        <v>1250</v>
      </c>
      <c r="C45" s="382" t="s">
        <v>2986</v>
      </c>
      <c r="D45" s="383">
        <v>40429</v>
      </c>
      <c r="E45" s="381" t="s">
        <v>1251</v>
      </c>
    </row>
    <row r="46" spans="1:5" s="384" customFormat="1">
      <c r="A46" s="381" t="s">
        <v>2019</v>
      </c>
      <c r="B46" s="381" t="s">
        <v>1250</v>
      </c>
      <c r="C46" s="382" t="s">
        <v>2062</v>
      </c>
      <c r="D46" s="383">
        <v>40429</v>
      </c>
      <c r="E46" s="381" t="s">
        <v>1252</v>
      </c>
    </row>
    <row r="47" spans="1:5" s="384" customFormat="1">
      <c r="A47" s="381" t="s">
        <v>2019</v>
      </c>
      <c r="B47" s="381" t="s">
        <v>1250</v>
      </c>
      <c r="C47" s="382" t="s">
        <v>2060</v>
      </c>
      <c r="D47" s="383">
        <v>40429</v>
      </c>
      <c r="E47" s="381" t="s">
        <v>1252</v>
      </c>
    </row>
    <row r="48" spans="1:5" s="384" customFormat="1">
      <c r="A48" s="381" t="s">
        <v>2019</v>
      </c>
      <c r="B48" s="381" t="s">
        <v>1250</v>
      </c>
      <c r="C48" s="382" t="s">
        <v>2058</v>
      </c>
      <c r="D48" s="383">
        <v>40429</v>
      </c>
      <c r="E48" s="381" t="s">
        <v>1252</v>
      </c>
    </row>
    <row r="49" spans="1:5" s="384" customFormat="1">
      <c r="A49" s="381" t="s">
        <v>2019</v>
      </c>
      <c r="B49" s="381" t="s">
        <v>137</v>
      </c>
      <c r="C49" s="382" t="s">
        <v>2063</v>
      </c>
      <c r="D49" s="383">
        <v>41835</v>
      </c>
      <c r="E49" s="381" t="s">
        <v>2329</v>
      </c>
    </row>
    <row r="50" spans="1:5" s="384" customFormat="1">
      <c r="A50" s="381" t="s">
        <v>2019</v>
      </c>
      <c r="B50" s="381" t="s">
        <v>137</v>
      </c>
      <c r="C50" s="382" t="s">
        <v>2062</v>
      </c>
      <c r="D50" s="383">
        <v>41835</v>
      </c>
      <c r="E50" s="381" t="s">
        <v>2330</v>
      </c>
    </row>
    <row r="51" spans="1:5" s="384" customFormat="1">
      <c r="A51" s="381" t="s">
        <v>2019</v>
      </c>
      <c r="B51" s="381" t="s">
        <v>1253</v>
      </c>
      <c r="C51" s="382" t="s">
        <v>2986</v>
      </c>
      <c r="D51" s="383">
        <v>41992</v>
      </c>
      <c r="E51" s="381" t="s">
        <v>3015</v>
      </c>
    </row>
    <row r="52" spans="1:5" s="384" customFormat="1">
      <c r="A52" s="381" t="s">
        <v>2019</v>
      </c>
      <c r="B52" s="381" t="s">
        <v>1256</v>
      </c>
      <c r="C52" s="382" t="s">
        <v>2062</v>
      </c>
      <c r="D52" s="383">
        <v>42993</v>
      </c>
      <c r="E52" s="381" t="s">
        <v>2328</v>
      </c>
    </row>
    <row r="53" spans="1:5" s="384" customFormat="1">
      <c r="A53" s="381" t="s">
        <v>2019</v>
      </c>
      <c r="B53" s="381" t="s">
        <v>1256</v>
      </c>
      <c r="C53" s="382" t="s">
        <v>2060</v>
      </c>
      <c r="D53" s="383">
        <v>42993</v>
      </c>
      <c r="E53" s="381" t="s">
        <v>2328</v>
      </c>
    </row>
    <row r="54" spans="1:5" s="384" customFormat="1">
      <c r="A54" s="381" t="s">
        <v>2019</v>
      </c>
      <c r="B54" s="381" t="s">
        <v>1256</v>
      </c>
      <c r="C54" s="382" t="s">
        <v>2058</v>
      </c>
      <c r="D54" s="383">
        <v>42993</v>
      </c>
      <c r="E54" s="381" t="s">
        <v>2328</v>
      </c>
    </row>
    <row r="55" spans="1:5">
      <c r="A55" s="314" t="s">
        <v>2751</v>
      </c>
      <c r="B55" s="314" t="s">
        <v>1250</v>
      </c>
      <c r="C55" s="315" t="s">
        <v>2754</v>
      </c>
      <c r="D55" s="316">
        <v>40434</v>
      </c>
      <c r="E55" s="314" t="s">
        <v>1252</v>
      </c>
    </row>
    <row r="56" spans="1:5">
      <c r="A56" s="314" t="s">
        <v>2751</v>
      </c>
      <c r="B56" s="314" t="s">
        <v>1253</v>
      </c>
      <c r="C56" s="315" t="s">
        <v>2754</v>
      </c>
      <c r="D56" s="316">
        <v>40694</v>
      </c>
      <c r="E56" s="314" t="s">
        <v>1254</v>
      </c>
    </row>
    <row r="57" spans="1:5">
      <c r="A57" s="314" t="s">
        <v>2751</v>
      </c>
      <c r="B57" s="314" t="s">
        <v>1255</v>
      </c>
      <c r="C57" s="315" t="s">
        <v>2062</v>
      </c>
      <c r="D57" s="316">
        <v>40695</v>
      </c>
      <c r="E57" s="314" t="s">
        <v>2877</v>
      </c>
    </row>
    <row r="58" spans="1:5">
      <c r="A58" s="314" t="s">
        <v>2751</v>
      </c>
      <c r="B58" s="314" t="s">
        <v>1256</v>
      </c>
      <c r="C58" s="315" t="s">
        <v>2062</v>
      </c>
      <c r="D58" s="316">
        <v>42993</v>
      </c>
      <c r="E58" s="314" t="s">
        <v>2328</v>
      </c>
    </row>
    <row r="59" spans="1:5">
      <c r="A59" s="314" t="s">
        <v>2758</v>
      </c>
      <c r="B59" s="314" t="s">
        <v>1250</v>
      </c>
      <c r="C59" s="315" t="s">
        <v>2061</v>
      </c>
      <c r="D59" s="316">
        <v>40521</v>
      </c>
      <c r="E59" s="314" t="s">
        <v>1252</v>
      </c>
    </row>
    <row r="60" spans="1:5">
      <c r="A60" s="314" t="s">
        <v>2758</v>
      </c>
      <c r="B60" s="314" t="s">
        <v>1253</v>
      </c>
      <c r="C60" s="315" t="s">
        <v>2061</v>
      </c>
      <c r="D60" s="316">
        <v>40663</v>
      </c>
      <c r="E60" s="314" t="s">
        <v>1254</v>
      </c>
    </row>
    <row r="61" spans="1:5">
      <c r="A61" s="314" t="s">
        <v>2758</v>
      </c>
      <c r="B61" s="314" t="s">
        <v>1255</v>
      </c>
      <c r="C61" s="315" t="s">
        <v>2331</v>
      </c>
      <c r="D61" s="316">
        <v>40664</v>
      </c>
      <c r="E61" s="314" t="s">
        <v>2877</v>
      </c>
    </row>
    <row r="62" spans="1:5">
      <c r="A62" s="314" t="s">
        <v>2758</v>
      </c>
      <c r="B62" s="314" t="s">
        <v>1253</v>
      </c>
      <c r="C62" s="315" t="s">
        <v>2331</v>
      </c>
      <c r="D62" s="316">
        <v>42243</v>
      </c>
      <c r="E62" s="314" t="s">
        <v>1254</v>
      </c>
    </row>
    <row r="63" spans="1:5">
      <c r="A63" s="314" t="s">
        <v>2758</v>
      </c>
      <c r="B63" s="314" t="s">
        <v>1255</v>
      </c>
      <c r="C63" s="315" t="s">
        <v>2292</v>
      </c>
      <c r="D63" s="316">
        <v>42244</v>
      </c>
      <c r="E63" s="314" t="s">
        <v>2877</v>
      </c>
    </row>
    <row r="64" spans="1:5">
      <c r="A64" s="314" t="s">
        <v>2758</v>
      </c>
      <c r="B64" s="314" t="s">
        <v>1256</v>
      </c>
      <c r="C64" s="315" t="s">
        <v>2292</v>
      </c>
      <c r="D64" s="316">
        <v>42993</v>
      </c>
      <c r="E64" s="314" t="s">
        <v>2328</v>
      </c>
    </row>
    <row r="65" spans="1:5">
      <c r="A65" s="130" t="s">
        <v>2020</v>
      </c>
      <c r="B65" s="130" t="s">
        <v>1250</v>
      </c>
      <c r="C65" s="131" t="s">
        <v>2062</v>
      </c>
      <c r="D65" s="132">
        <v>40872</v>
      </c>
      <c r="E65" s="130" t="s">
        <v>1251</v>
      </c>
    </row>
    <row r="66" spans="1:5">
      <c r="A66" s="130" t="s">
        <v>2020</v>
      </c>
      <c r="B66" s="130" t="s">
        <v>1250</v>
      </c>
      <c r="C66" s="131" t="s">
        <v>2060</v>
      </c>
      <c r="D66" s="132">
        <v>40872</v>
      </c>
      <c r="E66" s="130" t="s">
        <v>1252</v>
      </c>
    </row>
    <row r="67" spans="1:5">
      <c r="A67" s="130" t="s">
        <v>2020</v>
      </c>
      <c r="B67" s="130" t="s">
        <v>1250</v>
      </c>
      <c r="C67" s="131" t="s">
        <v>2058</v>
      </c>
      <c r="D67" s="132">
        <v>40872</v>
      </c>
      <c r="E67" s="130" t="s">
        <v>1252</v>
      </c>
    </row>
    <row r="68" spans="1:5">
      <c r="A68" s="130" t="s">
        <v>2020</v>
      </c>
      <c r="B68" s="130" t="s">
        <v>1256</v>
      </c>
      <c r="C68" s="131" t="s">
        <v>2062</v>
      </c>
      <c r="D68" s="132">
        <v>42993</v>
      </c>
      <c r="E68" s="130" t="s">
        <v>2328</v>
      </c>
    </row>
    <row r="69" spans="1:5">
      <c r="A69" s="130" t="s">
        <v>2020</v>
      </c>
      <c r="B69" s="130" t="s">
        <v>1256</v>
      </c>
      <c r="C69" s="131" t="s">
        <v>2060</v>
      </c>
      <c r="D69" s="132">
        <v>42993</v>
      </c>
      <c r="E69" s="130" t="s">
        <v>2328</v>
      </c>
    </row>
    <row r="70" spans="1:5">
      <c r="A70" s="130" t="s">
        <v>2020</v>
      </c>
      <c r="B70" s="130" t="s">
        <v>1256</v>
      </c>
      <c r="C70" s="131" t="s">
        <v>2058</v>
      </c>
      <c r="D70" s="132">
        <v>42993</v>
      </c>
      <c r="E70" s="130" t="s">
        <v>2328</v>
      </c>
    </row>
    <row r="71" spans="1:5">
      <c r="A71" s="314" t="s">
        <v>2761</v>
      </c>
      <c r="B71" s="314" t="s">
        <v>1250</v>
      </c>
      <c r="C71" s="315" t="s">
        <v>2058</v>
      </c>
      <c r="D71" s="316">
        <v>40875</v>
      </c>
      <c r="E71" s="314" t="s">
        <v>1252</v>
      </c>
    </row>
    <row r="72" spans="1:5">
      <c r="A72" s="314" t="s">
        <v>2761</v>
      </c>
      <c r="B72" s="314" t="s">
        <v>1256</v>
      </c>
      <c r="C72" s="315" t="s">
        <v>2058</v>
      </c>
      <c r="D72" s="316">
        <v>42993</v>
      </c>
      <c r="E72" s="314" t="s">
        <v>2328</v>
      </c>
    </row>
    <row r="73" spans="1:5">
      <c r="A73" s="314" t="s">
        <v>2765</v>
      </c>
      <c r="B73" s="314" t="s">
        <v>1250</v>
      </c>
      <c r="C73" s="315" t="s">
        <v>2058</v>
      </c>
      <c r="D73" s="316">
        <v>41025</v>
      </c>
      <c r="E73" s="314" t="s">
        <v>1252</v>
      </c>
    </row>
    <row r="74" spans="1:5">
      <c r="A74" s="314" t="s">
        <v>2765</v>
      </c>
      <c r="B74" s="314" t="s">
        <v>1250</v>
      </c>
      <c r="C74" s="315" t="s">
        <v>2062</v>
      </c>
      <c r="D74" s="316">
        <v>41025</v>
      </c>
      <c r="E74" s="314" t="s">
        <v>1252</v>
      </c>
    </row>
    <row r="75" spans="1:5">
      <c r="A75" s="314" t="s">
        <v>2765</v>
      </c>
      <c r="B75" s="314" t="s">
        <v>1256</v>
      </c>
      <c r="C75" s="315" t="s">
        <v>2058</v>
      </c>
      <c r="D75" s="316">
        <v>42993</v>
      </c>
      <c r="E75" s="314" t="s">
        <v>2328</v>
      </c>
    </row>
    <row r="76" spans="1:5">
      <c r="A76" s="314" t="s">
        <v>2765</v>
      </c>
      <c r="B76" s="314" t="s">
        <v>1256</v>
      </c>
      <c r="C76" s="315" t="s">
        <v>2062</v>
      </c>
      <c r="D76" s="316">
        <v>42993</v>
      </c>
      <c r="E76" s="314" t="s">
        <v>2328</v>
      </c>
    </row>
    <row r="77" spans="1:5">
      <c r="A77" s="314" t="s">
        <v>2689</v>
      </c>
      <c r="B77" s="314" t="s">
        <v>1250</v>
      </c>
      <c r="C77" s="315" t="s">
        <v>2065</v>
      </c>
      <c r="D77" s="316">
        <v>41439</v>
      </c>
      <c r="E77" s="314" t="s">
        <v>1252</v>
      </c>
    </row>
    <row r="78" spans="1:5">
      <c r="A78" s="314" t="s">
        <v>2689</v>
      </c>
      <c r="B78" s="314" t="s">
        <v>1253</v>
      </c>
      <c r="C78" s="315" t="s">
        <v>2065</v>
      </c>
      <c r="D78" s="316">
        <v>42551</v>
      </c>
      <c r="E78" s="314" t="s">
        <v>2879</v>
      </c>
    </row>
    <row r="79" spans="1:5">
      <c r="A79" s="314" t="s">
        <v>2689</v>
      </c>
      <c r="B79" s="314" t="s">
        <v>1255</v>
      </c>
      <c r="C79" s="315" t="s">
        <v>2701</v>
      </c>
      <c r="D79" s="316">
        <v>42551</v>
      </c>
      <c r="E79" s="314" t="s">
        <v>2879</v>
      </c>
    </row>
    <row r="80" spans="1:5">
      <c r="A80" s="314" t="s">
        <v>2689</v>
      </c>
      <c r="B80" s="314" t="s">
        <v>1256</v>
      </c>
      <c r="C80" s="315" t="s">
        <v>2701</v>
      </c>
      <c r="D80" s="316">
        <v>42993</v>
      </c>
      <c r="E80" s="314" t="s">
        <v>2328</v>
      </c>
    </row>
    <row r="81" spans="1:5">
      <c r="A81" s="130" t="s">
        <v>2021</v>
      </c>
      <c r="B81" s="130" t="s">
        <v>1250</v>
      </c>
      <c r="C81" s="131" t="s">
        <v>2064</v>
      </c>
      <c r="D81" s="132">
        <v>41528</v>
      </c>
      <c r="E81" s="130" t="s">
        <v>1251</v>
      </c>
    </row>
    <row r="82" spans="1:5">
      <c r="A82" s="130" t="s">
        <v>2021</v>
      </c>
      <c r="B82" s="130" t="s">
        <v>1250</v>
      </c>
      <c r="C82" s="131" t="s">
        <v>2062</v>
      </c>
      <c r="D82" s="132">
        <v>41528</v>
      </c>
      <c r="E82" s="130" t="s">
        <v>1252</v>
      </c>
    </row>
    <row r="83" spans="1:5">
      <c r="A83" s="130" t="s">
        <v>2021</v>
      </c>
      <c r="B83" s="130" t="s">
        <v>1250</v>
      </c>
      <c r="C83" s="131" t="s">
        <v>2058</v>
      </c>
      <c r="D83" s="132">
        <v>41528</v>
      </c>
      <c r="E83" s="130" t="s">
        <v>1252</v>
      </c>
    </row>
    <row r="84" spans="1:5">
      <c r="A84" s="130" t="s">
        <v>2021</v>
      </c>
      <c r="B84" s="130" t="s">
        <v>1250</v>
      </c>
      <c r="C84" s="131" t="s">
        <v>2065</v>
      </c>
      <c r="D84" s="132">
        <v>41528</v>
      </c>
      <c r="E84" s="130" t="s">
        <v>1252</v>
      </c>
    </row>
    <row r="85" spans="1:5">
      <c r="A85" s="130" t="s">
        <v>2021</v>
      </c>
      <c r="B85" s="130" t="s">
        <v>1250</v>
      </c>
      <c r="C85" s="131" t="s">
        <v>2331</v>
      </c>
      <c r="D85" s="132">
        <v>41528</v>
      </c>
      <c r="E85" s="130" t="s">
        <v>1252</v>
      </c>
    </row>
    <row r="86" spans="1:5">
      <c r="A86" s="130" t="s">
        <v>2021</v>
      </c>
      <c r="B86" s="130" t="s">
        <v>1250</v>
      </c>
      <c r="C86" s="131" t="s">
        <v>2205</v>
      </c>
      <c r="D86" s="132">
        <v>41528</v>
      </c>
      <c r="E86" s="130" t="s">
        <v>1252</v>
      </c>
    </row>
    <row r="87" spans="1:5">
      <c r="A87" s="130" t="s">
        <v>2021</v>
      </c>
      <c r="B87" s="130" t="s">
        <v>1250</v>
      </c>
      <c r="C87" s="131" t="s">
        <v>2070</v>
      </c>
      <c r="D87" s="132">
        <v>41528</v>
      </c>
      <c r="E87" s="130" t="s">
        <v>1252</v>
      </c>
    </row>
    <row r="88" spans="1:5">
      <c r="A88" s="130" t="s">
        <v>2021</v>
      </c>
      <c r="B88" s="130" t="s">
        <v>1253</v>
      </c>
      <c r="C88" s="131" t="s">
        <v>2064</v>
      </c>
      <c r="D88" s="132">
        <v>42202</v>
      </c>
      <c r="E88" s="130" t="s">
        <v>1254</v>
      </c>
    </row>
    <row r="89" spans="1:5">
      <c r="A89" s="130" t="s">
        <v>2021</v>
      </c>
      <c r="B89" s="130" t="s">
        <v>1253</v>
      </c>
      <c r="C89" s="131" t="s">
        <v>2331</v>
      </c>
      <c r="D89" s="132">
        <v>42202</v>
      </c>
      <c r="E89" s="130" t="s">
        <v>1254</v>
      </c>
    </row>
    <row r="90" spans="1:5">
      <c r="A90" s="130" t="s">
        <v>2021</v>
      </c>
      <c r="B90" s="130" t="s">
        <v>1253</v>
      </c>
      <c r="C90" s="131" t="s">
        <v>2205</v>
      </c>
      <c r="D90" s="132">
        <v>42202</v>
      </c>
      <c r="E90" s="130" t="s">
        <v>1254</v>
      </c>
    </row>
    <row r="91" spans="1:5">
      <c r="A91" s="130" t="s">
        <v>2021</v>
      </c>
      <c r="B91" s="130" t="s">
        <v>1255</v>
      </c>
      <c r="C91" s="131" t="s">
        <v>2060</v>
      </c>
      <c r="D91" s="132">
        <v>42202</v>
      </c>
      <c r="E91" s="130" t="s">
        <v>2332</v>
      </c>
    </row>
    <row r="92" spans="1:5">
      <c r="A92" s="130" t="s">
        <v>2021</v>
      </c>
      <c r="B92" s="130" t="s">
        <v>1253</v>
      </c>
      <c r="C92" s="131" t="s">
        <v>2065</v>
      </c>
      <c r="D92" s="132">
        <v>42723</v>
      </c>
      <c r="E92" s="130" t="s">
        <v>1254</v>
      </c>
    </row>
    <row r="93" spans="1:5">
      <c r="A93" s="130" t="s">
        <v>2021</v>
      </c>
      <c r="B93" s="130" t="s">
        <v>1256</v>
      </c>
      <c r="C93" s="131" t="s">
        <v>2060</v>
      </c>
      <c r="D93" s="132">
        <v>42993</v>
      </c>
      <c r="E93" s="130" t="s">
        <v>2328</v>
      </c>
    </row>
    <row r="94" spans="1:5">
      <c r="A94" s="130" t="s">
        <v>2021</v>
      </c>
      <c r="B94" s="130" t="s">
        <v>1256</v>
      </c>
      <c r="C94" s="131" t="s">
        <v>2062</v>
      </c>
      <c r="D94" s="132">
        <v>42993</v>
      </c>
      <c r="E94" s="130" t="s">
        <v>2328</v>
      </c>
    </row>
    <row r="95" spans="1:5">
      <c r="A95" s="130" t="s">
        <v>2021</v>
      </c>
      <c r="B95" s="130" t="s">
        <v>1256</v>
      </c>
      <c r="C95" s="131" t="s">
        <v>2058</v>
      </c>
      <c r="D95" s="132">
        <v>42993</v>
      </c>
      <c r="E95" s="130" t="s">
        <v>2328</v>
      </c>
    </row>
    <row r="96" spans="1:5">
      <c r="A96" s="130" t="s">
        <v>2021</v>
      </c>
      <c r="B96" s="130" t="s">
        <v>1256</v>
      </c>
      <c r="C96" s="131" t="s">
        <v>2070</v>
      </c>
      <c r="D96" s="132">
        <v>42993</v>
      </c>
      <c r="E96" s="130" t="s">
        <v>2328</v>
      </c>
    </row>
    <row r="97" spans="1:5">
      <c r="A97" s="314" t="s">
        <v>2694</v>
      </c>
      <c r="B97" s="314" t="s">
        <v>1250</v>
      </c>
      <c r="C97" s="315" t="s">
        <v>2065</v>
      </c>
      <c r="D97" s="316">
        <v>41599</v>
      </c>
      <c r="E97" s="314" t="s">
        <v>1252</v>
      </c>
    </row>
    <row r="98" spans="1:5">
      <c r="A98" s="314" t="s">
        <v>2694</v>
      </c>
      <c r="B98" s="314" t="s">
        <v>1256</v>
      </c>
      <c r="C98" s="315" t="s">
        <v>2065</v>
      </c>
      <c r="D98" s="316">
        <v>42538</v>
      </c>
      <c r="E98" s="314" t="s">
        <v>2878</v>
      </c>
    </row>
    <row r="99" spans="1:5">
      <c r="A99" s="314" t="s">
        <v>2698</v>
      </c>
      <c r="B99" s="314" t="s">
        <v>1250</v>
      </c>
      <c r="C99" s="315" t="s">
        <v>2065</v>
      </c>
      <c r="D99" s="316">
        <v>41603</v>
      </c>
      <c r="E99" s="314" t="s">
        <v>1252</v>
      </c>
    </row>
    <row r="100" spans="1:5">
      <c r="A100" s="314" t="s">
        <v>2698</v>
      </c>
      <c r="B100" s="314" t="s">
        <v>1256</v>
      </c>
      <c r="C100" s="315" t="s">
        <v>2065</v>
      </c>
      <c r="D100" s="316">
        <v>42545</v>
      </c>
      <c r="E100" s="314" t="s">
        <v>2878</v>
      </c>
    </row>
    <row r="101" spans="1:5">
      <c r="A101" s="130" t="s">
        <v>2022</v>
      </c>
      <c r="B101" s="130" t="s">
        <v>1250</v>
      </c>
      <c r="C101" s="131" t="s">
        <v>2058</v>
      </c>
      <c r="D101" s="132">
        <v>41696</v>
      </c>
      <c r="E101" s="130" t="s">
        <v>1251</v>
      </c>
    </row>
    <row r="102" spans="1:5">
      <c r="A102" s="130" t="s">
        <v>2022</v>
      </c>
      <c r="B102" s="130" t="s">
        <v>1250</v>
      </c>
      <c r="C102" s="131" t="s">
        <v>2065</v>
      </c>
      <c r="D102" s="132">
        <v>41696</v>
      </c>
      <c r="E102" s="130" t="s">
        <v>1252</v>
      </c>
    </row>
    <row r="103" spans="1:5">
      <c r="A103" s="130" t="s">
        <v>2022</v>
      </c>
      <c r="B103" s="130" t="s">
        <v>1250</v>
      </c>
      <c r="C103" s="131" t="s">
        <v>2066</v>
      </c>
      <c r="D103" s="132">
        <v>41696</v>
      </c>
      <c r="E103" s="130" t="s">
        <v>1252</v>
      </c>
    </row>
    <row r="104" spans="1:5">
      <c r="A104" s="130" t="s">
        <v>2022</v>
      </c>
      <c r="B104" s="130" t="s">
        <v>1250</v>
      </c>
      <c r="C104" s="131" t="s">
        <v>2205</v>
      </c>
      <c r="D104" s="132">
        <v>41696</v>
      </c>
      <c r="E104" s="130" t="s">
        <v>1252</v>
      </c>
    </row>
    <row r="105" spans="1:5">
      <c r="A105" s="130" t="s">
        <v>2022</v>
      </c>
      <c r="B105" s="130" t="s">
        <v>1253</v>
      </c>
      <c r="C105" s="131" t="s">
        <v>2205</v>
      </c>
      <c r="D105" s="132">
        <v>42202</v>
      </c>
      <c r="E105" s="130" t="s">
        <v>1254</v>
      </c>
    </row>
    <row r="106" spans="1:5">
      <c r="A106" s="130" t="s">
        <v>2022</v>
      </c>
      <c r="B106" s="130" t="s">
        <v>1255</v>
      </c>
      <c r="C106" s="131" t="s">
        <v>2069</v>
      </c>
      <c r="D106" s="132">
        <v>42202</v>
      </c>
      <c r="E106" s="130" t="s">
        <v>2333</v>
      </c>
    </row>
    <row r="107" spans="1:5">
      <c r="A107" s="130" t="s">
        <v>2022</v>
      </c>
      <c r="B107" s="130" t="s">
        <v>1253</v>
      </c>
      <c r="C107" s="131" t="s">
        <v>2065</v>
      </c>
      <c r="D107" s="132">
        <v>42723</v>
      </c>
      <c r="E107" s="130" t="s">
        <v>1254</v>
      </c>
    </row>
    <row r="108" spans="1:5">
      <c r="A108" s="130" t="s">
        <v>2022</v>
      </c>
      <c r="B108" s="130" t="s">
        <v>1255</v>
      </c>
      <c r="C108" s="131" t="s">
        <v>2067</v>
      </c>
      <c r="D108" s="132">
        <v>42723</v>
      </c>
      <c r="E108" s="130" t="s">
        <v>2334</v>
      </c>
    </row>
    <row r="109" spans="1:5">
      <c r="A109" s="130" t="s">
        <v>2022</v>
      </c>
      <c r="B109" s="130" t="s">
        <v>1256</v>
      </c>
      <c r="C109" s="131" t="s">
        <v>2058</v>
      </c>
      <c r="D109" s="132">
        <v>42993</v>
      </c>
      <c r="E109" s="130" t="s">
        <v>2328</v>
      </c>
    </row>
    <row r="110" spans="1:5">
      <c r="A110" s="130" t="s">
        <v>2022</v>
      </c>
      <c r="B110" s="130" t="s">
        <v>1256</v>
      </c>
      <c r="C110" s="131" t="s">
        <v>2066</v>
      </c>
      <c r="D110" s="132">
        <v>42993</v>
      </c>
      <c r="E110" s="130" t="s">
        <v>2328</v>
      </c>
    </row>
    <row r="111" spans="1:5">
      <c r="A111" s="130" t="s">
        <v>2022</v>
      </c>
      <c r="B111" s="130" t="s">
        <v>1256</v>
      </c>
      <c r="C111" s="131" t="s">
        <v>2069</v>
      </c>
      <c r="D111" s="132">
        <v>42993</v>
      </c>
      <c r="E111" s="130" t="s">
        <v>2328</v>
      </c>
    </row>
    <row r="112" spans="1:5">
      <c r="A112" s="130" t="s">
        <v>2022</v>
      </c>
      <c r="B112" s="130" t="s">
        <v>1256</v>
      </c>
      <c r="C112" s="131" t="s">
        <v>2067</v>
      </c>
      <c r="D112" s="132">
        <v>42993</v>
      </c>
      <c r="E112" s="130" t="s">
        <v>2328</v>
      </c>
    </row>
    <row r="113" spans="1:5">
      <c r="A113" s="130" t="s">
        <v>2023</v>
      </c>
      <c r="B113" s="130" t="s">
        <v>1250</v>
      </c>
      <c r="C113" s="131" t="s">
        <v>2068</v>
      </c>
      <c r="D113" s="132">
        <v>41702</v>
      </c>
      <c r="E113" s="130" t="s">
        <v>1251</v>
      </c>
    </row>
    <row r="114" spans="1:5">
      <c r="A114" s="130" t="s">
        <v>2023</v>
      </c>
      <c r="B114" s="130" t="s">
        <v>1256</v>
      </c>
      <c r="C114" s="131" t="s">
        <v>2068</v>
      </c>
      <c r="D114" s="132">
        <v>42993</v>
      </c>
      <c r="E114" s="130" t="s">
        <v>2328</v>
      </c>
    </row>
    <row r="115" spans="1:5">
      <c r="A115" s="314" t="s">
        <v>2705</v>
      </c>
      <c r="B115" s="314" t="s">
        <v>1250</v>
      </c>
      <c r="C115" s="315" t="s">
        <v>2068</v>
      </c>
      <c r="D115" s="316">
        <v>41793</v>
      </c>
      <c r="E115" s="314" t="s">
        <v>1252</v>
      </c>
    </row>
    <row r="116" spans="1:5">
      <c r="A116" s="314" t="s">
        <v>2705</v>
      </c>
      <c r="B116" s="314" t="s">
        <v>1256</v>
      </c>
      <c r="C116" s="315" t="s">
        <v>2068</v>
      </c>
      <c r="D116" s="316">
        <v>42993</v>
      </c>
      <c r="E116" s="314" t="s">
        <v>2328</v>
      </c>
    </row>
    <row r="117" spans="1:5">
      <c r="A117" s="130" t="s">
        <v>2024</v>
      </c>
      <c r="B117" s="130" t="s">
        <v>1250</v>
      </c>
      <c r="C117" s="131" t="s">
        <v>2062</v>
      </c>
      <c r="D117" s="132">
        <v>41862</v>
      </c>
      <c r="E117" s="130" t="s">
        <v>1251</v>
      </c>
    </row>
    <row r="118" spans="1:5">
      <c r="A118" s="130" t="s">
        <v>2024</v>
      </c>
      <c r="B118" s="130" t="s">
        <v>1250</v>
      </c>
      <c r="C118" s="131" t="s">
        <v>2069</v>
      </c>
      <c r="D118" s="132">
        <v>41862</v>
      </c>
      <c r="E118" s="130" t="s">
        <v>1252</v>
      </c>
    </row>
    <row r="119" spans="1:5">
      <c r="A119" s="130" t="s">
        <v>2024</v>
      </c>
      <c r="B119" s="130" t="s">
        <v>1250</v>
      </c>
      <c r="C119" s="131" t="s">
        <v>2068</v>
      </c>
      <c r="D119" s="132">
        <v>41862</v>
      </c>
      <c r="E119" s="130" t="s">
        <v>1252</v>
      </c>
    </row>
    <row r="120" spans="1:5">
      <c r="A120" s="130" t="s">
        <v>2024</v>
      </c>
      <c r="B120" s="130" t="s">
        <v>1250</v>
      </c>
      <c r="C120" s="131" t="s">
        <v>2331</v>
      </c>
      <c r="D120" s="132">
        <v>41862</v>
      </c>
      <c r="E120" s="130" t="s">
        <v>1252</v>
      </c>
    </row>
    <row r="121" spans="1:5">
      <c r="A121" s="130" t="s">
        <v>2024</v>
      </c>
      <c r="B121" s="130" t="s">
        <v>1253</v>
      </c>
      <c r="C121" s="131" t="s">
        <v>2331</v>
      </c>
      <c r="D121" s="132">
        <v>42202</v>
      </c>
      <c r="E121" s="130" t="s">
        <v>1254</v>
      </c>
    </row>
    <row r="122" spans="1:5">
      <c r="A122" s="130" t="s">
        <v>2024</v>
      </c>
      <c r="B122" s="130" t="s">
        <v>1255</v>
      </c>
      <c r="C122" s="131" t="s">
        <v>2067</v>
      </c>
      <c r="D122" s="132">
        <v>42202</v>
      </c>
      <c r="E122" s="130" t="s">
        <v>2335</v>
      </c>
    </row>
    <row r="123" spans="1:5">
      <c r="A123" s="130" t="s">
        <v>2024</v>
      </c>
      <c r="B123" s="130" t="s">
        <v>1256</v>
      </c>
      <c r="C123" s="131" t="s">
        <v>2062</v>
      </c>
      <c r="D123" s="132">
        <v>42993</v>
      </c>
      <c r="E123" s="130" t="s">
        <v>2328</v>
      </c>
    </row>
    <row r="124" spans="1:5">
      <c r="A124" s="130" t="s">
        <v>2024</v>
      </c>
      <c r="B124" s="130" t="s">
        <v>1256</v>
      </c>
      <c r="C124" s="131" t="s">
        <v>2069</v>
      </c>
      <c r="D124" s="132">
        <v>42993</v>
      </c>
      <c r="E124" s="130" t="s">
        <v>2328</v>
      </c>
    </row>
    <row r="125" spans="1:5">
      <c r="A125" s="130" t="s">
        <v>2024</v>
      </c>
      <c r="B125" s="130" t="s">
        <v>1256</v>
      </c>
      <c r="C125" s="131" t="s">
        <v>2068</v>
      </c>
      <c r="D125" s="132">
        <v>42993</v>
      </c>
      <c r="E125" s="130" t="s">
        <v>2328</v>
      </c>
    </row>
    <row r="126" spans="1:5">
      <c r="A126" s="130" t="s">
        <v>2024</v>
      </c>
      <c r="B126" s="130" t="s">
        <v>1256</v>
      </c>
      <c r="C126" s="131" t="s">
        <v>2067</v>
      </c>
      <c r="D126" s="132">
        <v>42993</v>
      </c>
      <c r="E126" s="130" t="s">
        <v>2328</v>
      </c>
    </row>
    <row r="127" spans="1:5">
      <c r="A127" s="314" t="s">
        <v>2709</v>
      </c>
      <c r="B127" s="314" t="s">
        <v>1250</v>
      </c>
      <c r="C127" s="315" t="s">
        <v>2713</v>
      </c>
      <c r="D127" s="316">
        <v>41946</v>
      </c>
      <c r="E127" s="314" t="s">
        <v>1251</v>
      </c>
    </row>
    <row r="128" spans="1:5">
      <c r="A128" s="314" t="s">
        <v>2709</v>
      </c>
      <c r="B128" s="314" t="s">
        <v>1250</v>
      </c>
      <c r="C128" s="315" t="s">
        <v>2256</v>
      </c>
      <c r="D128" s="316">
        <v>41946</v>
      </c>
      <c r="E128" s="314" t="s">
        <v>1252</v>
      </c>
    </row>
    <row r="129" spans="1:5">
      <c r="A129" s="314" t="s">
        <v>2709</v>
      </c>
      <c r="B129" s="314" t="s">
        <v>1250</v>
      </c>
      <c r="C129" s="315" t="s">
        <v>2068</v>
      </c>
      <c r="D129" s="316">
        <v>41946</v>
      </c>
      <c r="E129" s="314" t="s">
        <v>1252</v>
      </c>
    </row>
    <row r="130" spans="1:5">
      <c r="A130" s="314" t="s">
        <v>2709</v>
      </c>
      <c r="B130" s="314" t="s">
        <v>1256</v>
      </c>
      <c r="C130" s="315" t="s">
        <v>2713</v>
      </c>
      <c r="D130" s="316">
        <v>42993</v>
      </c>
      <c r="E130" s="314" t="s">
        <v>2328</v>
      </c>
    </row>
    <row r="131" spans="1:5">
      <c r="A131" s="314" t="s">
        <v>2709</v>
      </c>
      <c r="B131" s="314" t="s">
        <v>1256</v>
      </c>
      <c r="C131" s="315" t="s">
        <v>2256</v>
      </c>
      <c r="D131" s="316">
        <v>42993</v>
      </c>
      <c r="E131" s="314" t="s">
        <v>2328</v>
      </c>
    </row>
    <row r="132" spans="1:5">
      <c r="A132" s="314" t="s">
        <v>2709</v>
      </c>
      <c r="B132" s="314" t="s">
        <v>1256</v>
      </c>
      <c r="C132" s="315" t="s">
        <v>2068</v>
      </c>
      <c r="D132" s="316">
        <v>42993</v>
      </c>
      <c r="E132" s="314" t="s">
        <v>2328</v>
      </c>
    </row>
    <row r="133" spans="1:5">
      <c r="A133" s="314" t="s">
        <v>2770</v>
      </c>
      <c r="B133" s="314" t="s">
        <v>1250</v>
      </c>
      <c r="C133" s="315" t="s">
        <v>2292</v>
      </c>
      <c r="D133" s="316">
        <v>42034</v>
      </c>
      <c r="E133" s="314" t="s">
        <v>1252</v>
      </c>
    </row>
    <row r="134" spans="1:5">
      <c r="A134" s="314" t="s">
        <v>2770</v>
      </c>
      <c r="B134" s="314" t="s">
        <v>1250</v>
      </c>
      <c r="C134" s="315" t="s">
        <v>3019</v>
      </c>
      <c r="D134" s="316">
        <v>42034</v>
      </c>
      <c r="E134" s="314" t="s">
        <v>1252</v>
      </c>
    </row>
    <row r="135" spans="1:5">
      <c r="A135" s="314" t="s">
        <v>2770</v>
      </c>
      <c r="B135" s="314" t="s">
        <v>1256</v>
      </c>
      <c r="C135" s="315" t="s">
        <v>2292</v>
      </c>
      <c r="D135" s="316">
        <v>42538</v>
      </c>
      <c r="E135" s="314" t="s">
        <v>2876</v>
      </c>
    </row>
    <row r="136" spans="1:5">
      <c r="A136" s="314" t="s">
        <v>2770</v>
      </c>
      <c r="B136" s="314" t="s">
        <v>1256</v>
      </c>
      <c r="C136" s="315" t="s">
        <v>3019</v>
      </c>
      <c r="D136" s="316">
        <v>42538</v>
      </c>
      <c r="E136" s="314" t="s">
        <v>2876</v>
      </c>
    </row>
    <row r="137" spans="1:5">
      <c r="A137" s="314" t="s">
        <v>2774</v>
      </c>
      <c r="B137" s="314" t="s">
        <v>1250</v>
      </c>
      <c r="C137" s="315" t="s">
        <v>2292</v>
      </c>
      <c r="D137" s="316">
        <v>42072</v>
      </c>
      <c r="E137" s="314" t="s">
        <v>1252</v>
      </c>
    </row>
    <row r="138" spans="1:5">
      <c r="A138" s="314" t="s">
        <v>2774</v>
      </c>
      <c r="B138" s="314" t="s">
        <v>1256</v>
      </c>
      <c r="C138" s="315" t="s">
        <v>2292</v>
      </c>
      <c r="D138" s="316">
        <v>42993</v>
      </c>
      <c r="E138" s="314" t="s">
        <v>2328</v>
      </c>
    </row>
    <row r="139" spans="1:5">
      <c r="A139" s="314" t="s">
        <v>2777</v>
      </c>
      <c r="B139" s="314" t="s">
        <v>1250</v>
      </c>
      <c r="C139" s="315" t="s">
        <v>2292</v>
      </c>
      <c r="D139" s="316">
        <v>42136</v>
      </c>
      <c r="E139" s="314" t="s">
        <v>1252</v>
      </c>
    </row>
    <row r="140" spans="1:5">
      <c r="A140" s="314" t="s">
        <v>2777</v>
      </c>
      <c r="B140" s="314" t="s">
        <v>1256</v>
      </c>
      <c r="C140" s="315" t="s">
        <v>2292</v>
      </c>
      <c r="D140" s="316">
        <v>42993</v>
      </c>
      <c r="E140" s="314" t="s">
        <v>2328</v>
      </c>
    </row>
    <row r="141" spans="1:5">
      <c r="A141" s="130" t="s">
        <v>2025</v>
      </c>
      <c r="B141" s="130" t="s">
        <v>1250</v>
      </c>
      <c r="C141" s="131" t="s">
        <v>2070</v>
      </c>
      <c r="D141" s="132">
        <v>42360</v>
      </c>
      <c r="E141" s="130" t="s">
        <v>1251</v>
      </c>
    </row>
    <row r="142" spans="1:5">
      <c r="A142" s="130" t="s">
        <v>2025</v>
      </c>
      <c r="B142" s="130" t="s">
        <v>1256</v>
      </c>
      <c r="C142" s="131" t="s">
        <v>2070</v>
      </c>
      <c r="D142" s="132">
        <v>42993</v>
      </c>
      <c r="E142" s="130" t="s">
        <v>2328</v>
      </c>
    </row>
    <row r="143" spans="1:5">
      <c r="A143" s="314" t="s">
        <v>2779</v>
      </c>
      <c r="B143" s="314" t="s">
        <v>1250</v>
      </c>
      <c r="C143" s="315" t="s">
        <v>2060</v>
      </c>
      <c r="D143" s="316">
        <v>42401</v>
      </c>
      <c r="E143" s="314" t="s">
        <v>1251</v>
      </c>
    </row>
    <row r="144" spans="1:5">
      <c r="A144" s="314" t="s">
        <v>2779</v>
      </c>
      <c r="B144" s="314" t="s">
        <v>1250</v>
      </c>
      <c r="C144" s="315" t="s">
        <v>2070</v>
      </c>
      <c r="D144" s="316">
        <v>42401</v>
      </c>
      <c r="E144" s="314" t="s">
        <v>1252</v>
      </c>
    </row>
    <row r="145" spans="1:5">
      <c r="A145" s="314" t="s">
        <v>2779</v>
      </c>
      <c r="B145" s="314" t="s">
        <v>1250</v>
      </c>
      <c r="C145" s="315" t="s">
        <v>2292</v>
      </c>
      <c r="D145" s="316">
        <v>42401</v>
      </c>
      <c r="E145" s="314" t="s">
        <v>1252</v>
      </c>
    </row>
    <row r="146" spans="1:5">
      <c r="A146" s="314" t="s">
        <v>2779</v>
      </c>
      <c r="B146" s="314" t="s">
        <v>1250</v>
      </c>
      <c r="C146" s="315" t="s">
        <v>2258</v>
      </c>
      <c r="D146" s="316">
        <v>42401</v>
      </c>
      <c r="E146" s="314" t="s">
        <v>1252</v>
      </c>
    </row>
    <row r="147" spans="1:5">
      <c r="A147" s="314" t="s">
        <v>2779</v>
      </c>
      <c r="B147" s="314" t="s">
        <v>1256</v>
      </c>
      <c r="C147" s="315" t="s">
        <v>2060</v>
      </c>
      <c r="D147" s="316">
        <v>42993</v>
      </c>
      <c r="E147" s="314" t="s">
        <v>2328</v>
      </c>
    </row>
    <row r="148" spans="1:5">
      <c r="A148" s="314" t="s">
        <v>2779</v>
      </c>
      <c r="B148" s="314" t="s">
        <v>1256</v>
      </c>
      <c r="C148" s="315" t="s">
        <v>2070</v>
      </c>
      <c r="D148" s="316">
        <v>42993</v>
      </c>
      <c r="E148" s="314" t="s">
        <v>2328</v>
      </c>
    </row>
    <row r="149" spans="1:5">
      <c r="A149" s="314" t="s">
        <v>2779</v>
      </c>
      <c r="B149" s="314" t="s">
        <v>1256</v>
      </c>
      <c r="C149" s="315" t="s">
        <v>2292</v>
      </c>
      <c r="D149" s="316">
        <v>42993</v>
      </c>
      <c r="E149" s="314" t="s">
        <v>2328</v>
      </c>
    </row>
    <row r="150" spans="1:5">
      <c r="A150" s="314" t="s">
        <v>2779</v>
      </c>
      <c r="B150" s="314" t="s">
        <v>1256</v>
      </c>
      <c r="C150" s="315" t="s">
        <v>2258</v>
      </c>
      <c r="D150" s="316">
        <v>42993</v>
      </c>
      <c r="E150" s="314" t="s">
        <v>2328</v>
      </c>
    </row>
    <row r="151" spans="1:5">
      <c r="A151" s="314" t="s">
        <v>2715</v>
      </c>
      <c r="B151" s="314" t="s">
        <v>1250</v>
      </c>
      <c r="C151" s="315" t="s">
        <v>2062</v>
      </c>
      <c r="D151" s="316">
        <v>42450</v>
      </c>
      <c r="E151" s="314" t="s">
        <v>1252</v>
      </c>
    </row>
    <row r="152" spans="1:5">
      <c r="A152" s="314" t="s">
        <v>2715</v>
      </c>
      <c r="B152" s="314" t="s">
        <v>1256</v>
      </c>
      <c r="C152" s="315" t="s">
        <v>2062</v>
      </c>
      <c r="D152" s="316">
        <v>42993</v>
      </c>
      <c r="E152" s="314" t="s">
        <v>2328</v>
      </c>
    </row>
    <row r="153" spans="1:5">
      <c r="A153" s="314" t="s">
        <v>2719</v>
      </c>
      <c r="B153" s="314" t="s">
        <v>1250</v>
      </c>
      <c r="C153" s="315" t="s">
        <v>2701</v>
      </c>
      <c r="D153" s="316">
        <v>42489</v>
      </c>
      <c r="E153" s="314" t="s">
        <v>1252</v>
      </c>
    </row>
    <row r="154" spans="1:5">
      <c r="A154" s="314" t="s">
        <v>2719</v>
      </c>
      <c r="B154" s="314" t="s">
        <v>1256</v>
      </c>
      <c r="C154" s="315" t="s">
        <v>2701</v>
      </c>
      <c r="D154" s="316">
        <v>42993</v>
      </c>
      <c r="E154" s="314" t="s">
        <v>2328</v>
      </c>
    </row>
    <row r="155" spans="1:5">
      <c r="A155" s="130" t="s">
        <v>2336</v>
      </c>
      <c r="B155" s="130" t="s">
        <v>1250</v>
      </c>
      <c r="C155" s="131" t="s">
        <v>2066</v>
      </c>
      <c r="D155" s="132">
        <v>42521</v>
      </c>
      <c r="E155" s="130" t="s">
        <v>1251</v>
      </c>
    </row>
    <row r="156" spans="1:5">
      <c r="A156" s="130" t="s">
        <v>2336</v>
      </c>
      <c r="B156" s="130" t="s">
        <v>1250</v>
      </c>
      <c r="C156" s="131" t="s">
        <v>2062</v>
      </c>
      <c r="D156" s="132">
        <v>42521</v>
      </c>
      <c r="E156" s="130" t="s">
        <v>1252</v>
      </c>
    </row>
    <row r="157" spans="1:5">
      <c r="A157" s="130" t="s">
        <v>2336</v>
      </c>
      <c r="B157" s="130" t="s">
        <v>1250</v>
      </c>
      <c r="C157" s="131" t="s">
        <v>2071</v>
      </c>
      <c r="D157" s="132">
        <v>42521</v>
      </c>
      <c r="E157" s="130" t="s">
        <v>1252</v>
      </c>
    </row>
    <row r="158" spans="1:5">
      <c r="A158" s="130" t="s">
        <v>2336</v>
      </c>
      <c r="B158" s="130" t="s">
        <v>1256</v>
      </c>
      <c r="C158" s="131" t="s">
        <v>2066</v>
      </c>
      <c r="D158" s="132">
        <v>42993</v>
      </c>
      <c r="E158" s="130" t="s">
        <v>2328</v>
      </c>
    </row>
    <row r="159" spans="1:5">
      <c r="A159" s="130" t="s">
        <v>2336</v>
      </c>
      <c r="B159" s="130" t="s">
        <v>1256</v>
      </c>
      <c r="C159" s="131" t="s">
        <v>2062</v>
      </c>
      <c r="D159" s="132">
        <v>42993</v>
      </c>
      <c r="E159" s="130" t="s">
        <v>2328</v>
      </c>
    </row>
    <row r="160" spans="1:5">
      <c r="A160" s="130" t="s">
        <v>2336</v>
      </c>
      <c r="B160" s="130" t="s">
        <v>1256</v>
      </c>
      <c r="C160" s="131" t="s">
        <v>2071</v>
      </c>
      <c r="D160" s="132">
        <v>42993</v>
      </c>
      <c r="E160" s="130" t="s">
        <v>2328</v>
      </c>
    </row>
    <row r="161" spans="1:5">
      <c r="A161" s="130" t="s">
        <v>2029</v>
      </c>
      <c r="B161" s="130" t="s">
        <v>1250</v>
      </c>
      <c r="C161" s="131" t="s">
        <v>2058</v>
      </c>
      <c r="D161" s="132">
        <v>42674</v>
      </c>
      <c r="E161" s="130" t="s">
        <v>1251</v>
      </c>
    </row>
    <row r="162" spans="1:5">
      <c r="A162" s="130" t="s">
        <v>2029</v>
      </c>
      <c r="B162" s="130" t="s">
        <v>1250</v>
      </c>
      <c r="C162" s="131" t="s">
        <v>2067</v>
      </c>
      <c r="D162" s="132">
        <v>42674</v>
      </c>
      <c r="E162" s="130" t="s">
        <v>1252</v>
      </c>
    </row>
    <row r="163" spans="1:5">
      <c r="A163" s="130" t="s">
        <v>2029</v>
      </c>
      <c r="B163" s="130" t="s">
        <v>1250</v>
      </c>
      <c r="C163" s="131" t="s">
        <v>2071</v>
      </c>
      <c r="D163" s="132">
        <v>42674</v>
      </c>
      <c r="E163" s="130" t="s">
        <v>1252</v>
      </c>
    </row>
    <row r="164" spans="1:5">
      <c r="A164" s="130" t="s">
        <v>2029</v>
      </c>
      <c r="B164" s="130" t="s">
        <v>1256</v>
      </c>
      <c r="C164" s="131" t="s">
        <v>2058</v>
      </c>
      <c r="D164" s="132">
        <v>42993</v>
      </c>
      <c r="E164" s="130" t="s">
        <v>2328</v>
      </c>
    </row>
    <row r="165" spans="1:5">
      <c r="A165" s="130" t="s">
        <v>2029</v>
      </c>
      <c r="B165" s="130" t="s">
        <v>1256</v>
      </c>
      <c r="C165" s="131" t="s">
        <v>2067</v>
      </c>
      <c r="D165" s="132">
        <v>42993</v>
      </c>
      <c r="E165" s="130" t="s">
        <v>2328</v>
      </c>
    </row>
    <row r="166" spans="1:5">
      <c r="A166" s="130" t="s">
        <v>2029</v>
      </c>
      <c r="B166" s="130" t="s">
        <v>1256</v>
      </c>
      <c r="C166" s="131" t="s">
        <v>2071</v>
      </c>
      <c r="D166" s="132">
        <v>42993</v>
      </c>
      <c r="E166" s="130" t="s">
        <v>2328</v>
      </c>
    </row>
    <row r="167" spans="1:5">
      <c r="A167" s="314" t="s">
        <v>2783</v>
      </c>
      <c r="B167" s="314" t="s">
        <v>1250</v>
      </c>
      <c r="C167" s="315" t="s">
        <v>2060</v>
      </c>
      <c r="D167" s="316">
        <v>42677</v>
      </c>
      <c r="E167" s="314" t="s">
        <v>1251</v>
      </c>
    </row>
    <row r="168" spans="1:5">
      <c r="A168" s="314" t="s">
        <v>2783</v>
      </c>
      <c r="B168" s="314" t="s">
        <v>1250</v>
      </c>
      <c r="C168" s="315" t="s">
        <v>2062</v>
      </c>
      <c r="D168" s="316">
        <v>42677</v>
      </c>
      <c r="E168" s="314" t="s">
        <v>1252</v>
      </c>
    </row>
    <row r="169" spans="1:5">
      <c r="A169" s="314" t="s">
        <v>2783</v>
      </c>
      <c r="B169" s="314" t="s">
        <v>1250</v>
      </c>
      <c r="C169" s="315" t="s">
        <v>2070</v>
      </c>
      <c r="D169" s="316">
        <v>42677</v>
      </c>
      <c r="E169" s="314" t="s">
        <v>1252</v>
      </c>
    </row>
    <row r="170" spans="1:5">
      <c r="A170" s="314" t="s">
        <v>2783</v>
      </c>
      <c r="B170" s="314" t="s">
        <v>1256</v>
      </c>
      <c r="C170" s="315" t="s">
        <v>2060</v>
      </c>
      <c r="D170" s="316">
        <v>42993</v>
      </c>
      <c r="E170" s="314" t="s">
        <v>2328</v>
      </c>
    </row>
    <row r="171" spans="1:5">
      <c r="A171" s="314" t="s">
        <v>2783</v>
      </c>
      <c r="B171" s="314" t="s">
        <v>1256</v>
      </c>
      <c r="C171" s="315" t="s">
        <v>2062</v>
      </c>
      <c r="D171" s="316">
        <v>42993</v>
      </c>
      <c r="E171" s="314" t="s">
        <v>2328</v>
      </c>
    </row>
    <row r="172" spans="1:5">
      <c r="A172" s="314" t="s">
        <v>2783</v>
      </c>
      <c r="B172" s="314" t="s">
        <v>1256</v>
      </c>
      <c r="C172" s="315" t="s">
        <v>2070</v>
      </c>
      <c r="D172" s="316">
        <v>42993</v>
      </c>
      <c r="E172" s="314" t="s">
        <v>2328</v>
      </c>
    </row>
    <row r="173" spans="1:5">
      <c r="A173" s="314" t="s">
        <v>2723</v>
      </c>
      <c r="B173" s="314" t="s">
        <v>1250</v>
      </c>
      <c r="C173" s="315" t="s">
        <v>2727</v>
      </c>
      <c r="D173" s="316">
        <v>42703</v>
      </c>
      <c r="E173" s="314" t="s">
        <v>1252</v>
      </c>
    </row>
    <row r="174" spans="1:5">
      <c r="A174" s="314" t="s">
        <v>2723</v>
      </c>
      <c r="B174" s="314" t="s">
        <v>1256</v>
      </c>
      <c r="C174" s="315" t="s">
        <v>2727</v>
      </c>
      <c r="D174" s="316">
        <v>42993</v>
      </c>
      <c r="E174" s="314" t="s">
        <v>2328</v>
      </c>
    </row>
    <row r="175" spans="1:5">
      <c r="A175" s="314" t="s">
        <v>2730</v>
      </c>
      <c r="B175" s="314" t="s">
        <v>1250</v>
      </c>
      <c r="C175" s="315" t="s">
        <v>2727</v>
      </c>
      <c r="D175" s="316">
        <v>42705</v>
      </c>
      <c r="E175" s="314" t="s">
        <v>1252</v>
      </c>
    </row>
    <row r="176" spans="1:5">
      <c r="A176" s="314" t="s">
        <v>2730</v>
      </c>
      <c r="B176" s="314" t="s">
        <v>1256</v>
      </c>
      <c r="C176" s="315" t="s">
        <v>2727</v>
      </c>
      <c r="D176" s="316">
        <v>42993</v>
      </c>
      <c r="E176" s="314" t="s">
        <v>2328</v>
      </c>
    </row>
    <row r="177" spans="1:5">
      <c r="A177" s="314" t="s">
        <v>2736</v>
      </c>
      <c r="B177" s="314" t="s">
        <v>1250</v>
      </c>
      <c r="C177" s="315" t="s">
        <v>2739</v>
      </c>
      <c r="D177" s="316">
        <v>42717</v>
      </c>
      <c r="E177" s="314" t="s">
        <v>1252</v>
      </c>
    </row>
    <row r="178" spans="1:5">
      <c r="A178" s="314" t="s">
        <v>2736</v>
      </c>
      <c r="B178" s="314" t="s">
        <v>1255</v>
      </c>
      <c r="C178" s="315" t="s">
        <v>2727</v>
      </c>
      <c r="D178" s="316">
        <v>42456</v>
      </c>
      <c r="E178" s="314" t="s">
        <v>2880</v>
      </c>
    </row>
    <row r="179" spans="1:5">
      <c r="A179" s="314" t="s">
        <v>2736</v>
      </c>
      <c r="B179" s="314" t="s">
        <v>1255</v>
      </c>
      <c r="C179" s="315" t="s">
        <v>2740</v>
      </c>
      <c r="D179" s="316">
        <v>42915</v>
      </c>
      <c r="E179" s="314" t="s">
        <v>2880</v>
      </c>
    </row>
    <row r="180" spans="1:5">
      <c r="A180" s="314" t="s">
        <v>2736</v>
      </c>
      <c r="B180" s="314" t="s">
        <v>1256</v>
      </c>
      <c r="C180" s="315" t="s">
        <v>2739</v>
      </c>
      <c r="D180" s="316">
        <v>42993</v>
      </c>
      <c r="E180" s="314" t="s">
        <v>2328</v>
      </c>
    </row>
    <row r="181" spans="1:5">
      <c r="A181" s="314" t="s">
        <v>2736</v>
      </c>
      <c r="B181" s="314" t="s">
        <v>1256</v>
      </c>
      <c r="C181" s="315" t="s">
        <v>2727</v>
      </c>
      <c r="D181" s="316">
        <v>42993</v>
      </c>
      <c r="E181" s="314" t="s">
        <v>2328</v>
      </c>
    </row>
    <row r="182" spans="1:5">
      <c r="A182" s="314" t="s">
        <v>2736</v>
      </c>
      <c r="B182" s="314" t="s">
        <v>1256</v>
      </c>
      <c r="C182" s="315" t="s">
        <v>2740</v>
      </c>
      <c r="D182" s="316">
        <v>42993</v>
      </c>
      <c r="E182" s="314" t="s">
        <v>2328</v>
      </c>
    </row>
    <row r="183" spans="1:5">
      <c r="A183" s="130" t="s">
        <v>2337</v>
      </c>
      <c r="B183" s="130" t="s">
        <v>1250</v>
      </c>
      <c r="C183" s="131" t="s">
        <v>2275</v>
      </c>
      <c r="D183" s="132">
        <v>42915</v>
      </c>
      <c r="E183" s="130" t="s">
        <v>1251</v>
      </c>
    </row>
    <row r="184" spans="1:5">
      <c r="A184" s="130" t="s">
        <v>2337</v>
      </c>
      <c r="B184" s="130" t="s">
        <v>1250</v>
      </c>
      <c r="C184" s="131" t="s">
        <v>2261</v>
      </c>
      <c r="D184" s="132">
        <v>42915</v>
      </c>
      <c r="E184" s="130" t="s">
        <v>1252</v>
      </c>
    </row>
    <row r="185" spans="1:5">
      <c r="A185" s="130" t="s">
        <v>2337</v>
      </c>
      <c r="B185" s="130" t="s">
        <v>1250</v>
      </c>
      <c r="C185" s="131" t="s">
        <v>2338</v>
      </c>
      <c r="D185" s="132">
        <v>42915</v>
      </c>
      <c r="E185" s="130" t="s">
        <v>1252</v>
      </c>
    </row>
    <row r="186" spans="1:5">
      <c r="A186" s="130" t="s">
        <v>2337</v>
      </c>
      <c r="B186" s="130" t="s">
        <v>1256</v>
      </c>
      <c r="C186" s="131" t="s">
        <v>2275</v>
      </c>
      <c r="D186" s="132">
        <v>42993</v>
      </c>
      <c r="E186" s="130" t="s">
        <v>2328</v>
      </c>
    </row>
    <row r="187" spans="1:5">
      <c r="A187" s="130" t="s">
        <v>2337</v>
      </c>
      <c r="B187" s="130" t="s">
        <v>1256</v>
      </c>
      <c r="C187" s="131" t="s">
        <v>2261</v>
      </c>
      <c r="D187" s="132">
        <v>42993</v>
      </c>
      <c r="E187" s="130" t="s">
        <v>2328</v>
      </c>
    </row>
    <row r="188" spans="1:5">
      <c r="A188" s="130" t="s">
        <v>2337</v>
      </c>
      <c r="B188" s="130" t="s">
        <v>1256</v>
      </c>
      <c r="C188" s="131" t="s">
        <v>2338</v>
      </c>
      <c r="D188" s="132">
        <v>42993</v>
      </c>
      <c r="E188" s="130" t="s">
        <v>2328</v>
      </c>
    </row>
    <row r="189" spans="1:5">
      <c r="A189" s="130" t="s">
        <v>2787</v>
      </c>
      <c r="B189" s="130" t="s">
        <v>1250</v>
      </c>
      <c r="C189" s="131" t="s">
        <v>2068</v>
      </c>
      <c r="D189" s="132">
        <v>42965</v>
      </c>
      <c r="E189" s="130" t="s">
        <v>1252</v>
      </c>
    </row>
    <row r="190" spans="1:5">
      <c r="A190" s="130" t="s">
        <v>2787</v>
      </c>
      <c r="B190" s="130" t="s">
        <v>1256</v>
      </c>
      <c r="C190" s="131" t="s">
        <v>2068</v>
      </c>
      <c r="D190" s="132">
        <v>42993</v>
      </c>
      <c r="E190" s="130" t="s">
        <v>2328</v>
      </c>
    </row>
  </sheetData>
  <phoneticPr fontId="1" type="noConversion"/>
  <dataValidations count="1">
    <dataValidation type="list" allowBlank="1" showInputMessage="1" showErrorMessage="1" sqref="B2:B190">
      <formula1>핵심운용인력변경구분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D1:N22"/>
  <sheetViews>
    <sheetView topLeftCell="D4" zoomScale="70" zoomScaleNormal="70" workbookViewId="0">
      <selection activeCell="R61" sqref="R61"/>
    </sheetView>
  </sheetViews>
  <sheetFormatPr defaultRowHeight="13.5"/>
  <cols>
    <col min="1" max="3" width="0" style="99" hidden="1" customWidth="1"/>
    <col min="4" max="4" width="24.875" style="99" customWidth="1"/>
    <col min="5" max="5" width="15.375" style="99" customWidth="1"/>
    <col min="6" max="6" width="15.625" style="99" customWidth="1"/>
    <col min="7" max="7" width="17.875" style="99" customWidth="1"/>
    <col min="8" max="8" width="33.5" style="99" customWidth="1"/>
    <col min="9" max="9" width="40.5" style="99" bestFit="1" customWidth="1"/>
    <col min="10" max="10" width="10.875" style="99" customWidth="1"/>
    <col min="11" max="12" width="9.75" style="99" bestFit="1" customWidth="1"/>
    <col min="13" max="13" width="10.25" style="99" customWidth="1"/>
    <col min="14" max="16384" width="9" style="99"/>
  </cols>
  <sheetData>
    <row r="1" spans="4:14" hidden="1"/>
    <row r="2" spans="4:14" hidden="1"/>
    <row r="3" spans="4:14" hidden="1"/>
    <row r="4" spans="4:14" ht="16.5" customHeight="1">
      <c r="D4" s="520" t="s">
        <v>1531</v>
      </c>
      <c r="E4" s="521"/>
      <c r="F4" s="521"/>
      <c r="G4" s="521"/>
      <c r="H4" s="522"/>
      <c r="I4" s="533" t="s">
        <v>1532</v>
      </c>
      <c r="J4" s="533"/>
      <c r="K4" s="520" t="s">
        <v>1533</v>
      </c>
      <c r="L4" s="521"/>
      <c r="M4" s="522"/>
      <c r="N4" s="533" t="s">
        <v>1534</v>
      </c>
    </row>
    <row r="5" spans="4:14" ht="27">
      <c r="D5" s="185" t="s">
        <v>1535</v>
      </c>
      <c r="E5" s="185" t="s">
        <v>1536</v>
      </c>
      <c r="F5" s="179" t="s">
        <v>1537</v>
      </c>
      <c r="G5" s="195" t="s">
        <v>1538</v>
      </c>
      <c r="H5" s="181" t="s">
        <v>1539</v>
      </c>
      <c r="I5" s="185" t="s">
        <v>1540</v>
      </c>
      <c r="J5" s="185" t="s">
        <v>1541</v>
      </c>
      <c r="K5" s="185" t="s">
        <v>1509</v>
      </c>
      <c r="L5" s="185" t="s">
        <v>1510</v>
      </c>
      <c r="M5" s="185" t="s">
        <v>1542</v>
      </c>
      <c r="N5" s="533"/>
    </row>
    <row r="6" spans="4:14" hidden="1">
      <c r="D6" s="100"/>
      <c r="E6" s="100"/>
      <c r="F6" s="115"/>
      <c r="G6" s="114"/>
      <c r="H6" s="113"/>
      <c r="I6" s="100"/>
      <c r="J6" s="100"/>
      <c r="K6" s="100"/>
      <c r="L6" s="100"/>
      <c r="M6" s="101"/>
      <c r="N6" s="100"/>
    </row>
    <row r="7" spans="4:14" hidden="1">
      <c r="D7" s="100"/>
      <c r="E7" s="100"/>
      <c r="F7" s="115"/>
      <c r="G7" s="114"/>
      <c r="H7" s="113"/>
      <c r="I7" s="100"/>
      <c r="J7" s="100"/>
      <c r="K7" s="100"/>
      <c r="L7" s="100"/>
      <c r="M7" s="101"/>
      <c r="N7" s="100"/>
    </row>
    <row r="8" spans="4:14" hidden="1">
      <c r="D8" s="100"/>
      <c r="E8" s="100"/>
      <c r="F8" s="115"/>
      <c r="G8" s="114"/>
      <c r="H8" s="113"/>
      <c r="I8" s="100"/>
      <c r="J8" s="100"/>
      <c r="K8" s="100"/>
      <c r="L8" s="100"/>
      <c r="M8" s="101"/>
      <c r="N8" s="100"/>
    </row>
    <row r="9" spans="4:14" hidden="1">
      <c r="D9" s="100"/>
      <c r="E9" s="100"/>
      <c r="F9" s="115"/>
      <c r="G9" s="114"/>
      <c r="H9" s="113"/>
      <c r="I9" s="100"/>
      <c r="J9" s="100"/>
      <c r="K9" s="100"/>
      <c r="L9" s="100"/>
      <c r="M9" s="101"/>
      <c r="N9" s="100"/>
    </row>
    <row r="10" spans="4:14" hidden="1">
      <c r="D10" s="100"/>
      <c r="E10" s="100"/>
      <c r="F10" s="115"/>
      <c r="G10" s="114"/>
      <c r="H10" s="113"/>
      <c r="I10" s="100"/>
      <c r="J10" s="100"/>
      <c r="K10" s="100"/>
      <c r="L10" s="100"/>
      <c r="M10" s="101"/>
      <c r="N10" s="100"/>
    </row>
    <row r="11" spans="4:14">
      <c r="D11" s="100" t="s">
        <v>2342</v>
      </c>
      <c r="E11" s="142" t="s">
        <v>2339</v>
      </c>
      <c r="F11" s="160" t="s">
        <v>2340</v>
      </c>
      <c r="G11" s="161" t="s">
        <v>1633</v>
      </c>
      <c r="H11" s="113" t="s">
        <v>2341</v>
      </c>
      <c r="I11" s="100" t="s">
        <v>2342</v>
      </c>
      <c r="J11" s="215">
        <v>23396</v>
      </c>
      <c r="K11" s="201">
        <v>41696</v>
      </c>
      <c r="L11" s="201">
        <v>42993</v>
      </c>
      <c r="M11" s="202">
        <f t="shared" ref="M11:M17" si="0">IF(ISBLANK(K11),"",DATEDIF(K11,L11,"d")/365)</f>
        <v>3.5534246575342467</v>
      </c>
      <c r="N11" s="142" t="s">
        <v>131</v>
      </c>
    </row>
    <row r="12" spans="4:14">
      <c r="D12" s="317" t="s">
        <v>2900</v>
      </c>
      <c r="E12" s="318" t="s">
        <v>2901</v>
      </c>
      <c r="F12" s="319" t="s">
        <v>2902</v>
      </c>
      <c r="G12" s="161" t="s">
        <v>1631</v>
      </c>
      <c r="H12" s="320" t="s">
        <v>2903</v>
      </c>
      <c r="I12" s="317" t="s">
        <v>2881</v>
      </c>
      <c r="J12" s="321">
        <v>240000</v>
      </c>
      <c r="K12" s="322">
        <v>41739</v>
      </c>
      <c r="L12" s="322">
        <v>42993</v>
      </c>
      <c r="M12" s="202">
        <f t="shared" si="0"/>
        <v>3.4356164383561643</v>
      </c>
      <c r="N12" s="318" t="s">
        <v>131</v>
      </c>
    </row>
    <row r="13" spans="4:14">
      <c r="D13" s="317" t="s">
        <v>2900</v>
      </c>
      <c r="E13" s="318" t="s">
        <v>2904</v>
      </c>
      <c r="F13" s="319" t="s">
        <v>2905</v>
      </c>
      <c r="G13" s="161" t="s">
        <v>1633</v>
      </c>
      <c r="H13" s="320" t="s">
        <v>2906</v>
      </c>
      <c r="I13" s="317" t="s">
        <v>2881</v>
      </c>
      <c r="J13" s="321">
        <v>240000</v>
      </c>
      <c r="K13" s="322">
        <v>41813</v>
      </c>
      <c r="L13" s="322">
        <v>42993</v>
      </c>
      <c r="M13" s="202">
        <f t="shared" si="0"/>
        <v>3.2328767123287672</v>
      </c>
      <c r="N13" s="318" t="s">
        <v>131</v>
      </c>
    </row>
    <row r="14" spans="4:14">
      <c r="D14" s="100" t="s">
        <v>2024</v>
      </c>
      <c r="E14" s="142" t="s">
        <v>2339</v>
      </c>
      <c r="F14" s="160" t="s">
        <v>2340</v>
      </c>
      <c r="G14" s="161" t="s">
        <v>1633</v>
      </c>
      <c r="H14" s="113" t="s">
        <v>2341</v>
      </c>
      <c r="I14" s="100" t="s">
        <v>2024</v>
      </c>
      <c r="J14" s="215">
        <v>30383</v>
      </c>
      <c r="K14" s="201">
        <v>41862</v>
      </c>
      <c r="L14" s="201">
        <v>42993</v>
      </c>
      <c r="M14" s="202">
        <f t="shared" si="0"/>
        <v>3.0986301369863014</v>
      </c>
      <c r="N14" s="142" t="s">
        <v>131</v>
      </c>
    </row>
    <row r="15" spans="4:14">
      <c r="D15" s="100" t="s">
        <v>2336</v>
      </c>
      <c r="E15" s="142" t="s">
        <v>2339</v>
      </c>
      <c r="F15" s="160" t="s">
        <v>2340</v>
      </c>
      <c r="G15" s="161" t="s">
        <v>1633</v>
      </c>
      <c r="H15" s="113" t="s">
        <v>2341</v>
      </c>
      <c r="I15" s="100" t="s">
        <v>2336</v>
      </c>
      <c r="J15" s="215">
        <v>25047</v>
      </c>
      <c r="K15" s="201">
        <v>42521</v>
      </c>
      <c r="L15" s="201">
        <v>42993</v>
      </c>
      <c r="M15" s="202">
        <f t="shared" si="0"/>
        <v>1.2931506849315069</v>
      </c>
      <c r="N15" s="142" t="s">
        <v>131</v>
      </c>
    </row>
    <row r="16" spans="4:14">
      <c r="D16" s="317" t="s">
        <v>2783</v>
      </c>
      <c r="E16" s="318" t="s">
        <v>2907</v>
      </c>
      <c r="F16" s="319" t="s">
        <v>2908</v>
      </c>
      <c r="G16" s="161" t="s">
        <v>137</v>
      </c>
      <c r="H16" s="320" t="s">
        <v>2909</v>
      </c>
      <c r="I16" s="317" t="s">
        <v>2783</v>
      </c>
      <c r="J16" s="321">
        <v>150000</v>
      </c>
      <c r="K16" s="322">
        <v>42677</v>
      </c>
      <c r="L16" s="201">
        <v>42993</v>
      </c>
      <c r="M16" s="202">
        <f t="shared" si="0"/>
        <v>0.86575342465753424</v>
      </c>
      <c r="N16" s="318" t="s">
        <v>131</v>
      </c>
    </row>
    <row r="17" spans="4:14">
      <c r="D17" s="317" t="s">
        <v>2783</v>
      </c>
      <c r="E17" s="318" t="s">
        <v>2339</v>
      </c>
      <c r="F17" s="319" t="s">
        <v>2340</v>
      </c>
      <c r="G17" s="161" t="s">
        <v>1633</v>
      </c>
      <c r="H17" s="320" t="s">
        <v>2341</v>
      </c>
      <c r="I17" s="317" t="s">
        <v>2783</v>
      </c>
      <c r="J17" s="321">
        <v>72518</v>
      </c>
      <c r="K17" s="322">
        <v>42683</v>
      </c>
      <c r="L17" s="201">
        <v>42993</v>
      </c>
      <c r="M17" s="202">
        <f t="shared" si="0"/>
        <v>0.84931506849315064</v>
      </c>
      <c r="N17" s="318" t="s">
        <v>131</v>
      </c>
    </row>
    <row r="18" spans="4:14">
      <c r="D18" s="100" t="s">
        <v>2343</v>
      </c>
      <c r="E18" s="142" t="s">
        <v>2344</v>
      </c>
      <c r="F18" s="160" t="s">
        <v>2345</v>
      </c>
      <c r="G18" s="161" t="s">
        <v>1633</v>
      </c>
      <c r="H18" s="113" t="s">
        <v>2346</v>
      </c>
      <c r="I18" s="100" t="s">
        <v>2343</v>
      </c>
      <c r="J18" s="215">
        <v>1630</v>
      </c>
      <c r="K18" s="201">
        <v>42915</v>
      </c>
      <c r="L18" s="201">
        <v>42993</v>
      </c>
      <c r="M18" s="202">
        <f t="shared" ref="M18:M22" si="1">IF(ISBLANK(K18),"",DATEDIF(K18,L18,"d")/365)</f>
        <v>0.21369863013698631</v>
      </c>
      <c r="N18" s="142" t="s">
        <v>131</v>
      </c>
    </row>
    <row r="19" spans="4:14" s="361" customFormat="1">
      <c r="D19" s="354" t="s">
        <v>2896</v>
      </c>
      <c r="E19" s="355" t="s">
        <v>2897</v>
      </c>
      <c r="F19" s="356" t="s">
        <v>2898</v>
      </c>
      <c r="G19" s="357" t="s">
        <v>1632</v>
      </c>
      <c r="H19" s="358" t="s">
        <v>2899</v>
      </c>
      <c r="I19" s="354" t="s">
        <v>2896</v>
      </c>
      <c r="J19" s="359">
        <v>35000</v>
      </c>
      <c r="K19" s="360">
        <v>42916</v>
      </c>
      <c r="L19" s="360">
        <v>42993</v>
      </c>
      <c r="M19" s="202">
        <f t="shared" si="1"/>
        <v>0.21095890410958903</v>
      </c>
      <c r="N19" s="355" t="s">
        <v>131</v>
      </c>
    </row>
    <row r="20" spans="4:14" hidden="1">
      <c r="D20" s="100"/>
      <c r="E20" s="142"/>
      <c r="F20" s="160"/>
      <c r="G20" s="161"/>
      <c r="H20" s="113"/>
      <c r="I20" s="100"/>
      <c r="J20" s="215"/>
      <c r="K20" s="201"/>
      <c r="L20" s="201"/>
      <c r="M20" s="202" t="str">
        <f t="shared" si="1"/>
        <v/>
      </c>
      <c r="N20" s="142"/>
    </row>
    <row r="21" spans="4:14" hidden="1">
      <c r="D21" s="100"/>
      <c r="E21" s="142"/>
      <c r="F21" s="160"/>
      <c r="G21" s="161"/>
      <c r="H21" s="113"/>
      <c r="I21" s="100"/>
      <c r="J21" s="215"/>
      <c r="K21" s="201"/>
      <c r="L21" s="201"/>
      <c r="M21" s="202" t="str">
        <f t="shared" si="1"/>
        <v/>
      </c>
      <c r="N21" s="142"/>
    </row>
    <row r="22" spans="4:14" hidden="1">
      <c r="D22" s="100"/>
      <c r="E22" s="142"/>
      <c r="F22" s="160"/>
      <c r="G22" s="161"/>
      <c r="H22" s="113"/>
      <c r="I22" s="100"/>
      <c r="J22" s="215"/>
      <c r="K22" s="201"/>
      <c r="L22" s="201"/>
      <c r="M22" s="202" t="str">
        <f t="shared" si="1"/>
        <v/>
      </c>
      <c r="N22" s="142"/>
    </row>
  </sheetData>
  <mergeCells count="4">
    <mergeCell ref="K4:M4"/>
    <mergeCell ref="N4:N5"/>
    <mergeCell ref="I4:J4"/>
    <mergeCell ref="D4:H4"/>
  </mergeCells>
  <phoneticPr fontId="5" type="noConversion"/>
  <dataValidations count="2">
    <dataValidation type="list" allowBlank="1" showInputMessage="1" showErrorMessage="1" sqref="G11:G22">
      <formula1>업무협력유형</formula1>
    </dataValidation>
    <dataValidation type="list" allowBlank="1" showInputMessage="1" showErrorMessage="1" sqref="N11:N22">
      <formula1>여부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D1:K20"/>
  <sheetViews>
    <sheetView topLeftCell="D4" workbookViewId="0">
      <selection activeCell="L27" sqref="L27"/>
    </sheetView>
  </sheetViews>
  <sheetFormatPr defaultRowHeight="16.5"/>
  <cols>
    <col min="1" max="3" width="0" hidden="1" customWidth="1"/>
    <col min="4" max="4" width="24.875" customWidth="1"/>
    <col min="5" max="5" width="9.875" customWidth="1"/>
    <col min="6" max="6" width="11.25" customWidth="1"/>
    <col min="7" max="7" width="13" customWidth="1"/>
  </cols>
  <sheetData>
    <row r="1" spans="4:11" hidden="1"/>
    <row r="2" spans="4:11" hidden="1"/>
    <row r="3" spans="4:11" hidden="1"/>
    <row r="4" spans="4:11" ht="22.5" customHeight="1">
      <c r="D4" s="520" t="s">
        <v>1543</v>
      </c>
      <c r="E4" s="521"/>
      <c r="F4" s="521"/>
      <c r="G4" s="521"/>
      <c r="H4" s="522"/>
      <c r="I4" s="520" t="s">
        <v>1548</v>
      </c>
      <c r="J4" s="521"/>
      <c r="K4" s="533" t="s">
        <v>1544</v>
      </c>
    </row>
    <row r="5" spans="4:11" ht="40.5">
      <c r="D5" s="185" t="s">
        <v>1549</v>
      </c>
      <c r="E5" s="185" t="s">
        <v>1545</v>
      </c>
      <c r="F5" s="185" t="s">
        <v>1550</v>
      </c>
      <c r="G5" s="185" t="s">
        <v>1546</v>
      </c>
      <c r="H5" s="185" t="s">
        <v>1551</v>
      </c>
      <c r="I5" s="185" t="s">
        <v>1547</v>
      </c>
      <c r="J5" s="185" t="s">
        <v>1552</v>
      </c>
      <c r="K5" s="533"/>
    </row>
    <row r="6" spans="4:11" hidden="1">
      <c r="D6" s="100"/>
      <c r="E6" s="100"/>
      <c r="F6" s="100"/>
      <c r="G6" s="100"/>
      <c r="H6" s="100"/>
      <c r="I6" s="100"/>
      <c r="J6" s="100"/>
      <c r="K6" s="100"/>
    </row>
    <row r="7" spans="4:11" hidden="1">
      <c r="D7" s="100"/>
      <c r="E7" s="100"/>
      <c r="F7" s="100"/>
      <c r="G7" s="100"/>
      <c r="H7" s="100"/>
      <c r="I7" s="100"/>
      <c r="J7" s="100"/>
      <c r="K7" s="100"/>
    </row>
    <row r="8" spans="4:11" hidden="1">
      <c r="D8" s="100"/>
      <c r="E8" s="100"/>
      <c r="F8" s="100"/>
      <c r="G8" s="100"/>
      <c r="H8" s="100"/>
      <c r="I8" s="100"/>
      <c r="J8" s="100"/>
      <c r="K8" s="100"/>
    </row>
    <row r="9" spans="4:11" hidden="1">
      <c r="D9" s="100"/>
      <c r="E9" s="100"/>
      <c r="F9" s="100"/>
      <c r="G9" s="100"/>
      <c r="H9" s="100"/>
      <c r="I9" s="100"/>
      <c r="J9" s="100"/>
      <c r="K9" s="100"/>
    </row>
    <row r="10" spans="4:11" hidden="1">
      <c r="D10" s="100"/>
      <c r="E10" s="100"/>
      <c r="F10" s="100"/>
      <c r="G10" s="100"/>
      <c r="H10" s="100"/>
      <c r="I10" s="100"/>
      <c r="J10" s="100"/>
      <c r="K10" s="100"/>
    </row>
    <row r="11" spans="4:11">
      <c r="D11" s="100" t="s">
        <v>2665</v>
      </c>
      <c r="E11" s="142"/>
      <c r="F11" s="142"/>
      <c r="G11" s="162"/>
      <c r="H11" s="142"/>
      <c r="I11" s="142"/>
      <c r="J11" s="215"/>
      <c r="K11" s="142"/>
    </row>
    <row r="12" spans="4:11">
      <c r="D12" s="100"/>
      <c r="E12" s="142"/>
      <c r="F12" s="142"/>
      <c r="G12" s="162"/>
      <c r="H12" s="142"/>
      <c r="I12" s="142"/>
      <c r="J12" s="215"/>
      <c r="K12" s="142"/>
    </row>
    <row r="13" spans="4:11">
      <c r="D13" s="100"/>
      <c r="E13" s="142"/>
      <c r="F13" s="142"/>
      <c r="G13" s="162"/>
      <c r="H13" s="142"/>
      <c r="I13" s="142"/>
      <c r="J13" s="215"/>
      <c r="K13" s="142"/>
    </row>
    <row r="14" spans="4:11">
      <c r="D14" s="100"/>
      <c r="E14" s="142"/>
      <c r="F14" s="142"/>
      <c r="G14" s="162"/>
      <c r="H14" s="142"/>
      <c r="I14" s="142"/>
      <c r="J14" s="215"/>
      <c r="K14" s="142"/>
    </row>
    <row r="15" spans="4:11">
      <c r="D15" s="100"/>
      <c r="E15" s="142"/>
      <c r="F15" s="142"/>
      <c r="G15" s="162"/>
      <c r="H15" s="142"/>
      <c r="I15" s="142"/>
      <c r="J15" s="215"/>
      <c r="K15" s="142"/>
    </row>
    <row r="16" spans="4:11">
      <c r="D16" s="100"/>
      <c r="E16" s="142"/>
      <c r="F16" s="142"/>
      <c r="G16" s="162"/>
      <c r="H16" s="142"/>
      <c r="I16" s="142"/>
      <c r="J16" s="215"/>
      <c r="K16" s="142"/>
    </row>
    <row r="17" spans="4:11">
      <c r="D17" s="100"/>
      <c r="E17" s="142"/>
      <c r="F17" s="142"/>
      <c r="G17" s="162"/>
      <c r="H17" s="142"/>
      <c r="I17" s="142"/>
      <c r="J17" s="215"/>
      <c r="K17" s="142"/>
    </row>
    <row r="18" spans="4:11">
      <c r="D18" s="100"/>
      <c r="E18" s="142"/>
      <c r="F18" s="142"/>
      <c r="G18" s="162"/>
      <c r="H18" s="142"/>
      <c r="I18" s="142"/>
      <c r="J18" s="215"/>
      <c r="K18" s="142"/>
    </row>
    <row r="19" spans="4:11">
      <c r="D19" s="100"/>
      <c r="E19" s="142"/>
      <c r="F19" s="142"/>
      <c r="G19" s="162"/>
      <c r="H19" s="142"/>
      <c r="I19" s="142"/>
      <c r="J19" s="215"/>
      <c r="K19" s="142"/>
    </row>
    <row r="20" spans="4:11">
      <c r="D20" s="100"/>
      <c r="E20" s="142"/>
      <c r="F20" s="142"/>
      <c r="G20" s="162"/>
      <c r="H20" s="142"/>
      <c r="I20" s="142"/>
      <c r="J20" s="215"/>
      <c r="K20" s="142"/>
    </row>
  </sheetData>
  <mergeCells count="3">
    <mergeCell ref="D4:H4"/>
    <mergeCell ref="I4:J4"/>
    <mergeCell ref="K4:K5"/>
  </mergeCells>
  <phoneticPr fontId="1" type="noConversion"/>
  <dataValidations count="4">
    <dataValidation type="list" allowBlank="1" showInputMessage="1" showErrorMessage="1" sqref="E6:E20">
      <formula1>투자기업_법인유형</formula1>
    </dataValidation>
    <dataValidation type="list" allowBlank="1" showInputMessage="1" showErrorMessage="1" sqref="G6:G20">
      <formula1>제안펀드의_주목적투자분야와_관련성</formula1>
    </dataValidation>
    <dataValidation type="list" allowBlank="1" showInputMessage="1" showErrorMessage="1" sqref="K6:K20 H6:H20">
      <formula1>여부</formula1>
    </dataValidation>
    <dataValidation type="list" allowBlank="1" showInputMessage="1" showErrorMessage="1" sqref="I6:I20">
      <formula1>투자유형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86"/>
  <sheetViews>
    <sheetView showGridLines="0" view="pageBreakPreview" topLeftCell="A10" zoomScaleNormal="100" zoomScaleSheetLayoutView="100" workbookViewId="0">
      <selection activeCell="C4" sqref="C4:C6"/>
    </sheetView>
  </sheetViews>
  <sheetFormatPr defaultRowHeight="16.5"/>
  <cols>
    <col min="1" max="1" width="5.625" customWidth="1"/>
    <col min="2" max="2" width="10.625" customWidth="1"/>
    <col min="3" max="3" width="25.625" customWidth="1"/>
    <col min="4" max="4" width="7.125" customWidth="1"/>
    <col min="5" max="5" width="15.625" customWidth="1"/>
    <col min="6" max="6" width="31.125" customWidth="1"/>
  </cols>
  <sheetData>
    <row r="1" spans="1:6" ht="17.25">
      <c r="A1" s="504" t="s">
        <v>1188</v>
      </c>
      <c r="B1" s="504"/>
      <c r="C1" s="504"/>
      <c r="D1" s="504"/>
      <c r="E1" s="504"/>
      <c r="F1" s="104"/>
    </row>
    <row r="2" spans="1:6" ht="17.25">
      <c r="A2" s="105"/>
      <c r="B2" s="105"/>
      <c r="C2" s="105"/>
      <c r="D2" s="105"/>
      <c r="E2" s="105"/>
      <c r="F2" s="104"/>
    </row>
    <row r="3" spans="1:6">
      <c r="A3" s="505" t="s">
        <v>176</v>
      </c>
      <c r="B3" s="506"/>
      <c r="C3" s="106" t="s">
        <v>177</v>
      </c>
      <c r="D3" s="107"/>
      <c r="E3" s="108" t="s">
        <v>176</v>
      </c>
      <c r="F3" s="106" t="s">
        <v>177</v>
      </c>
    </row>
    <row r="4" spans="1:6" ht="16.5" customHeight="1">
      <c r="A4" s="518" t="s">
        <v>1635</v>
      </c>
      <c r="B4" s="519"/>
      <c r="C4" s="227" t="s">
        <v>1592</v>
      </c>
      <c r="D4" s="107"/>
      <c r="E4" s="489" t="s">
        <v>1306</v>
      </c>
      <c r="F4" s="109" t="s">
        <v>127</v>
      </c>
    </row>
    <row r="5" spans="1:6" ht="16.5" customHeight="1">
      <c r="A5" s="516" t="s">
        <v>1307</v>
      </c>
      <c r="B5" s="517"/>
      <c r="C5" s="228">
        <v>30000</v>
      </c>
      <c r="D5" s="107"/>
      <c r="E5" s="507"/>
      <c r="F5" s="109" t="s">
        <v>128</v>
      </c>
    </row>
    <row r="6" spans="1:6" ht="16.5" customHeight="1">
      <c r="A6" s="510" t="s">
        <v>1309</v>
      </c>
      <c r="B6" s="511"/>
      <c r="C6" s="217" t="s">
        <v>1637</v>
      </c>
      <c r="D6" s="107"/>
      <c r="E6" s="507"/>
      <c r="F6" s="109" t="s">
        <v>138</v>
      </c>
    </row>
    <row r="7" spans="1:6">
      <c r="A7" s="510" t="s">
        <v>1310</v>
      </c>
      <c r="B7" s="511"/>
      <c r="C7" s="187" t="s">
        <v>4</v>
      </c>
      <c r="D7" s="107"/>
      <c r="E7" s="508"/>
      <c r="F7" s="109" t="s">
        <v>203</v>
      </c>
    </row>
    <row r="8" spans="1:6" ht="16.5" customHeight="1">
      <c r="A8" s="512"/>
      <c r="B8" s="513"/>
      <c r="C8" s="187" t="s">
        <v>1595</v>
      </c>
      <c r="D8" s="107"/>
      <c r="E8" s="487" t="s">
        <v>1308</v>
      </c>
      <c r="F8" s="109" t="s">
        <v>72</v>
      </c>
    </row>
    <row r="9" spans="1:6">
      <c r="A9" s="510" t="s">
        <v>1311</v>
      </c>
      <c r="B9" s="511"/>
      <c r="C9" s="187" t="s">
        <v>1283</v>
      </c>
      <c r="D9" s="107"/>
      <c r="E9" s="509"/>
      <c r="F9" s="109" t="s">
        <v>133</v>
      </c>
    </row>
    <row r="10" spans="1:6">
      <c r="A10" s="514"/>
      <c r="B10" s="515"/>
      <c r="C10" s="187" t="s">
        <v>192</v>
      </c>
      <c r="D10" s="107"/>
      <c r="E10" s="509"/>
      <c r="F10" s="109" t="s">
        <v>179</v>
      </c>
    </row>
    <row r="11" spans="1:6">
      <c r="A11" s="514"/>
      <c r="B11" s="515"/>
      <c r="C11" s="187" t="s">
        <v>1596</v>
      </c>
      <c r="D11" s="107"/>
      <c r="E11" s="509"/>
      <c r="F11" s="109" t="s">
        <v>116</v>
      </c>
    </row>
    <row r="12" spans="1:6">
      <c r="A12" s="514"/>
      <c r="B12" s="515"/>
      <c r="C12" s="187" t="s">
        <v>1597</v>
      </c>
      <c r="D12" s="107"/>
      <c r="E12" s="509"/>
      <c r="F12" s="109" t="s">
        <v>202</v>
      </c>
    </row>
    <row r="13" spans="1:6" ht="27">
      <c r="A13" s="512"/>
      <c r="B13" s="513"/>
      <c r="C13" s="187" t="s">
        <v>137</v>
      </c>
      <c r="D13" s="107"/>
      <c r="E13" s="509"/>
      <c r="F13" s="109" t="s">
        <v>1609</v>
      </c>
    </row>
    <row r="14" spans="1:6">
      <c r="A14" s="480" t="s">
        <v>178</v>
      </c>
      <c r="B14" s="481"/>
      <c r="C14" s="109" t="s">
        <v>3</v>
      </c>
      <c r="D14" s="107"/>
      <c r="E14" s="509"/>
      <c r="F14" s="109" t="s">
        <v>1610</v>
      </c>
    </row>
    <row r="15" spans="1:6">
      <c r="A15" s="482"/>
      <c r="B15" s="483"/>
      <c r="C15" s="109" t="s">
        <v>1641</v>
      </c>
      <c r="D15" s="107"/>
      <c r="E15" s="509"/>
      <c r="F15" s="109" t="s">
        <v>1611</v>
      </c>
    </row>
    <row r="16" spans="1:6">
      <c r="A16" s="482"/>
      <c r="B16" s="483"/>
      <c r="C16" s="109" t="s">
        <v>180</v>
      </c>
      <c r="D16" s="107"/>
      <c r="E16" s="509"/>
      <c r="F16" s="110" t="s">
        <v>1612</v>
      </c>
    </row>
    <row r="17" spans="1:6">
      <c r="A17" s="482"/>
      <c r="B17" s="483"/>
      <c r="C17" s="109" t="s">
        <v>1642</v>
      </c>
      <c r="D17" s="107"/>
      <c r="E17" s="509"/>
      <c r="F17" s="109" t="s">
        <v>183</v>
      </c>
    </row>
    <row r="18" spans="1:6">
      <c r="A18" s="482"/>
      <c r="B18" s="483"/>
      <c r="C18" s="109" t="s">
        <v>1643</v>
      </c>
      <c r="D18" s="107"/>
      <c r="E18" s="509"/>
      <c r="F18" s="109" t="s">
        <v>1613</v>
      </c>
    </row>
    <row r="19" spans="1:6">
      <c r="A19" s="482"/>
      <c r="B19" s="483"/>
      <c r="C19" s="109" t="s">
        <v>181</v>
      </c>
      <c r="D19" s="107"/>
      <c r="E19" s="488"/>
      <c r="F19" s="109" t="s">
        <v>137</v>
      </c>
    </row>
    <row r="20" spans="1:6">
      <c r="A20" s="482"/>
      <c r="B20" s="483"/>
      <c r="C20" s="109" t="s">
        <v>1644</v>
      </c>
      <c r="D20" s="107"/>
      <c r="E20" s="489" t="s">
        <v>1312</v>
      </c>
      <c r="F20" s="109" t="s">
        <v>132</v>
      </c>
    </row>
    <row r="21" spans="1:6">
      <c r="A21" s="482"/>
      <c r="B21" s="483"/>
      <c r="C21" s="109" t="s">
        <v>1645</v>
      </c>
      <c r="D21" s="107"/>
      <c r="E21" s="490"/>
      <c r="F21" s="109" t="s">
        <v>1192</v>
      </c>
    </row>
    <row r="22" spans="1:6">
      <c r="A22" s="482"/>
      <c r="B22" s="483"/>
      <c r="C22" s="109" t="s">
        <v>182</v>
      </c>
      <c r="D22" s="107"/>
      <c r="E22" s="491"/>
      <c r="F22" s="109" t="s">
        <v>1193</v>
      </c>
    </row>
    <row r="23" spans="1:6" ht="16.5" customHeight="1">
      <c r="A23" s="482"/>
      <c r="B23" s="483"/>
      <c r="C23" s="109" t="s">
        <v>1646</v>
      </c>
      <c r="D23" s="107"/>
      <c r="E23" s="489" t="s">
        <v>1313</v>
      </c>
      <c r="F23" s="109" t="s">
        <v>134</v>
      </c>
    </row>
    <row r="24" spans="1:6">
      <c r="A24" s="482"/>
      <c r="B24" s="483"/>
      <c r="C24" s="109" t="s">
        <v>1647</v>
      </c>
      <c r="D24" s="107"/>
      <c r="E24" s="490"/>
      <c r="F24" s="109" t="s">
        <v>1186</v>
      </c>
    </row>
    <row r="25" spans="1:6">
      <c r="A25" s="482"/>
      <c r="B25" s="483"/>
      <c r="C25" s="109" t="s">
        <v>1249</v>
      </c>
      <c r="D25" s="107"/>
      <c r="E25" s="490"/>
      <c r="F25" s="109" t="s">
        <v>114</v>
      </c>
    </row>
    <row r="26" spans="1:6" ht="27">
      <c r="A26" s="482"/>
      <c r="B26" s="483"/>
      <c r="C26" s="109" t="s">
        <v>1648</v>
      </c>
      <c r="D26" s="107"/>
      <c r="E26" s="490"/>
      <c r="F26" s="109" t="s">
        <v>1614</v>
      </c>
    </row>
    <row r="27" spans="1:6">
      <c r="A27" s="484"/>
      <c r="B27" s="485"/>
      <c r="C27" s="109" t="s">
        <v>1649</v>
      </c>
      <c r="D27" s="107"/>
      <c r="E27" s="490"/>
      <c r="F27" s="109" t="s">
        <v>1615</v>
      </c>
    </row>
    <row r="28" spans="1:6">
      <c r="A28" s="492" t="s">
        <v>1315</v>
      </c>
      <c r="B28" s="493"/>
      <c r="C28" s="109" t="s">
        <v>70</v>
      </c>
      <c r="D28" s="107"/>
      <c r="E28" s="490"/>
      <c r="F28" s="109" t="s">
        <v>1616</v>
      </c>
    </row>
    <row r="29" spans="1:6">
      <c r="A29" s="494"/>
      <c r="B29" s="495"/>
      <c r="C29" s="109" t="s">
        <v>159</v>
      </c>
      <c r="D29" s="107"/>
      <c r="E29" s="490"/>
      <c r="F29" s="109" t="s">
        <v>1617</v>
      </c>
    </row>
    <row r="30" spans="1:6">
      <c r="A30" s="480" t="s">
        <v>1317</v>
      </c>
      <c r="B30" s="481"/>
      <c r="C30" s="109" t="s">
        <v>10</v>
      </c>
      <c r="D30" s="107"/>
      <c r="E30" s="490"/>
      <c r="F30" s="109" t="s">
        <v>172</v>
      </c>
    </row>
    <row r="31" spans="1:6">
      <c r="A31" s="482"/>
      <c r="B31" s="483"/>
      <c r="C31" s="109" t="s">
        <v>12</v>
      </c>
      <c r="D31" s="107"/>
      <c r="E31" s="491"/>
      <c r="F31" s="109" t="s">
        <v>137</v>
      </c>
    </row>
    <row r="32" spans="1:6">
      <c r="A32" s="482"/>
      <c r="B32" s="483"/>
      <c r="C32" s="109" t="s">
        <v>199</v>
      </c>
      <c r="D32" s="107"/>
      <c r="E32" s="496" t="s">
        <v>1314</v>
      </c>
      <c r="F32" s="109" t="s">
        <v>146</v>
      </c>
    </row>
    <row r="33" spans="1:6">
      <c r="A33" s="482"/>
      <c r="B33" s="483"/>
      <c r="C33" s="109" t="s">
        <v>200</v>
      </c>
      <c r="D33" s="107"/>
      <c r="E33" s="497"/>
      <c r="F33" s="109" t="s">
        <v>147</v>
      </c>
    </row>
    <row r="34" spans="1:6">
      <c r="A34" s="482"/>
      <c r="B34" s="483"/>
      <c r="C34" s="109" t="s">
        <v>1598</v>
      </c>
      <c r="D34" s="107"/>
      <c r="E34" s="497"/>
      <c r="F34" s="109" t="s">
        <v>172</v>
      </c>
    </row>
    <row r="35" spans="1:6">
      <c r="A35" s="482"/>
      <c r="B35" s="483"/>
      <c r="C35" s="109" t="s">
        <v>14</v>
      </c>
      <c r="D35" s="107"/>
      <c r="E35" s="497"/>
      <c r="F35" s="109" t="s">
        <v>148</v>
      </c>
    </row>
    <row r="36" spans="1:6">
      <c r="A36" s="482"/>
      <c r="B36" s="483"/>
      <c r="C36" s="109" t="s">
        <v>16</v>
      </c>
      <c r="D36" s="107"/>
      <c r="E36" s="498"/>
      <c r="F36" s="109" t="s">
        <v>149</v>
      </c>
    </row>
    <row r="37" spans="1:6">
      <c r="A37" s="482"/>
      <c r="B37" s="483"/>
      <c r="C37" s="109" t="s">
        <v>19</v>
      </c>
      <c r="D37" s="107"/>
      <c r="E37" s="489" t="s">
        <v>1316</v>
      </c>
      <c r="F37" s="109" t="s">
        <v>1276</v>
      </c>
    </row>
    <row r="38" spans="1:6">
      <c r="A38" s="482"/>
      <c r="B38" s="483"/>
      <c r="C38" s="109" t="s">
        <v>17</v>
      </c>
      <c r="D38" s="107"/>
      <c r="E38" s="490"/>
      <c r="F38" s="109" t="s">
        <v>1618</v>
      </c>
    </row>
    <row r="39" spans="1:6">
      <c r="A39" s="482"/>
      <c r="B39" s="483"/>
      <c r="C39" s="109" t="s">
        <v>18</v>
      </c>
      <c r="D39" s="107"/>
      <c r="E39" s="490"/>
      <c r="F39" s="109" t="s">
        <v>1277</v>
      </c>
    </row>
    <row r="40" spans="1:6">
      <c r="A40" s="484"/>
      <c r="B40" s="485"/>
      <c r="C40" s="109" t="s">
        <v>1264</v>
      </c>
      <c r="D40" s="107"/>
      <c r="E40" s="490"/>
      <c r="F40" s="110" t="s">
        <v>1280</v>
      </c>
    </row>
    <row r="41" spans="1:6">
      <c r="A41" s="480" t="s">
        <v>1320</v>
      </c>
      <c r="B41" s="481"/>
      <c r="C41" s="109" t="s">
        <v>13</v>
      </c>
      <c r="D41" s="107"/>
      <c r="E41" s="491"/>
      <c r="F41" s="112" t="s">
        <v>1281</v>
      </c>
    </row>
    <row r="42" spans="1:6" ht="27" customHeight="1">
      <c r="A42" s="482"/>
      <c r="B42" s="483"/>
      <c r="C42" s="109" t="s">
        <v>15</v>
      </c>
      <c r="D42" s="107"/>
      <c r="E42" s="489" t="s">
        <v>1318</v>
      </c>
      <c r="F42" s="112" t="s">
        <v>71</v>
      </c>
    </row>
    <row r="43" spans="1:6" ht="16.5" customHeight="1">
      <c r="A43" s="482"/>
      <c r="B43" s="483"/>
      <c r="C43" s="109" t="s">
        <v>11</v>
      </c>
      <c r="D43" s="107"/>
      <c r="E43" s="490"/>
      <c r="F43" s="112" t="s">
        <v>115</v>
      </c>
    </row>
    <row r="44" spans="1:6">
      <c r="A44" s="484"/>
      <c r="B44" s="485"/>
      <c r="C44" s="109" t="s">
        <v>9</v>
      </c>
      <c r="D44" s="107"/>
      <c r="E44" s="490"/>
      <c r="F44" s="112" t="s">
        <v>1619</v>
      </c>
    </row>
    <row r="45" spans="1:6">
      <c r="A45" s="486" t="s">
        <v>184</v>
      </c>
      <c r="B45" s="486"/>
      <c r="C45" s="109" t="s">
        <v>1588</v>
      </c>
      <c r="D45" s="107"/>
      <c r="E45" s="490"/>
      <c r="F45" s="112" t="s">
        <v>135</v>
      </c>
    </row>
    <row r="46" spans="1:6" ht="16.5" customHeight="1">
      <c r="A46" s="486"/>
      <c r="B46" s="486"/>
      <c r="C46" s="109" t="s">
        <v>185</v>
      </c>
      <c r="D46" s="107"/>
      <c r="E46" s="491"/>
      <c r="F46" s="109" t="s">
        <v>1620</v>
      </c>
    </row>
    <row r="47" spans="1:6" ht="27" customHeight="1">
      <c r="A47" s="486"/>
      <c r="B47" s="486"/>
      <c r="C47" s="109" t="s">
        <v>186</v>
      </c>
      <c r="D47" s="107"/>
      <c r="E47" s="489" t="s">
        <v>1319</v>
      </c>
      <c r="F47" s="109" t="s">
        <v>1621</v>
      </c>
    </row>
    <row r="48" spans="1:6">
      <c r="A48" s="486"/>
      <c r="B48" s="486"/>
      <c r="C48" s="109" t="s">
        <v>187</v>
      </c>
      <c r="D48" s="107"/>
      <c r="E48" s="490"/>
      <c r="F48" s="109" t="s">
        <v>1622</v>
      </c>
    </row>
    <row r="49" spans="1:6">
      <c r="A49" s="486"/>
      <c r="B49" s="486"/>
      <c r="C49" s="109" t="s">
        <v>188</v>
      </c>
      <c r="D49" s="107"/>
      <c r="E49" s="490"/>
      <c r="F49" s="109" t="s">
        <v>1623</v>
      </c>
    </row>
    <row r="50" spans="1:6" ht="16.5" customHeight="1">
      <c r="A50" s="486"/>
      <c r="B50" s="486"/>
      <c r="C50" s="109" t="s">
        <v>1599</v>
      </c>
      <c r="D50" s="107"/>
      <c r="E50" s="490"/>
      <c r="F50" s="109" t="s">
        <v>1624</v>
      </c>
    </row>
    <row r="51" spans="1:6">
      <c r="A51" s="486"/>
      <c r="B51" s="486"/>
      <c r="C51" s="109" t="s">
        <v>1600</v>
      </c>
      <c r="D51" s="107"/>
      <c r="E51" s="491"/>
      <c r="F51" s="109" t="s">
        <v>137</v>
      </c>
    </row>
    <row r="52" spans="1:6">
      <c r="A52" s="486"/>
      <c r="B52" s="486"/>
      <c r="C52" s="109" t="s">
        <v>189</v>
      </c>
      <c r="D52" s="107"/>
      <c r="E52" s="489" t="s">
        <v>1321</v>
      </c>
      <c r="F52" s="109" t="s">
        <v>1261</v>
      </c>
    </row>
    <row r="53" spans="1:6">
      <c r="A53" s="486"/>
      <c r="B53" s="486"/>
      <c r="C53" s="109" t="s">
        <v>1601</v>
      </c>
      <c r="D53" s="107"/>
      <c r="E53" s="490"/>
      <c r="F53" s="109" t="s">
        <v>1262</v>
      </c>
    </row>
    <row r="54" spans="1:6">
      <c r="A54" s="486"/>
      <c r="B54" s="486"/>
      <c r="C54" s="109" t="s">
        <v>137</v>
      </c>
      <c r="D54" s="107"/>
      <c r="E54" s="490"/>
      <c r="F54" s="109" t="s">
        <v>1277</v>
      </c>
    </row>
    <row r="55" spans="1:6">
      <c r="A55" s="480" t="s">
        <v>190</v>
      </c>
      <c r="B55" s="481"/>
      <c r="C55" s="111" t="s">
        <v>161</v>
      </c>
      <c r="D55" s="107"/>
      <c r="E55" s="490"/>
      <c r="F55" s="109" t="s">
        <v>1280</v>
      </c>
    </row>
    <row r="56" spans="1:6">
      <c r="A56" s="482"/>
      <c r="B56" s="483"/>
      <c r="C56" s="111" t="s">
        <v>162</v>
      </c>
      <c r="D56" s="107"/>
      <c r="E56" s="490"/>
      <c r="F56" s="109" t="s">
        <v>1625</v>
      </c>
    </row>
    <row r="57" spans="1:6">
      <c r="A57" s="482"/>
      <c r="B57" s="483"/>
      <c r="C57" s="109" t="s">
        <v>164</v>
      </c>
      <c r="D57" s="107"/>
      <c r="E57" s="491"/>
      <c r="F57" s="110" t="s">
        <v>1278</v>
      </c>
    </row>
    <row r="58" spans="1:6" ht="27" customHeight="1">
      <c r="A58" s="482"/>
      <c r="B58" s="483"/>
      <c r="C58" s="109" t="s">
        <v>166</v>
      </c>
      <c r="D58" s="107"/>
      <c r="E58" s="489" t="s">
        <v>1322</v>
      </c>
      <c r="F58" s="109" t="s">
        <v>1273</v>
      </c>
    </row>
    <row r="59" spans="1:6" ht="16.5" customHeight="1">
      <c r="A59" s="484"/>
      <c r="B59" s="485"/>
      <c r="C59" s="109" t="s">
        <v>69</v>
      </c>
      <c r="D59" s="107"/>
      <c r="E59" s="490"/>
      <c r="F59" s="109" t="s">
        <v>1265</v>
      </c>
    </row>
    <row r="60" spans="1:6" ht="16.5" customHeight="1">
      <c r="A60" s="486" t="s">
        <v>191</v>
      </c>
      <c r="B60" s="486"/>
      <c r="C60" s="109" t="s">
        <v>1602</v>
      </c>
      <c r="D60" s="107"/>
      <c r="E60" s="491"/>
      <c r="F60" s="112" t="s">
        <v>1626</v>
      </c>
    </row>
    <row r="61" spans="1:6">
      <c r="A61" s="486"/>
      <c r="B61" s="486"/>
      <c r="C61" s="109" t="s">
        <v>192</v>
      </c>
      <c r="D61" s="107"/>
      <c r="E61" s="496" t="s">
        <v>1323</v>
      </c>
      <c r="F61" s="112" t="s">
        <v>1627</v>
      </c>
    </row>
    <row r="62" spans="1:6">
      <c r="A62" s="486"/>
      <c r="B62" s="486"/>
      <c r="C62" s="109" t="s">
        <v>1603</v>
      </c>
      <c r="D62" s="107"/>
      <c r="E62" s="497"/>
      <c r="F62" s="112" t="s">
        <v>1628</v>
      </c>
    </row>
    <row r="63" spans="1:6">
      <c r="A63" s="486"/>
      <c r="B63" s="486"/>
      <c r="C63" s="109" t="s">
        <v>1604</v>
      </c>
      <c r="D63" s="107"/>
      <c r="E63" s="497"/>
      <c r="F63" s="188" t="s">
        <v>1629</v>
      </c>
    </row>
    <row r="64" spans="1:6" ht="16.5" customHeight="1">
      <c r="A64" s="486"/>
      <c r="B64" s="486"/>
      <c r="C64" s="109" t="s">
        <v>137</v>
      </c>
      <c r="D64" s="107"/>
      <c r="E64" s="497"/>
      <c r="F64" s="112" t="s">
        <v>1630</v>
      </c>
    </row>
    <row r="65" spans="1:6" ht="16.5" customHeight="1">
      <c r="A65" s="486" t="s">
        <v>1325</v>
      </c>
      <c r="B65" s="486"/>
      <c r="C65" s="109" t="s">
        <v>1279</v>
      </c>
      <c r="D65" s="107"/>
      <c r="E65" s="497"/>
      <c r="F65" s="109" t="s">
        <v>1621</v>
      </c>
    </row>
    <row r="66" spans="1:6">
      <c r="A66" s="486"/>
      <c r="B66" s="486"/>
      <c r="C66" s="109" t="s">
        <v>1605</v>
      </c>
      <c r="D66" s="107"/>
      <c r="E66" s="497"/>
      <c r="F66" s="110" t="s">
        <v>1631</v>
      </c>
    </row>
    <row r="67" spans="1:6">
      <c r="A67" s="486"/>
      <c r="B67" s="486"/>
      <c r="C67" s="109" t="s">
        <v>1606</v>
      </c>
      <c r="D67" s="107"/>
      <c r="E67" s="497"/>
      <c r="F67" s="110" t="s">
        <v>1632</v>
      </c>
    </row>
    <row r="68" spans="1:6">
      <c r="A68" s="503" t="s">
        <v>1327</v>
      </c>
      <c r="B68" s="503"/>
      <c r="C68" s="109" t="s">
        <v>131</v>
      </c>
      <c r="D68" s="107"/>
      <c r="E68" s="497"/>
      <c r="F68" s="110" t="s">
        <v>1633</v>
      </c>
    </row>
    <row r="69" spans="1:6" ht="16.5" customHeight="1">
      <c r="A69" s="503"/>
      <c r="B69" s="503"/>
      <c r="C69" s="109" t="s">
        <v>117</v>
      </c>
      <c r="D69" s="107"/>
      <c r="E69" s="498"/>
      <c r="F69" s="110" t="s">
        <v>137</v>
      </c>
    </row>
    <row r="70" spans="1:6" ht="27" customHeight="1">
      <c r="A70" s="502" t="s">
        <v>1328</v>
      </c>
      <c r="B70" s="502"/>
      <c r="C70" s="109" t="s">
        <v>1250</v>
      </c>
      <c r="D70" s="104"/>
      <c r="E70" s="487" t="s">
        <v>1324</v>
      </c>
      <c r="F70" s="217" t="s">
        <v>1650</v>
      </c>
    </row>
    <row r="71" spans="1:6" ht="27" customHeight="1">
      <c r="A71" s="502"/>
      <c r="B71" s="502"/>
      <c r="C71" s="109" t="s">
        <v>1253</v>
      </c>
      <c r="D71" s="104"/>
      <c r="E71" s="488"/>
      <c r="F71" s="110" t="s">
        <v>1651</v>
      </c>
    </row>
    <row r="72" spans="1:6" ht="27" customHeight="1">
      <c r="A72" s="502"/>
      <c r="B72" s="502"/>
      <c r="C72" s="109" t="s">
        <v>1255</v>
      </c>
      <c r="D72" s="104"/>
      <c r="E72" s="499" t="s">
        <v>1326</v>
      </c>
      <c r="F72" s="110" t="s">
        <v>111</v>
      </c>
    </row>
    <row r="73" spans="1:6" ht="27" customHeight="1">
      <c r="A73" s="502"/>
      <c r="B73" s="502"/>
      <c r="C73" s="110" t="s">
        <v>137</v>
      </c>
      <c r="D73" s="104"/>
      <c r="E73" s="500"/>
      <c r="F73" s="112" t="s">
        <v>1185</v>
      </c>
    </row>
    <row r="74" spans="1:6">
      <c r="A74" s="502"/>
      <c r="B74" s="502"/>
      <c r="C74" s="110" t="s">
        <v>1256</v>
      </c>
      <c r="D74" s="104"/>
      <c r="E74" s="501"/>
      <c r="F74" s="112" t="s">
        <v>1274</v>
      </c>
    </row>
    <row r="75" spans="1:6">
      <c r="A75" s="502" t="s">
        <v>1329</v>
      </c>
      <c r="B75" s="503"/>
      <c r="C75" s="109" t="s">
        <v>1607</v>
      </c>
      <c r="D75" s="104"/>
      <c r="E75" s="499" t="s">
        <v>1263</v>
      </c>
      <c r="F75" s="110" t="s">
        <v>1590</v>
      </c>
    </row>
    <row r="76" spans="1:6">
      <c r="A76" s="503"/>
      <c r="B76" s="503"/>
      <c r="C76" s="109" t="s">
        <v>1282</v>
      </c>
      <c r="D76" s="104"/>
      <c r="E76" s="500"/>
      <c r="F76" s="112" t="s">
        <v>1592</v>
      </c>
    </row>
    <row r="77" spans="1:6">
      <c r="A77" s="503"/>
      <c r="B77" s="503"/>
      <c r="C77" s="109" t="s">
        <v>1608</v>
      </c>
      <c r="D77" s="104"/>
      <c r="E77" s="501"/>
      <c r="F77" s="112" t="s">
        <v>1593</v>
      </c>
    </row>
    <row r="78" spans="1:6">
      <c r="D78" s="189"/>
      <c r="E78" s="189"/>
      <c r="F78" s="189"/>
    </row>
    <row r="79" spans="1:6">
      <c r="D79" s="189"/>
      <c r="E79" s="189"/>
      <c r="F79" s="189"/>
    </row>
    <row r="80" spans="1:6" ht="16.5" customHeight="1">
      <c r="D80" s="189"/>
      <c r="E80" s="189"/>
      <c r="F80" s="189"/>
    </row>
    <row r="81" spans="4:6">
      <c r="D81" s="189"/>
      <c r="E81" s="189"/>
      <c r="F81" s="189"/>
    </row>
    <row r="82" spans="4:6">
      <c r="D82" s="189"/>
      <c r="E82" s="189"/>
      <c r="F82" s="189"/>
    </row>
    <row r="83" spans="4:6">
      <c r="D83" s="189"/>
      <c r="E83" s="189"/>
      <c r="F83" s="189"/>
    </row>
    <row r="84" spans="4:6">
      <c r="D84" s="189"/>
    </row>
    <row r="85" spans="4:6">
      <c r="D85" s="189"/>
    </row>
    <row r="86" spans="4:6">
      <c r="D86" s="189"/>
    </row>
  </sheetData>
  <mergeCells count="32">
    <mergeCell ref="A1:E1"/>
    <mergeCell ref="A3:B3"/>
    <mergeCell ref="E4:E7"/>
    <mergeCell ref="E8:E19"/>
    <mergeCell ref="A7:B8"/>
    <mergeCell ref="A9:B13"/>
    <mergeCell ref="A5:B5"/>
    <mergeCell ref="A4:B4"/>
    <mergeCell ref="A6:B6"/>
    <mergeCell ref="A14:B27"/>
    <mergeCell ref="E20:E22"/>
    <mergeCell ref="E75:E77"/>
    <mergeCell ref="E72:E74"/>
    <mergeCell ref="E61:E69"/>
    <mergeCell ref="A75:B77"/>
    <mergeCell ref="A65:B67"/>
    <mergeCell ref="A68:B69"/>
    <mergeCell ref="A70:B74"/>
    <mergeCell ref="A55:B59"/>
    <mergeCell ref="A60:B64"/>
    <mergeCell ref="E70:E71"/>
    <mergeCell ref="E58:E60"/>
    <mergeCell ref="E23:E31"/>
    <mergeCell ref="E52:E57"/>
    <mergeCell ref="A28:B29"/>
    <mergeCell ref="A30:B40"/>
    <mergeCell ref="E42:E46"/>
    <mergeCell ref="E37:E41"/>
    <mergeCell ref="E32:E36"/>
    <mergeCell ref="E47:E51"/>
    <mergeCell ref="A41:B44"/>
    <mergeCell ref="A45:B5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4294967295" verticalDpi="4294967295" r:id="rId1"/>
  <rowBreaks count="1" manualBreakCount="1">
    <brk id="4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1354"/>
  <sheetViews>
    <sheetView showGridLines="0" view="pageBreakPreview" topLeftCell="A961" zoomScale="115" zoomScaleNormal="100" zoomScaleSheetLayoutView="115" workbookViewId="0">
      <selection activeCell="E987" sqref="E987"/>
    </sheetView>
  </sheetViews>
  <sheetFormatPr defaultRowHeight="16.5"/>
  <cols>
    <col min="1" max="1" width="3.625" customWidth="1"/>
    <col min="3" max="3" width="39.125" customWidth="1"/>
    <col min="4" max="4" width="8.75" customWidth="1"/>
    <col min="5" max="5" width="15.375" customWidth="1"/>
    <col min="7" max="7" width="16.625" customWidth="1"/>
    <col min="9" max="9" width="19.875" customWidth="1"/>
    <col min="11" max="11" width="17.375" customWidth="1"/>
    <col min="13" max="13" width="20.5" customWidth="1"/>
    <col min="15" max="15" width="19.25" customWidth="1"/>
  </cols>
  <sheetData>
    <row r="1" spans="1:5" ht="17.25">
      <c r="A1" s="504" t="s">
        <v>1194</v>
      </c>
      <c r="B1" s="504"/>
      <c r="C1" s="504"/>
      <c r="D1" s="504"/>
      <c r="E1" s="504"/>
    </row>
    <row r="2" spans="1:5">
      <c r="B2" s="216" t="s">
        <v>1634</v>
      </c>
    </row>
    <row r="4" spans="1:5">
      <c r="C4" s="122" t="s">
        <v>1195</v>
      </c>
      <c r="D4" s="122" t="s">
        <v>1184</v>
      </c>
    </row>
    <row r="5" spans="1:5">
      <c r="C5" s="120" t="s">
        <v>1178</v>
      </c>
      <c r="D5" s="56">
        <v>1</v>
      </c>
    </row>
    <row r="6" spans="1:5">
      <c r="C6" s="120" t="s">
        <v>204</v>
      </c>
      <c r="D6" s="56">
        <v>2</v>
      </c>
    </row>
    <row r="7" spans="1:5">
      <c r="C7" s="120" t="s">
        <v>205</v>
      </c>
      <c r="D7" s="56">
        <v>3</v>
      </c>
    </row>
    <row r="8" spans="1:5">
      <c r="C8" s="121" t="s">
        <v>206</v>
      </c>
      <c r="D8" s="56">
        <v>4</v>
      </c>
    </row>
    <row r="9" spans="1:5">
      <c r="C9" s="120" t="s">
        <v>207</v>
      </c>
      <c r="D9" s="56">
        <v>5</v>
      </c>
    </row>
    <row r="10" spans="1:5">
      <c r="C10" s="119" t="s">
        <v>208</v>
      </c>
      <c r="D10" s="56">
        <v>6</v>
      </c>
    </row>
    <row r="11" spans="1:5">
      <c r="C11" s="120" t="s">
        <v>209</v>
      </c>
      <c r="D11" s="56">
        <v>7</v>
      </c>
    </row>
    <row r="12" spans="1:5">
      <c r="C12" s="119" t="s">
        <v>210</v>
      </c>
      <c r="D12" s="56">
        <v>8</v>
      </c>
    </row>
    <row r="13" spans="1:5">
      <c r="C13" s="119" t="s">
        <v>211</v>
      </c>
      <c r="D13" s="56">
        <v>9</v>
      </c>
    </row>
    <row r="14" spans="1:5">
      <c r="C14" s="120" t="s">
        <v>212</v>
      </c>
      <c r="D14" s="56">
        <v>10</v>
      </c>
    </row>
    <row r="15" spans="1:5">
      <c r="C15" s="119" t="s">
        <v>213</v>
      </c>
      <c r="D15" s="56">
        <v>11</v>
      </c>
    </row>
    <row r="16" spans="1:5">
      <c r="C16" s="119" t="s">
        <v>214</v>
      </c>
      <c r="D16" s="56">
        <v>12</v>
      </c>
    </row>
    <row r="17" spans="3:4">
      <c r="C17" s="120" t="s">
        <v>215</v>
      </c>
      <c r="D17" s="56">
        <v>13</v>
      </c>
    </row>
    <row r="18" spans="3:4">
      <c r="C18" s="120" t="s">
        <v>216</v>
      </c>
      <c r="D18" s="56">
        <v>14</v>
      </c>
    </row>
    <row r="19" spans="3:4">
      <c r="C19" s="120" t="s">
        <v>1196</v>
      </c>
      <c r="D19" s="56">
        <v>15</v>
      </c>
    </row>
    <row r="20" spans="3:4">
      <c r="C20" s="120" t="s">
        <v>1197</v>
      </c>
      <c r="D20" s="56">
        <v>16</v>
      </c>
    </row>
    <row r="21" spans="3:4">
      <c r="C21" s="119" t="s">
        <v>217</v>
      </c>
      <c r="D21" s="56">
        <v>17</v>
      </c>
    </row>
    <row r="22" spans="3:4">
      <c r="C22" s="120" t="s">
        <v>1198</v>
      </c>
      <c r="D22" s="56">
        <v>18</v>
      </c>
    </row>
    <row r="23" spans="3:4">
      <c r="C23" s="120" t="s">
        <v>218</v>
      </c>
      <c r="D23" s="56">
        <v>19</v>
      </c>
    </row>
    <row r="24" spans="3:4">
      <c r="C24" s="120" t="s">
        <v>219</v>
      </c>
      <c r="D24" s="56">
        <v>20</v>
      </c>
    </row>
    <row r="25" spans="3:4">
      <c r="C25" s="120" t="s">
        <v>1199</v>
      </c>
      <c r="D25" s="56">
        <v>21</v>
      </c>
    </row>
    <row r="26" spans="3:4">
      <c r="C26" s="120" t="s">
        <v>220</v>
      </c>
      <c r="D26" s="56">
        <v>22</v>
      </c>
    </row>
    <row r="27" spans="3:4">
      <c r="C27" s="120" t="s">
        <v>1200</v>
      </c>
      <c r="D27" s="56">
        <v>23</v>
      </c>
    </row>
    <row r="28" spans="3:4">
      <c r="C28" s="119" t="s">
        <v>221</v>
      </c>
      <c r="D28" s="56">
        <v>24</v>
      </c>
    </row>
    <row r="29" spans="3:4">
      <c r="C29" s="120" t="s">
        <v>222</v>
      </c>
      <c r="D29" s="56">
        <v>25</v>
      </c>
    </row>
    <row r="30" spans="3:4">
      <c r="C30" s="120" t="s">
        <v>223</v>
      </c>
      <c r="D30" s="56">
        <v>26</v>
      </c>
    </row>
    <row r="31" spans="3:4">
      <c r="C31" s="120" t="s">
        <v>1201</v>
      </c>
      <c r="D31" s="56">
        <v>27</v>
      </c>
    </row>
    <row r="32" spans="3:4">
      <c r="C32" s="120" t="s">
        <v>224</v>
      </c>
      <c r="D32" s="56">
        <v>28</v>
      </c>
    </row>
    <row r="33" spans="3:4">
      <c r="C33" s="119" t="s">
        <v>225</v>
      </c>
      <c r="D33" s="56">
        <v>29</v>
      </c>
    </row>
    <row r="34" spans="3:4">
      <c r="C34" s="119" t="s">
        <v>226</v>
      </c>
      <c r="D34" s="56">
        <v>30</v>
      </c>
    </row>
    <row r="35" spans="3:4">
      <c r="C35" s="120" t="s">
        <v>227</v>
      </c>
      <c r="D35" s="56">
        <v>31</v>
      </c>
    </row>
    <row r="36" spans="3:4">
      <c r="C36" s="120" t="s">
        <v>228</v>
      </c>
      <c r="D36" s="56">
        <v>32</v>
      </c>
    </row>
    <row r="37" spans="3:4">
      <c r="C37" s="119" t="s">
        <v>229</v>
      </c>
      <c r="D37" s="56">
        <v>33</v>
      </c>
    </row>
    <row r="38" spans="3:4">
      <c r="C38" s="119" t="s">
        <v>230</v>
      </c>
      <c r="D38" s="56">
        <v>34</v>
      </c>
    </row>
    <row r="39" spans="3:4">
      <c r="C39" s="120" t="s">
        <v>231</v>
      </c>
      <c r="D39" s="56">
        <v>35</v>
      </c>
    </row>
    <row r="40" spans="3:4">
      <c r="C40" s="120" t="s">
        <v>232</v>
      </c>
      <c r="D40" s="56">
        <v>36</v>
      </c>
    </row>
    <row r="41" spans="3:4">
      <c r="C41" s="120" t="s">
        <v>233</v>
      </c>
      <c r="D41" s="56">
        <v>37</v>
      </c>
    </row>
    <row r="42" spans="3:4">
      <c r="C42" s="119" t="s">
        <v>234</v>
      </c>
      <c r="D42" s="56">
        <v>38</v>
      </c>
    </row>
    <row r="43" spans="3:4">
      <c r="C43" s="119" t="s">
        <v>235</v>
      </c>
      <c r="D43" s="56">
        <v>39</v>
      </c>
    </row>
    <row r="44" spans="3:4">
      <c r="C44" s="119" t="s">
        <v>236</v>
      </c>
      <c r="D44" s="56">
        <v>40</v>
      </c>
    </row>
    <row r="45" spans="3:4">
      <c r="C45" s="119" t="s">
        <v>237</v>
      </c>
      <c r="D45" s="56">
        <v>41</v>
      </c>
    </row>
    <row r="46" spans="3:4">
      <c r="C46" s="120" t="s">
        <v>238</v>
      </c>
      <c r="D46" s="56">
        <v>42</v>
      </c>
    </row>
    <row r="47" spans="3:4">
      <c r="C47" s="119" t="s">
        <v>239</v>
      </c>
      <c r="D47" s="56">
        <v>43</v>
      </c>
    </row>
    <row r="48" spans="3:4">
      <c r="C48" s="120" t="s">
        <v>240</v>
      </c>
      <c r="D48" s="56">
        <v>44</v>
      </c>
    </row>
    <row r="49" spans="3:4">
      <c r="C49" s="120" t="s">
        <v>241</v>
      </c>
      <c r="D49" s="56">
        <v>45</v>
      </c>
    </row>
    <row r="50" spans="3:4">
      <c r="C50" s="119" t="s">
        <v>242</v>
      </c>
      <c r="D50" s="56">
        <v>46</v>
      </c>
    </row>
    <row r="51" spans="3:4">
      <c r="C51" s="119" t="s">
        <v>243</v>
      </c>
      <c r="D51" s="56">
        <v>47</v>
      </c>
    </row>
    <row r="52" spans="3:4">
      <c r="C52" s="120" t="s">
        <v>244</v>
      </c>
      <c r="D52" s="56">
        <v>48</v>
      </c>
    </row>
    <row r="53" spans="3:4">
      <c r="C53" s="120" t="s">
        <v>245</v>
      </c>
      <c r="D53" s="56">
        <v>49</v>
      </c>
    </row>
    <row r="54" spans="3:4">
      <c r="C54" s="120" t="s">
        <v>246</v>
      </c>
      <c r="D54" s="56">
        <v>50</v>
      </c>
    </row>
    <row r="55" spans="3:4">
      <c r="C55" s="119" t="s">
        <v>247</v>
      </c>
      <c r="D55" s="56">
        <v>51</v>
      </c>
    </row>
    <row r="56" spans="3:4">
      <c r="C56" s="120" t="s">
        <v>248</v>
      </c>
      <c r="D56" s="56">
        <v>52</v>
      </c>
    </row>
    <row r="57" spans="3:4">
      <c r="C57" s="119" t="s">
        <v>249</v>
      </c>
      <c r="D57" s="56">
        <v>53</v>
      </c>
    </row>
    <row r="58" spans="3:4">
      <c r="C58" s="119" t="s">
        <v>250</v>
      </c>
      <c r="D58" s="56">
        <v>54</v>
      </c>
    </row>
    <row r="59" spans="3:4">
      <c r="C59" s="120" t="s">
        <v>251</v>
      </c>
      <c r="D59" s="56">
        <v>55</v>
      </c>
    </row>
    <row r="60" spans="3:4">
      <c r="C60" s="120" t="s">
        <v>252</v>
      </c>
      <c r="D60" s="56">
        <v>56</v>
      </c>
    </row>
    <row r="61" spans="3:4">
      <c r="C61" s="119" t="s">
        <v>253</v>
      </c>
      <c r="D61" s="56">
        <v>57</v>
      </c>
    </row>
    <row r="62" spans="3:4">
      <c r="C62" s="119" t="s">
        <v>254</v>
      </c>
      <c r="D62" s="56">
        <v>58</v>
      </c>
    </row>
    <row r="63" spans="3:4">
      <c r="C63" s="120" t="s">
        <v>255</v>
      </c>
      <c r="D63" s="56">
        <v>59</v>
      </c>
    </row>
    <row r="64" spans="3:4">
      <c r="C64" s="119" t="s">
        <v>256</v>
      </c>
      <c r="D64" s="56">
        <v>60</v>
      </c>
    </row>
    <row r="65" spans="3:4">
      <c r="C65" s="120" t="s">
        <v>257</v>
      </c>
      <c r="D65" s="56">
        <v>61</v>
      </c>
    </row>
    <row r="66" spans="3:4">
      <c r="C66" s="120" t="s">
        <v>258</v>
      </c>
      <c r="D66" s="56">
        <v>62</v>
      </c>
    </row>
    <row r="67" spans="3:4">
      <c r="C67" s="119" t="s">
        <v>259</v>
      </c>
      <c r="D67" s="56">
        <v>63</v>
      </c>
    </row>
    <row r="68" spans="3:4">
      <c r="C68" s="119" t="s">
        <v>260</v>
      </c>
      <c r="D68" s="56">
        <v>64</v>
      </c>
    </row>
    <row r="69" spans="3:4">
      <c r="C69" s="120" t="s">
        <v>261</v>
      </c>
      <c r="D69" s="56">
        <v>65</v>
      </c>
    </row>
    <row r="70" spans="3:4">
      <c r="C70" s="119" t="s">
        <v>262</v>
      </c>
      <c r="D70" s="56">
        <v>66</v>
      </c>
    </row>
    <row r="71" spans="3:4">
      <c r="C71" s="120" t="s">
        <v>263</v>
      </c>
      <c r="D71" s="56">
        <v>67</v>
      </c>
    </row>
    <row r="72" spans="3:4">
      <c r="C72" s="120" t="s">
        <v>264</v>
      </c>
      <c r="D72" s="56">
        <v>68</v>
      </c>
    </row>
    <row r="73" spans="3:4">
      <c r="C73" s="120" t="s">
        <v>265</v>
      </c>
      <c r="D73" s="56">
        <v>69</v>
      </c>
    </row>
    <row r="74" spans="3:4">
      <c r="C74" s="120" t="s">
        <v>266</v>
      </c>
      <c r="D74" s="56">
        <v>70</v>
      </c>
    </row>
    <row r="75" spans="3:4">
      <c r="C75" s="119" t="s">
        <v>267</v>
      </c>
      <c r="D75" s="56">
        <v>71</v>
      </c>
    </row>
    <row r="76" spans="3:4">
      <c r="C76" s="119" t="s">
        <v>268</v>
      </c>
      <c r="D76" s="56">
        <v>72</v>
      </c>
    </row>
    <row r="77" spans="3:4">
      <c r="C77" s="119" t="s">
        <v>269</v>
      </c>
      <c r="D77" s="56">
        <v>73</v>
      </c>
    </row>
    <row r="78" spans="3:4">
      <c r="C78" s="119" t="s">
        <v>270</v>
      </c>
      <c r="D78" s="56">
        <v>74</v>
      </c>
    </row>
    <row r="79" spans="3:4">
      <c r="C79" s="119" t="s">
        <v>271</v>
      </c>
      <c r="D79" s="56">
        <v>75</v>
      </c>
    </row>
    <row r="80" spans="3:4">
      <c r="C80" s="120" t="s">
        <v>272</v>
      </c>
      <c r="D80" s="56">
        <v>76</v>
      </c>
    </row>
    <row r="81" spans="3:4">
      <c r="C81" s="119" t="s">
        <v>273</v>
      </c>
      <c r="D81" s="56">
        <v>77</v>
      </c>
    </row>
    <row r="82" spans="3:4">
      <c r="C82" s="119" t="s">
        <v>274</v>
      </c>
      <c r="D82" s="56">
        <v>78</v>
      </c>
    </row>
    <row r="83" spans="3:4">
      <c r="C83" s="120" t="s">
        <v>275</v>
      </c>
      <c r="D83" s="56">
        <v>79</v>
      </c>
    </row>
    <row r="84" spans="3:4">
      <c r="C84" s="120" t="s">
        <v>276</v>
      </c>
      <c r="D84" s="56">
        <v>80</v>
      </c>
    </row>
    <row r="85" spans="3:4">
      <c r="C85" s="119" t="s">
        <v>277</v>
      </c>
      <c r="D85" s="56">
        <v>81</v>
      </c>
    </row>
    <row r="86" spans="3:4">
      <c r="C86" s="120" t="s">
        <v>278</v>
      </c>
      <c r="D86" s="56">
        <v>82</v>
      </c>
    </row>
    <row r="87" spans="3:4">
      <c r="C87" s="120" t="s">
        <v>279</v>
      </c>
      <c r="D87" s="56">
        <v>83</v>
      </c>
    </row>
    <row r="88" spans="3:4">
      <c r="C88" s="120" t="s">
        <v>280</v>
      </c>
      <c r="D88" s="56">
        <v>84</v>
      </c>
    </row>
    <row r="89" spans="3:4">
      <c r="C89" s="120" t="s">
        <v>281</v>
      </c>
      <c r="D89" s="56">
        <v>85</v>
      </c>
    </row>
    <row r="90" spans="3:4">
      <c r="C90" s="120" t="s">
        <v>282</v>
      </c>
      <c r="D90" s="56">
        <v>86</v>
      </c>
    </row>
    <row r="91" spans="3:4">
      <c r="C91" s="119" t="s">
        <v>283</v>
      </c>
      <c r="D91" s="56">
        <v>87</v>
      </c>
    </row>
    <row r="92" spans="3:4">
      <c r="C92" s="119" t="s">
        <v>284</v>
      </c>
      <c r="D92" s="56">
        <v>88</v>
      </c>
    </row>
    <row r="93" spans="3:4">
      <c r="C93" s="119" t="s">
        <v>285</v>
      </c>
      <c r="D93" s="56">
        <v>89</v>
      </c>
    </row>
    <row r="94" spans="3:4">
      <c r="C94" s="119" t="s">
        <v>286</v>
      </c>
      <c r="D94" s="56">
        <v>90</v>
      </c>
    </row>
    <row r="95" spans="3:4">
      <c r="C95" s="120" t="s">
        <v>287</v>
      </c>
      <c r="D95" s="56">
        <v>91</v>
      </c>
    </row>
    <row r="96" spans="3:4">
      <c r="C96" s="119" t="s">
        <v>288</v>
      </c>
      <c r="D96" s="56">
        <v>92</v>
      </c>
    </row>
    <row r="97" spans="3:4">
      <c r="C97" s="120" t="s">
        <v>289</v>
      </c>
      <c r="D97" s="56">
        <v>93</v>
      </c>
    </row>
    <row r="98" spans="3:4">
      <c r="C98" s="119" t="s">
        <v>290</v>
      </c>
      <c r="D98" s="56">
        <v>94</v>
      </c>
    </row>
    <row r="99" spans="3:4">
      <c r="C99" s="120" t="s">
        <v>291</v>
      </c>
      <c r="D99" s="56">
        <v>95</v>
      </c>
    </row>
    <row r="100" spans="3:4">
      <c r="C100" s="119" t="s">
        <v>292</v>
      </c>
      <c r="D100" s="56">
        <v>96</v>
      </c>
    </row>
    <row r="101" spans="3:4">
      <c r="C101" s="119" t="s">
        <v>293</v>
      </c>
      <c r="D101" s="56">
        <v>97</v>
      </c>
    </row>
    <row r="102" spans="3:4">
      <c r="C102" s="119" t="s">
        <v>294</v>
      </c>
      <c r="D102" s="56">
        <v>98</v>
      </c>
    </row>
    <row r="103" spans="3:4">
      <c r="C103" s="119" t="s">
        <v>295</v>
      </c>
      <c r="D103" s="56">
        <v>99</v>
      </c>
    </row>
    <row r="104" spans="3:4">
      <c r="C104" s="120" t="s">
        <v>296</v>
      </c>
      <c r="D104" s="56">
        <v>100</v>
      </c>
    </row>
    <row r="105" spans="3:4">
      <c r="C105" s="120" t="s">
        <v>297</v>
      </c>
      <c r="D105" s="56">
        <v>101</v>
      </c>
    </row>
    <row r="106" spans="3:4">
      <c r="C106" s="119" t="s">
        <v>298</v>
      </c>
      <c r="D106" s="56">
        <v>102</v>
      </c>
    </row>
    <row r="107" spans="3:4">
      <c r="C107" s="119" t="s">
        <v>299</v>
      </c>
      <c r="D107" s="56">
        <v>103</v>
      </c>
    </row>
    <row r="108" spans="3:4">
      <c r="C108" s="120" t="s">
        <v>300</v>
      </c>
      <c r="D108" s="56">
        <v>104</v>
      </c>
    </row>
    <row r="109" spans="3:4">
      <c r="C109" s="120" t="s">
        <v>301</v>
      </c>
      <c r="D109" s="56">
        <v>105</v>
      </c>
    </row>
    <row r="110" spans="3:4">
      <c r="C110" s="119" t="s">
        <v>302</v>
      </c>
      <c r="D110" s="56">
        <v>106</v>
      </c>
    </row>
    <row r="111" spans="3:4">
      <c r="C111" s="120" t="s">
        <v>303</v>
      </c>
      <c r="D111" s="56">
        <v>107</v>
      </c>
    </row>
    <row r="112" spans="3:4">
      <c r="C112" s="120" t="s">
        <v>304</v>
      </c>
      <c r="D112" s="56">
        <v>108</v>
      </c>
    </row>
    <row r="113" spans="3:4">
      <c r="C113" s="120" t="s">
        <v>305</v>
      </c>
      <c r="D113" s="56">
        <v>109</v>
      </c>
    </row>
    <row r="114" spans="3:4">
      <c r="C114" s="119" t="s">
        <v>306</v>
      </c>
      <c r="D114" s="56">
        <v>110</v>
      </c>
    </row>
    <row r="115" spans="3:4">
      <c r="C115" s="120" t="s">
        <v>307</v>
      </c>
      <c r="D115" s="56">
        <v>111</v>
      </c>
    </row>
    <row r="116" spans="3:4">
      <c r="C116" s="119" t="s">
        <v>308</v>
      </c>
      <c r="D116" s="56">
        <v>112</v>
      </c>
    </row>
    <row r="117" spans="3:4">
      <c r="C117" s="120" t="s">
        <v>309</v>
      </c>
      <c r="D117" s="56">
        <v>113</v>
      </c>
    </row>
    <row r="118" spans="3:4">
      <c r="C118" s="120" t="s">
        <v>310</v>
      </c>
      <c r="D118" s="56">
        <v>114</v>
      </c>
    </row>
    <row r="119" spans="3:4">
      <c r="C119" s="120" t="s">
        <v>311</v>
      </c>
      <c r="D119" s="56">
        <v>115</v>
      </c>
    </row>
    <row r="120" spans="3:4">
      <c r="C120" s="120" t="s">
        <v>312</v>
      </c>
      <c r="D120" s="56">
        <v>116</v>
      </c>
    </row>
    <row r="121" spans="3:4">
      <c r="C121" s="119" t="s">
        <v>1180</v>
      </c>
      <c r="D121" s="56">
        <v>117</v>
      </c>
    </row>
    <row r="122" spans="3:4">
      <c r="C122" s="120" t="s">
        <v>313</v>
      </c>
      <c r="D122" s="56">
        <v>118</v>
      </c>
    </row>
    <row r="123" spans="3:4">
      <c r="C123" s="120" t="s">
        <v>314</v>
      </c>
      <c r="D123" s="56">
        <v>119</v>
      </c>
    </row>
    <row r="124" spans="3:4">
      <c r="C124" s="120" t="s">
        <v>315</v>
      </c>
      <c r="D124" s="56">
        <v>120</v>
      </c>
    </row>
    <row r="125" spans="3:4">
      <c r="C125" s="120" t="s">
        <v>316</v>
      </c>
      <c r="D125" s="56">
        <v>121</v>
      </c>
    </row>
    <row r="126" spans="3:4">
      <c r="C126" s="120" t="s">
        <v>317</v>
      </c>
      <c r="D126" s="56">
        <v>122</v>
      </c>
    </row>
    <row r="127" spans="3:4">
      <c r="C127" s="120" t="s">
        <v>318</v>
      </c>
      <c r="D127" s="56">
        <v>123</v>
      </c>
    </row>
    <row r="128" spans="3:4">
      <c r="C128" s="120" t="s">
        <v>319</v>
      </c>
      <c r="D128" s="56">
        <v>124</v>
      </c>
    </row>
    <row r="129" spans="3:4">
      <c r="C129" s="120" t="s">
        <v>320</v>
      </c>
      <c r="D129" s="56">
        <v>125</v>
      </c>
    </row>
    <row r="130" spans="3:4">
      <c r="C130" s="119" t="s">
        <v>321</v>
      </c>
      <c r="D130" s="56">
        <v>126</v>
      </c>
    </row>
    <row r="131" spans="3:4">
      <c r="C131" s="120" t="s">
        <v>322</v>
      </c>
      <c r="D131" s="56">
        <v>127</v>
      </c>
    </row>
    <row r="132" spans="3:4">
      <c r="C132" s="119" t="s">
        <v>323</v>
      </c>
      <c r="D132" s="56">
        <v>128</v>
      </c>
    </row>
    <row r="133" spans="3:4">
      <c r="C133" s="120" t="s">
        <v>324</v>
      </c>
      <c r="D133" s="56">
        <v>129</v>
      </c>
    </row>
    <row r="134" spans="3:4">
      <c r="C134" s="120" t="s">
        <v>325</v>
      </c>
      <c r="D134" s="56">
        <v>130</v>
      </c>
    </row>
    <row r="135" spans="3:4">
      <c r="C135" s="120" t="s">
        <v>326</v>
      </c>
      <c r="D135" s="56">
        <v>131</v>
      </c>
    </row>
    <row r="136" spans="3:4">
      <c r="C136" s="120" t="s">
        <v>327</v>
      </c>
      <c r="D136" s="56">
        <v>132</v>
      </c>
    </row>
    <row r="137" spans="3:4">
      <c r="C137" s="119" t="s">
        <v>328</v>
      </c>
      <c r="D137" s="56">
        <v>133</v>
      </c>
    </row>
    <row r="138" spans="3:4">
      <c r="C138" s="119" t="s">
        <v>329</v>
      </c>
      <c r="D138" s="56">
        <v>134</v>
      </c>
    </row>
    <row r="139" spans="3:4">
      <c r="C139" s="120" t="s">
        <v>330</v>
      </c>
      <c r="D139" s="56">
        <v>135</v>
      </c>
    </row>
    <row r="140" spans="3:4">
      <c r="C140" s="120" t="s">
        <v>331</v>
      </c>
      <c r="D140" s="56">
        <v>136</v>
      </c>
    </row>
    <row r="141" spans="3:4">
      <c r="C141" s="120" t="s">
        <v>332</v>
      </c>
      <c r="D141" s="56">
        <v>137</v>
      </c>
    </row>
    <row r="142" spans="3:4">
      <c r="C142" s="120" t="s">
        <v>333</v>
      </c>
      <c r="D142" s="56">
        <v>138</v>
      </c>
    </row>
    <row r="143" spans="3:4">
      <c r="C143" s="120" t="s">
        <v>334</v>
      </c>
      <c r="D143" s="56">
        <v>139</v>
      </c>
    </row>
    <row r="144" spans="3:4">
      <c r="C144" s="120" t="s">
        <v>335</v>
      </c>
      <c r="D144" s="56">
        <v>140</v>
      </c>
    </row>
    <row r="145" spans="3:4">
      <c r="C145" s="120" t="s">
        <v>336</v>
      </c>
      <c r="D145" s="56">
        <v>141</v>
      </c>
    </row>
    <row r="146" spans="3:4">
      <c r="C146" s="120" t="s">
        <v>337</v>
      </c>
      <c r="D146" s="56">
        <v>142</v>
      </c>
    </row>
    <row r="147" spans="3:4">
      <c r="C147" s="120" t="s">
        <v>338</v>
      </c>
      <c r="D147" s="56">
        <v>143</v>
      </c>
    </row>
    <row r="148" spans="3:4">
      <c r="C148" s="120" t="s">
        <v>339</v>
      </c>
      <c r="D148" s="56">
        <v>144</v>
      </c>
    </row>
    <row r="149" spans="3:4">
      <c r="C149" s="119" t="s">
        <v>340</v>
      </c>
      <c r="D149" s="56">
        <v>145</v>
      </c>
    </row>
    <row r="150" spans="3:4">
      <c r="C150" s="119" t="s">
        <v>341</v>
      </c>
      <c r="D150" s="56">
        <v>146</v>
      </c>
    </row>
    <row r="151" spans="3:4">
      <c r="C151" s="120" t="s">
        <v>342</v>
      </c>
      <c r="D151" s="56">
        <v>147</v>
      </c>
    </row>
    <row r="152" spans="3:4">
      <c r="C152" s="120" t="s">
        <v>343</v>
      </c>
      <c r="D152" s="56">
        <v>148</v>
      </c>
    </row>
    <row r="153" spans="3:4">
      <c r="C153" s="119" t="s">
        <v>344</v>
      </c>
      <c r="D153" s="56">
        <v>149</v>
      </c>
    </row>
    <row r="154" spans="3:4">
      <c r="C154" s="119" t="s">
        <v>345</v>
      </c>
      <c r="D154" s="56">
        <v>150</v>
      </c>
    </row>
    <row r="155" spans="3:4">
      <c r="C155" s="119" t="s">
        <v>346</v>
      </c>
      <c r="D155" s="56">
        <v>151</v>
      </c>
    </row>
    <row r="156" spans="3:4">
      <c r="C156" s="120" t="s">
        <v>347</v>
      </c>
      <c r="D156" s="56">
        <v>152</v>
      </c>
    </row>
    <row r="157" spans="3:4">
      <c r="C157" s="120" t="s">
        <v>348</v>
      </c>
      <c r="D157" s="56">
        <v>153</v>
      </c>
    </row>
    <row r="158" spans="3:4">
      <c r="C158" s="120" t="s">
        <v>349</v>
      </c>
      <c r="D158" s="56">
        <v>154</v>
      </c>
    </row>
    <row r="159" spans="3:4">
      <c r="C159" s="119" t="s">
        <v>350</v>
      </c>
      <c r="D159" s="56">
        <v>155</v>
      </c>
    </row>
    <row r="160" spans="3:4">
      <c r="C160" s="120" t="s">
        <v>351</v>
      </c>
      <c r="D160" s="56">
        <v>156</v>
      </c>
    </row>
    <row r="161" spans="3:4">
      <c r="C161" s="120" t="s">
        <v>352</v>
      </c>
      <c r="D161" s="56">
        <v>157</v>
      </c>
    </row>
    <row r="162" spans="3:4">
      <c r="C162" s="119" t="s">
        <v>353</v>
      </c>
      <c r="D162" s="56">
        <v>158</v>
      </c>
    </row>
    <row r="163" spans="3:4">
      <c r="C163" s="120" t="s">
        <v>354</v>
      </c>
      <c r="D163" s="56">
        <v>159</v>
      </c>
    </row>
    <row r="164" spans="3:4">
      <c r="C164" s="120" t="s">
        <v>355</v>
      </c>
      <c r="D164" s="56">
        <v>160</v>
      </c>
    </row>
    <row r="165" spans="3:4">
      <c r="C165" s="120" t="s">
        <v>356</v>
      </c>
      <c r="D165" s="56">
        <v>161</v>
      </c>
    </row>
    <row r="166" spans="3:4">
      <c r="C166" s="120" t="s">
        <v>357</v>
      </c>
      <c r="D166" s="56">
        <v>162</v>
      </c>
    </row>
    <row r="167" spans="3:4">
      <c r="C167" s="120" t="s">
        <v>358</v>
      </c>
      <c r="D167" s="56">
        <v>163</v>
      </c>
    </row>
    <row r="168" spans="3:4">
      <c r="C168" s="120" t="s">
        <v>359</v>
      </c>
      <c r="D168" s="56">
        <v>164</v>
      </c>
    </row>
    <row r="169" spans="3:4">
      <c r="C169" s="120" t="s">
        <v>360</v>
      </c>
      <c r="D169" s="56">
        <v>165</v>
      </c>
    </row>
    <row r="170" spans="3:4">
      <c r="C170" s="120" t="s">
        <v>361</v>
      </c>
      <c r="D170" s="56">
        <v>166</v>
      </c>
    </row>
    <row r="171" spans="3:4">
      <c r="C171" s="119" t="s">
        <v>362</v>
      </c>
      <c r="D171" s="56">
        <v>167</v>
      </c>
    </row>
    <row r="172" spans="3:4">
      <c r="C172" s="119" t="s">
        <v>363</v>
      </c>
      <c r="D172" s="56">
        <v>168</v>
      </c>
    </row>
    <row r="173" spans="3:4">
      <c r="C173" s="120" t="s">
        <v>364</v>
      </c>
      <c r="D173" s="56">
        <v>169</v>
      </c>
    </row>
    <row r="174" spans="3:4">
      <c r="C174" s="120" t="s">
        <v>365</v>
      </c>
      <c r="D174" s="56">
        <v>170</v>
      </c>
    </row>
    <row r="175" spans="3:4">
      <c r="C175" s="119" t="s">
        <v>366</v>
      </c>
      <c r="D175" s="56">
        <v>171</v>
      </c>
    </row>
    <row r="176" spans="3:4">
      <c r="C176" s="120" t="s">
        <v>367</v>
      </c>
      <c r="D176" s="56">
        <v>172</v>
      </c>
    </row>
    <row r="177" spans="3:4">
      <c r="C177" s="120" t="s">
        <v>368</v>
      </c>
      <c r="D177" s="56">
        <v>173</v>
      </c>
    </row>
    <row r="178" spans="3:4">
      <c r="C178" s="119" t="s">
        <v>369</v>
      </c>
      <c r="D178" s="56">
        <v>174</v>
      </c>
    </row>
    <row r="179" spans="3:4">
      <c r="C179" s="120" t="s">
        <v>370</v>
      </c>
      <c r="D179" s="56">
        <v>175</v>
      </c>
    </row>
    <row r="180" spans="3:4">
      <c r="C180" s="119" t="s">
        <v>371</v>
      </c>
      <c r="D180" s="56">
        <v>176</v>
      </c>
    </row>
    <row r="181" spans="3:4">
      <c r="C181" s="120" t="s">
        <v>372</v>
      </c>
      <c r="D181" s="56">
        <v>177</v>
      </c>
    </row>
    <row r="182" spans="3:4">
      <c r="C182" s="120" t="s">
        <v>373</v>
      </c>
      <c r="D182" s="56">
        <v>178</v>
      </c>
    </row>
    <row r="183" spans="3:4">
      <c r="C183" s="120" t="s">
        <v>374</v>
      </c>
      <c r="D183" s="56">
        <v>179</v>
      </c>
    </row>
    <row r="184" spans="3:4">
      <c r="C184" s="120" t="s">
        <v>375</v>
      </c>
      <c r="D184" s="56">
        <v>180</v>
      </c>
    </row>
    <row r="185" spans="3:4">
      <c r="C185" s="120" t="s">
        <v>376</v>
      </c>
      <c r="D185" s="56">
        <v>181</v>
      </c>
    </row>
    <row r="186" spans="3:4">
      <c r="C186" s="120" t="s">
        <v>377</v>
      </c>
      <c r="D186" s="56">
        <v>182</v>
      </c>
    </row>
    <row r="187" spans="3:4">
      <c r="C187" s="120" t="s">
        <v>378</v>
      </c>
      <c r="D187" s="56">
        <v>183</v>
      </c>
    </row>
    <row r="188" spans="3:4">
      <c r="C188" s="120" t="s">
        <v>379</v>
      </c>
      <c r="D188" s="56">
        <v>184</v>
      </c>
    </row>
    <row r="189" spans="3:4">
      <c r="C189" s="120" t="s">
        <v>380</v>
      </c>
      <c r="D189" s="56">
        <v>185</v>
      </c>
    </row>
    <row r="190" spans="3:4">
      <c r="C190" s="120" t="s">
        <v>381</v>
      </c>
      <c r="D190" s="56">
        <v>186</v>
      </c>
    </row>
    <row r="191" spans="3:4">
      <c r="C191" s="119" t="s">
        <v>382</v>
      </c>
      <c r="D191" s="56">
        <v>187</v>
      </c>
    </row>
    <row r="192" spans="3:4">
      <c r="C192" s="119" t="s">
        <v>383</v>
      </c>
      <c r="D192" s="56">
        <v>188</v>
      </c>
    </row>
    <row r="193" spans="3:4">
      <c r="C193" s="120" t="s">
        <v>384</v>
      </c>
      <c r="D193" s="56">
        <v>189</v>
      </c>
    </row>
    <row r="194" spans="3:4">
      <c r="C194" s="120" t="s">
        <v>385</v>
      </c>
      <c r="D194" s="56">
        <v>190</v>
      </c>
    </row>
    <row r="195" spans="3:4">
      <c r="C195" s="120" t="s">
        <v>386</v>
      </c>
      <c r="D195" s="56">
        <v>191</v>
      </c>
    </row>
    <row r="196" spans="3:4">
      <c r="C196" s="120" t="s">
        <v>387</v>
      </c>
      <c r="D196" s="56">
        <v>192</v>
      </c>
    </row>
    <row r="197" spans="3:4">
      <c r="C197" s="119" t="s">
        <v>388</v>
      </c>
      <c r="D197" s="56">
        <v>193</v>
      </c>
    </row>
    <row r="198" spans="3:4">
      <c r="C198" s="119" t="s">
        <v>389</v>
      </c>
      <c r="D198" s="56">
        <v>194</v>
      </c>
    </row>
    <row r="199" spans="3:4">
      <c r="C199" s="119" t="s">
        <v>390</v>
      </c>
      <c r="D199" s="56">
        <v>195</v>
      </c>
    </row>
    <row r="200" spans="3:4">
      <c r="C200" s="119" t="s">
        <v>391</v>
      </c>
      <c r="D200" s="56">
        <v>196</v>
      </c>
    </row>
    <row r="201" spans="3:4">
      <c r="C201" s="119" t="s">
        <v>392</v>
      </c>
      <c r="D201" s="56">
        <v>197</v>
      </c>
    </row>
    <row r="202" spans="3:4">
      <c r="C202" s="120" t="s">
        <v>393</v>
      </c>
      <c r="D202" s="56">
        <v>198</v>
      </c>
    </row>
    <row r="203" spans="3:4">
      <c r="C203" s="119" t="s">
        <v>394</v>
      </c>
      <c r="D203" s="56">
        <v>199</v>
      </c>
    </row>
    <row r="204" spans="3:4">
      <c r="C204" s="120" t="s">
        <v>395</v>
      </c>
      <c r="D204" s="56">
        <v>200</v>
      </c>
    </row>
    <row r="205" spans="3:4">
      <c r="C205" s="120" t="s">
        <v>396</v>
      </c>
      <c r="D205" s="56">
        <v>201</v>
      </c>
    </row>
    <row r="206" spans="3:4">
      <c r="C206" s="119" t="s">
        <v>397</v>
      </c>
      <c r="D206" s="56">
        <v>202</v>
      </c>
    </row>
    <row r="207" spans="3:4">
      <c r="C207" s="119" t="s">
        <v>398</v>
      </c>
      <c r="D207" s="56">
        <v>203</v>
      </c>
    </row>
    <row r="208" spans="3:4">
      <c r="C208" s="119" t="s">
        <v>399</v>
      </c>
      <c r="D208" s="56">
        <v>204</v>
      </c>
    </row>
    <row r="209" spans="3:4">
      <c r="C209" s="119" t="s">
        <v>400</v>
      </c>
      <c r="D209" s="56">
        <v>205</v>
      </c>
    </row>
    <row r="210" spans="3:4">
      <c r="C210" s="120" t="s">
        <v>401</v>
      </c>
      <c r="D210" s="56">
        <v>206</v>
      </c>
    </row>
    <row r="211" spans="3:4">
      <c r="C211" s="120" t="s">
        <v>402</v>
      </c>
      <c r="D211" s="56">
        <v>207</v>
      </c>
    </row>
    <row r="212" spans="3:4">
      <c r="C212" s="120" t="s">
        <v>403</v>
      </c>
      <c r="D212" s="56">
        <v>208</v>
      </c>
    </row>
    <row r="213" spans="3:4">
      <c r="C213" s="119" t="s">
        <v>404</v>
      </c>
      <c r="D213" s="56">
        <v>209</v>
      </c>
    </row>
    <row r="214" spans="3:4">
      <c r="C214" s="120" t="s">
        <v>405</v>
      </c>
      <c r="D214" s="56">
        <v>210</v>
      </c>
    </row>
    <row r="215" spans="3:4">
      <c r="C215" s="120" t="s">
        <v>406</v>
      </c>
      <c r="D215" s="56">
        <v>211</v>
      </c>
    </row>
    <row r="216" spans="3:4">
      <c r="C216" s="120" t="s">
        <v>407</v>
      </c>
      <c r="D216" s="56">
        <v>212</v>
      </c>
    </row>
    <row r="217" spans="3:4">
      <c r="C217" s="119" t="s">
        <v>408</v>
      </c>
      <c r="D217" s="56">
        <v>213</v>
      </c>
    </row>
    <row r="218" spans="3:4">
      <c r="C218" s="120" t="s">
        <v>409</v>
      </c>
      <c r="D218" s="56">
        <v>214</v>
      </c>
    </row>
    <row r="219" spans="3:4">
      <c r="C219" s="120" t="s">
        <v>410</v>
      </c>
      <c r="D219" s="56">
        <v>215</v>
      </c>
    </row>
    <row r="220" spans="3:4">
      <c r="C220" s="119" t="s">
        <v>411</v>
      </c>
      <c r="D220" s="56">
        <v>216</v>
      </c>
    </row>
    <row r="221" spans="3:4">
      <c r="C221" s="120" t="s">
        <v>412</v>
      </c>
      <c r="D221" s="56">
        <v>217</v>
      </c>
    </row>
    <row r="222" spans="3:4">
      <c r="C222" s="120" t="s">
        <v>413</v>
      </c>
      <c r="D222" s="56">
        <v>218</v>
      </c>
    </row>
    <row r="223" spans="3:4">
      <c r="C223" s="120" t="s">
        <v>414</v>
      </c>
      <c r="D223" s="56">
        <v>219</v>
      </c>
    </row>
    <row r="224" spans="3:4">
      <c r="C224" s="120" t="s">
        <v>415</v>
      </c>
      <c r="D224" s="56">
        <v>220</v>
      </c>
    </row>
    <row r="225" spans="3:4">
      <c r="C225" s="120" t="s">
        <v>416</v>
      </c>
      <c r="D225" s="56">
        <v>221</v>
      </c>
    </row>
    <row r="226" spans="3:4">
      <c r="C226" s="120" t="s">
        <v>417</v>
      </c>
      <c r="D226" s="56">
        <v>222</v>
      </c>
    </row>
    <row r="227" spans="3:4">
      <c r="C227" s="119" t="s">
        <v>418</v>
      </c>
      <c r="D227" s="56">
        <v>223</v>
      </c>
    </row>
    <row r="228" spans="3:4">
      <c r="C228" s="120" t="s">
        <v>419</v>
      </c>
      <c r="D228" s="56">
        <v>224</v>
      </c>
    </row>
    <row r="229" spans="3:4">
      <c r="C229" s="120" t="s">
        <v>420</v>
      </c>
      <c r="D229" s="56">
        <v>225</v>
      </c>
    </row>
    <row r="230" spans="3:4">
      <c r="C230" s="119" t="s">
        <v>421</v>
      </c>
      <c r="D230" s="56">
        <v>226</v>
      </c>
    </row>
    <row r="231" spans="3:4">
      <c r="C231" s="120" t="s">
        <v>422</v>
      </c>
      <c r="D231" s="56">
        <v>227</v>
      </c>
    </row>
    <row r="232" spans="3:4">
      <c r="C232" s="120" t="s">
        <v>423</v>
      </c>
      <c r="D232" s="56">
        <v>228</v>
      </c>
    </row>
    <row r="233" spans="3:4">
      <c r="C233" s="120" t="s">
        <v>424</v>
      </c>
      <c r="D233" s="56">
        <v>229</v>
      </c>
    </row>
    <row r="234" spans="3:4">
      <c r="C234" s="120" t="s">
        <v>425</v>
      </c>
      <c r="D234" s="56">
        <v>230</v>
      </c>
    </row>
    <row r="235" spans="3:4">
      <c r="C235" s="120" t="s">
        <v>426</v>
      </c>
      <c r="D235" s="56">
        <v>231</v>
      </c>
    </row>
    <row r="236" spans="3:4">
      <c r="C236" s="120" t="s">
        <v>427</v>
      </c>
      <c r="D236" s="56">
        <v>232</v>
      </c>
    </row>
    <row r="237" spans="3:4">
      <c r="C237" s="120" t="s">
        <v>428</v>
      </c>
      <c r="D237" s="56">
        <v>233</v>
      </c>
    </row>
    <row r="238" spans="3:4">
      <c r="C238" s="120" t="s">
        <v>429</v>
      </c>
      <c r="D238" s="56">
        <v>234</v>
      </c>
    </row>
    <row r="239" spans="3:4">
      <c r="C239" s="120" t="s">
        <v>430</v>
      </c>
      <c r="D239" s="56">
        <v>235</v>
      </c>
    </row>
    <row r="240" spans="3:4">
      <c r="C240" s="120" t="s">
        <v>431</v>
      </c>
      <c r="D240" s="56">
        <v>236</v>
      </c>
    </row>
    <row r="241" spans="3:4">
      <c r="C241" s="120" t="s">
        <v>432</v>
      </c>
      <c r="D241" s="56">
        <v>237</v>
      </c>
    </row>
    <row r="242" spans="3:4">
      <c r="C242" s="120" t="s">
        <v>433</v>
      </c>
      <c r="D242" s="56">
        <v>238</v>
      </c>
    </row>
    <row r="243" spans="3:4">
      <c r="C243" s="120" t="s">
        <v>434</v>
      </c>
      <c r="D243" s="56">
        <v>239</v>
      </c>
    </row>
    <row r="244" spans="3:4">
      <c r="C244" s="120" t="s">
        <v>435</v>
      </c>
      <c r="D244" s="56">
        <v>240</v>
      </c>
    </row>
    <row r="245" spans="3:4">
      <c r="C245" s="120" t="s">
        <v>436</v>
      </c>
      <c r="D245" s="56">
        <v>241</v>
      </c>
    </row>
    <row r="246" spans="3:4">
      <c r="C246" s="119" t="s">
        <v>437</v>
      </c>
      <c r="D246" s="56">
        <v>242</v>
      </c>
    </row>
    <row r="247" spans="3:4">
      <c r="C247" s="120" t="s">
        <v>438</v>
      </c>
      <c r="D247" s="56">
        <v>243</v>
      </c>
    </row>
    <row r="248" spans="3:4">
      <c r="C248" s="120" t="s">
        <v>439</v>
      </c>
      <c r="D248" s="56">
        <v>244</v>
      </c>
    </row>
    <row r="249" spans="3:4">
      <c r="C249" s="119" t="s">
        <v>440</v>
      </c>
      <c r="D249" s="56">
        <v>245</v>
      </c>
    </row>
    <row r="250" spans="3:4">
      <c r="C250" s="120" t="s">
        <v>441</v>
      </c>
      <c r="D250" s="56">
        <v>246</v>
      </c>
    </row>
    <row r="251" spans="3:4">
      <c r="C251" s="119" t="s">
        <v>442</v>
      </c>
      <c r="D251" s="56">
        <v>247</v>
      </c>
    </row>
    <row r="252" spans="3:4">
      <c r="C252" s="119" t="s">
        <v>443</v>
      </c>
      <c r="D252" s="56">
        <v>248</v>
      </c>
    </row>
    <row r="253" spans="3:4">
      <c r="C253" s="119" t="s">
        <v>444</v>
      </c>
      <c r="D253" s="56">
        <v>249</v>
      </c>
    </row>
    <row r="254" spans="3:4">
      <c r="C254" s="120" t="s">
        <v>445</v>
      </c>
      <c r="D254" s="56">
        <v>250</v>
      </c>
    </row>
    <row r="255" spans="3:4">
      <c r="C255" s="119" t="s">
        <v>446</v>
      </c>
      <c r="D255" s="56">
        <v>251</v>
      </c>
    </row>
    <row r="256" spans="3:4">
      <c r="C256" s="120" t="s">
        <v>447</v>
      </c>
      <c r="D256" s="56">
        <v>252</v>
      </c>
    </row>
    <row r="257" spans="3:4">
      <c r="C257" s="120" t="s">
        <v>448</v>
      </c>
      <c r="D257" s="56">
        <v>253</v>
      </c>
    </row>
    <row r="258" spans="3:4">
      <c r="C258" s="120" t="s">
        <v>449</v>
      </c>
      <c r="D258" s="56">
        <v>254</v>
      </c>
    </row>
    <row r="259" spans="3:4">
      <c r="C259" s="120" t="s">
        <v>450</v>
      </c>
      <c r="D259" s="56">
        <v>255</v>
      </c>
    </row>
    <row r="260" spans="3:4">
      <c r="C260" s="120" t="s">
        <v>451</v>
      </c>
      <c r="D260" s="56">
        <v>256</v>
      </c>
    </row>
    <row r="261" spans="3:4">
      <c r="C261" s="120" t="s">
        <v>452</v>
      </c>
      <c r="D261" s="56">
        <v>257</v>
      </c>
    </row>
    <row r="262" spans="3:4">
      <c r="C262" s="120" t="s">
        <v>453</v>
      </c>
      <c r="D262" s="56">
        <v>258</v>
      </c>
    </row>
    <row r="263" spans="3:4">
      <c r="C263" s="120" t="s">
        <v>454</v>
      </c>
      <c r="D263" s="56">
        <v>259</v>
      </c>
    </row>
    <row r="264" spans="3:4">
      <c r="C264" s="120" t="s">
        <v>455</v>
      </c>
      <c r="D264" s="56">
        <v>260</v>
      </c>
    </row>
    <row r="265" spans="3:4">
      <c r="C265" s="120" t="s">
        <v>456</v>
      </c>
      <c r="D265" s="56">
        <v>261</v>
      </c>
    </row>
    <row r="266" spans="3:4">
      <c r="C266" s="120" t="s">
        <v>457</v>
      </c>
      <c r="D266" s="56">
        <v>262</v>
      </c>
    </row>
    <row r="267" spans="3:4">
      <c r="C267" s="119" t="s">
        <v>458</v>
      </c>
      <c r="D267" s="56">
        <v>263</v>
      </c>
    </row>
    <row r="268" spans="3:4">
      <c r="C268" s="119" t="s">
        <v>459</v>
      </c>
      <c r="D268" s="56">
        <v>264</v>
      </c>
    </row>
    <row r="269" spans="3:4">
      <c r="C269" s="120" t="s">
        <v>460</v>
      </c>
      <c r="D269" s="56">
        <v>265</v>
      </c>
    </row>
    <row r="270" spans="3:4">
      <c r="C270" s="120" t="s">
        <v>461</v>
      </c>
      <c r="D270" s="56">
        <v>266</v>
      </c>
    </row>
    <row r="271" spans="3:4">
      <c r="C271" s="119" t="s">
        <v>462</v>
      </c>
      <c r="D271" s="56">
        <v>267</v>
      </c>
    </row>
    <row r="272" spans="3:4">
      <c r="C272" s="119" t="s">
        <v>463</v>
      </c>
      <c r="D272" s="56">
        <v>268</v>
      </c>
    </row>
    <row r="273" spans="3:4">
      <c r="C273" s="120" t="s">
        <v>464</v>
      </c>
      <c r="D273" s="56">
        <v>269</v>
      </c>
    </row>
    <row r="274" spans="3:4">
      <c r="C274" s="119" t="s">
        <v>465</v>
      </c>
      <c r="D274" s="56">
        <v>270</v>
      </c>
    </row>
    <row r="275" spans="3:4">
      <c r="C275" s="120" t="s">
        <v>466</v>
      </c>
      <c r="D275" s="56">
        <v>271</v>
      </c>
    </row>
    <row r="276" spans="3:4">
      <c r="C276" s="120" t="s">
        <v>467</v>
      </c>
      <c r="D276" s="56">
        <v>272</v>
      </c>
    </row>
    <row r="277" spans="3:4">
      <c r="C277" s="120" t="s">
        <v>468</v>
      </c>
      <c r="D277" s="56">
        <v>273</v>
      </c>
    </row>
    <row r="278" spans="3:4">
      <c r="C278" s="120" t="s">
        <v>469</v>
      </c>
      <c r="D278" s="56">
        <v>274</v>
      </c>
    </row>
    <row r="279" spans="3:4">
      <c r="C279" s="120" t="s">
        <v>470</v>
      </c>
      <c r="D279" s="56">
        <v>275</v>
      </c>
    </row>
    <row r="280" spans="3:4">
      <c r="C280" s="120" t="s">
        <v>471</v>
      </c>
      <c r="D280" s="56">
        <v>276</v>
      </c>
    </row>
    <row r="281" spans="3:4">
      <c r="C281" s="120" t="s">
        <v>472</v>
      </c>
      <c r="D281" s="56">
        <v>277</v>
      </c>
    </row>
    <row r="282" spans="3:4">
      <c r="C282" s="120" t="s">
        <v>473</v>
      </c>
      <c r="D282" s="56">
        <v>278</v>
      </c>
    </row>
    <row r="283" spans="3:4">
      <c r="C283" s="120" t="s">
        <v>474</v>
      </c>
      <c r="D283" s="56">
        <v>279</v>
      </c>
    </row>
    <row r="284" spans="3:4">
      <c r="C284" s="120" t="s">
        <v>475</v>
      </c>
      <c r="D284" s="56">
        <v>280</v>
      </c>
    </row>
    <row r="285" spans="3:4">
      <c r="C285" s="120" t="s">
        <v>476</v>
      </c>
      <c r="D285" s="56">
        <v>281</v>
      </c>
    </row>
    <row r="286" spans="3:4">
      <c r="C286" s="120" t="s">
        <v>477</v>
      </c>
      <c r="D286" s="56">
        <v>282</v>
      </c>
    </row>
    <row r="287" spans="3:4">
      <c r="C287" s="120" t="s">
        <v>478</v>
      </c>
      <c r="D287" s="56">
        <v>283</v>
      </c>
    </row>
    <row r="288" spans="3:4">
      <c r="C288" s="120" t="s">
        <v>479</v>
      </c>
      <c r="D288" s="56">
        <v>284</v>
      </c>
    </row>
    <row r="289" spans="3:4">
      <c r="C289" s="120" t="s">
        <v>480</v>
      </c>
      <c r="D289" s="56">
        <v>285</v>
      </c>
    </row>
    <row r="290" spans="3:4">
      <c r="C290" s="120" t="s">
        <v>481</v>
      </c>
      <c r="D290" s="56">
        <v>286</v>
      </c>
    </row>
    <row r="291" spans="3:4">
      <c r="C291" s="120" t="s">
        <v>482</v>
      </c>
      <c r="D291" s="56">
        <v>287</v>
      </c>
    </row>
    <row r="292" spans="3:4">
      <c r="C292" s="120" t="s">
        <v>483</v>
      </c>
      <c r="D292" s="56">
        <v>288</v>
      </c>
    </row>
    <row r="293" spans="3:4">
      <c r="C293" s="120" t="s">
        <v>484</v>
      </c>
      <c r="D293" s="56">
        <v>289</v>
      </c>
    </row>
    <row r="294" spans="3:4">
      <c r="C294" s="120" t="s">
        <v>485</v>
      </c>
      <c r="D294" s="56">
        <v>290</v>
      </c>
    </row>
    <row r="295" spans="3:4">
      <c r="C295" s="120" t="s">
        <v>486</v>
      </c>
      <c r="D295" s="56">
        <v>291</v>
      </c>
    </row>
    <row r="296" spans="3:4">
      <c r="C296" s="120" t="s">
        <v>487</v>
      </c>
      <c r="D296" s="56">
        <v>292</v>
      </c>
    </row>
    <row r="297" spans="3:4">
      <c r="C297" s="120" t="s">
        <v>488</v>
      </c>
      <c r="D297" s="56">
        <v>293</v>
      </c>
    </row>
    <row r="298" spans="3:4">
      <c r="C298" s="120" t="s">
        <v>489</v>
      </c>
      <c r="D298" s="56">
        <v>294</v>
      </c>
    </row>
    <row r="299" spans="3:4">
      <c r="C299" s="120" t="s">
        <v>490</v>
      </c>
      <c r="D299" s="56">
        <v>295</v>
      </c>
    </row>
    <row r="300" spans="3:4">
      <c r="C300" s="120" t="s">
        <v>491</v>
      </c>
      <c r="D300" s="56">
        <v>296</v>
      </c>
    </row>
    <row r="301" spans="3:4">
      <c r="C301" s="120" t="s">
        <v>492</v>
      </c>
      <c r="D301" s="56">
        <v>297</v>
      </c>
    </row>
    <row r="302" spans="3:4">
      <c r="C302" s="120" t="s">
        <v>493</v>
      </c>
      <c r="D302" s="56">
        <v>298</v>
      </c>
    </row>
    <row r="303" spans="3:4">
      <c r="C303" s="120" t="s">
        <v>494</v>
      </c>
      <c r="D303" s="56">
        <v>299</v>
      </c>
    </row>
    <row r="304" spans="3:4">
      <c r="C304" s="120" t="s">
        <v>495</v>
      </c>
      <c r="D304" s="56">
        <v>300</v>
      </c>
    </row>
    <row r="305" spans="3:4">
      <c r="C305" s="120" t="s">
        <v>496</v>
      </c>
      <c r="D305" s="56">
        <v>301</v>
      </c>
    </row>
    <row r="306" spans="3:4">
      <c r="C306" s="120" t="s">
        <v>497</v>
      </c>
      <c r="D306" s="56">
        <v>302</v>
      </c>
    </row>
    <row r="307" spans="3:4">
      <c r="C307" s="120" t="s">
        <v>498</v>
      </c>
      <c r="D307" s="56">
        <v>303</v>
      </c>
    </row>
    <row r="308" spans="3:4">
      <c r="C308" s="120" t="s">
        <v>499</v>
      </c>
      <c r="D308" s="56">
        <v>304</v>
      </c>
    </row>
    <row r="309" spans="3:4">
      <c r="C309" s="120" t="s">
        <v>500</v>
      </c>
      <c r="D309" s="56">
        <v>305</v>
      </c>
    </row>
    <row r="310" spans="3:4">
      <c r="C310" s="120" t="s">
        <v>501</v>
      </c>
      <c r="D310" s="56">
        <v>306</v>
      </c>
    </row>
    <row r="311" spans="3:4">
      <c r="C311" s="120" t="s">
        <v>502</v>
      </c>
      <c r="D311" s="56">
        <v>307</v>
      </c>
    </row>
    <row r="312" spans="3:4">
      <c r="C312" s="120" t="s">
        <v>503</v>
      </c>
      <c r="D312" s="56">
        <v>308</v>
      </c>
    </row>
    <row r="313" spans="3:4">
      <c r="C313" s="120" t="s">
        <v>504</v>
      </c>
      <c r="D313" s="56">
        <v>309</v>
      </c>
    </row>
    <row r="314" spans="3:4">
      <c r="C314" s="120" t="s">
        <v>505</v>
      </c>
      <c r="D314" s="56">
        <v>310</v>
      </c>
    </row>
    <row r="315" spans="3:4">
      <c r="C315" s="120" t="s">
        <v>506</v>
      </c>
      <c r="D315" s="56">
        <v>311</v>
      </c>
    </row>
    <row r="316" spans="3:4">
      <c r="C316" s="120" t="s">
        <v>507</v>
      </c>
      <c r="D316" s="56">
        <v>312</v>
      </c>
    </row>
    <row r="317" spans="3:4">
      <c r="C317" s="120" t="s">
        <v>508</v>
      </c>
      <c r="D317" s="56">
        <v>313</v>
      </c>
    </row>
    <row r="318" spans="3:4">
      <c r="C318" s="120" t="s">
        <v>509</v>
      </c>
      <c r="D318" s="56">
        <v>314</v>
      </c>
    </row>
    <row r="319" spans="3:4">
      <c r="C319" s="120" t="s">
        <v>510</v>
      </c>
      <c r="D319" s="56">
        <v>315</v>
      </c>
    </row>
    <row r="320" spans="3:4">
      <c r="C320" s="120" t="s">
        <v>511</v>
      </c>
      <c r="D320" s="56">
        <v>316</v>
      </c>
    </row>
    <row r="321" spans="3:4">
      <c r="C321" s="120" t="s">
        <v>512</v>
      </c>
      <c r="D321" s="56">
        <v>317</v>
      </c>
    </row>
    <row r="322" spans="3:4">
      <c r="C322" s="120" t="s">
        <v>513</v>
      </c>
      <c r="D322" s="56">
        <v>318</v>
      </c>
    </row>
    <row r="323" spans="3:4">
      <c r="C323" s="120" t="s">
        <v>514</v>
      </c>
      <c r="D323" s="56">
        <v>319</v>
      </c>
    </row>
    <row r="324" spans="3:4">
      <c r="C324" s="120" t="s">
        <v>515</v>
      </c>
      <c r="D324" s="56">
        <v>320</v>
      </c>
    </row>
    <row r="325" spans="3:4">
      <c r="C325" s="120" t="s">
        <v>516</v>
      </c>
      <c r="D325" s="56">
        <v>321</v>
      </c>
    </row>
    <row r="326" spans="3:4">
      <c r="C326" s="120" t="s">
        <v>517</v>
      </c>
      <c r="D326" s="56">
        <v>322</v>
      </c>
    </row>
    <row r="327" spans="3:4">
      <c r="C327" s="120" t="s">
        <v>518</v>
      </c>
      <c r="D327" s="56">
        <v>323</v>
      </c>
    </row>
    <row r="328" spans="3:4">
      <c r="C328" s="120" t="s">
        <v>519</v>
      </c>
      <c r="D328" s="56">
        <v>324</v>
      </c>
    </row>
    <row r="329" spans="3:4">
      <c r="C329" s="120" t="s">
        <v>520</v>
      </c>
      <c r="D329" s="56">
        <v>325</v>
      </c>
    </row>
    <row r="330" spans="3:4">
      <c r="C330" s="120" t="s">
        <v>521</v>
      </c>
      <c r="D330" s="56">
        <v>326</v>
      </c>
    </row>
    <row r="331" spans="3:4">
      <c r="C331" s="120" t="s">
        <v>522</v>
      </c>
      <c r="D331" s="56">
        <v>327</v>
      </c>
    </row>
    <row r="332" spans="3:4">
      <c r="C332" s="120" t="s">
        <v>523</v>
      </c>
      <c r="D332" s="56">
        <v>328</v>
      </c>
    </row>
    <row r="333" spans="3:4">
      <c r="C333" s="120" t="s">
        <v>524</v>
      </c>
      <c r="D333" s="56">
        <v>329</v>
      </c>
    </row>
    <row r="334" spans="3:4">
      <c r="C334" s="120" t="s">
        <v>525</v>
      </c>
      <c r="D334" s="56">
        <v>330</v>
      </c>
    </row>
    <row r="335" spans="3:4">
      <c r="C335" s="120" t="s">
        <v>526</v>
      </c>
      <c r="D335" s="56">
        <v>331</v>
      </c>
    </row>
    <row r="336" spans="3:4">
      <c r="C336" s="120" t="s">
        <v>527</v>
      </c>
      <c r="D336" s="56">
        <v>332</v>
      </c>
    </row>
    <row r="337" spans="3:17">
      <c r="C337" s="120" t="s">
        <v>528</v>
      </c>
      <c r="D337" s="56">
        <v>333</v>
      </c>
    </row>
    <row r="338" spans="3:17">
      <c r="C338" s="120" t="s">
        <v>529</v>
      </c>
      <c r="D338" s="56">
        <v>334</v>
      </c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3:17">
      <c r="C339" s="120" t="s">
        <v>530</v>
      </c>
      <c r="D339" s="56">
        <v>335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3:17">
      <c r="C340" s="120" t="s">
        <v>531</v>
      </c>
      <c r="D340" s="56">
        <v>336</v>
      </c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3:17">
      <c r="C341" s="120" t="s">
        <v>532</v>
      </c>
      <c r="D341" s="56">
        <v>337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3:17">
      <c r="C342" s="120" t="s">
        <v>533</v>
      </c>
      <c r="D342" s="56">
        <v>338</v>
      </c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3:17">
      <c r="C343" s="120" t="s">
        <v>534</v>
      </c>
      <c r="D343" s="56">
        <v>339</v>
      </c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3:17">
      <c r="C344" s="120" t="s">
        <v>535</v>
      </c>
      <c r="D344" s="56">
        <v>340</v>
      </c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3:17">
      <c r="C345" s="120" t="s">
        <v>536</v>
      </c>
      <c r="D345" s="56">
        <v>341</v>
      </c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3:17">
      <c r="C346" s="120" t="s">
        <v>537</v>
      </c>
      <c r="D346" s="56">
        <v>342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3:17">
      <c r="C347" s="120" t="s">
        <v>538</v>
      </c>
      <c r="D347" s="56">
        <v>343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3:17">
      <c r="C348" s="120" t="s">
        <v>539</v>
      </c>
      <c r="D348" s="56">
        <v>344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3:17">
      <c r="C349" s="120" t="s">
        <v>540</v>
      </c>
      <c r="D349" s="56">
        <v>345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3:17">
      <c r="C350" s="120" t="s">
        <v>541</v>
      </c>
      <c r="D350" s="56">
        <v>346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3:17">
      <c r="C351" s="120" t="s">
        <v>542</v>
      </c>
      <c r="D351" s="56">
        <v>347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3:17">
      <c r="C352" s="120" t="s">
        <v>543</v>
      </c>
      <c r="D352" s="56">
        <v>348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3:17">
      <c r="C353" s="120" t="s">
        <v>544</v>
      </c>
      <c r="D353" s="56">
        <v>349</v>
      </c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3:17">
      <c r="C354" s="120" t="s">
        <v>545</v>
      </c>
      <c r="D354" s="56">
        <v>350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3:17">
      <c r="C355" s="120" t="s">
        <v>546</v>
      </c>
      <c r="D355" s="56">
        <v>351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3:17">
      <c r="C356" s="120" t="s">
        <v>547</v>
      </c>
      <c r="D356" s="56">
        <v>352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3:17">
      <c r="C357" s="120" t="s">
        <v>548</v>
      </c>
      <c r="D357" s="56">
        <v>353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3:17">
      <c r="C358" s="120" t="s">
        <v>549</v>
      </c>
      <c r="D358" s="56">
        <v>354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3:17">
      <c r="C359" s="120" t="s">
        <v>550</v>
      </c>
      <c r="D359" s="56">
        <v>355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3:17">
      <c r="C360" s="120" t="s">
        <v>551</v>
      </c>
      <c r="D360" s="56">
        <v>356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3:17">
      <c r="C361" s="120" t="s">
        <v>552</v>
      </c>
      <c r="D361" s="56">
        <v>357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3:17">
      <c r="C362" s="120" t="s">
        <v>553</v>
      </c>
      <c r="D362" s="56">
        <v>358</v>
      </c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3:17">
      <c r="C363" s="120" t="s">
        <v>554</v>
      </c>
      <c r="D363" s="56">
        <v>359</v>
      </c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3:17">
      <c r="C364" s="120" t="s">
        <v>555</v>
      </c>
      <c r="D364" s="56">
        <v>360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3:17">
      <c r="C365" s="120" t="s">
        <v>556</v>
      </c>
      <c r="D365" s="56">
        <v>361</v>
      </c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3:17">
      <c r="C366" s="120" t="s">
        <v>557</v>
      </c>
      <c r="D366" s="56">
        <v>362</v>
      </c>
      <c r="E366" s="3"/>
      <c r="F366" s="3"/>
      <c r="G366" s="3"/>
      <c r="H366" s="3"/>
      <c r="I366" s="102"/>
      <c r="J366" s="102"/>
      <c r="K366" s="102"/>
      <c r="L366" s="102"/>
      <c r="M366" s="3"/>
      <c r="N366" s="3"/>
      <c r="O366" s="3"/>
      <c r="P366" s="3"/>
      <c r="Q366" s="3"/>
    </row>
    <row r="367" spans="3:17">
      <c r="C367" s="120" t="s">
        <v>558</v>
      </c>
      <c r="D367" s="56">
        <v>363</v>
      </c>
      <c r="E367" s="3"/>
      <c r="F367" s="3"/>
      <c r="G367" s="3"/>
      <c r="H367" s="3"/>
      <c r="I367" s="102"/>
      <c r="J367" s="102"/>
      <c r="K367" s="102"/>
      <c r="L367" s="102"/>
      <c r="M367" s="3"/>
      <c r="N367" s="3"/>
      <c r="O367" s="3"/>
      <c r="P367" s="3"/>
      <c r="Q367" s="3"/>
    </row>
    <row r="368" spans="3:17">
      <c r="C368" s="120" t="s">
        <v>559</v>
      </c>
      <c r="D368" s="56">
        <v>364</v>
      </c>
      <c r="E368" s="3"/>
      <c r="F368" s="3"/>
      <c r="G368" s="3"/>
      <c r="H368" s="3"/>
      <c r="I368" s="102"/>
      <c r="J368" s="102"/>
      <c r="K368" s="102"/>
      <c r="L368" s="102"/>
      <c r="M368" s="3"/>
      <c r="N368" s="3"/>
      <c r="O368" s="3"/>
      <c r="P368" s="3"/>
      <c r="Q368" s="3"/>
    </row>
    <row r="369" spans="3:17">
      <c r="C369" s="120" t="s">
        <v>560</v>
      </c>
      <c r="D369" s="56">
        <v>365</v>
      </c>
      <c r="E369" s="3"/>
      <c r="F369" s="3"/>
      <c r="G369" s="3"/>
      <c r="H369" s="3"/>
      <c r="I369" s="102"/>
      <c r="J369" s="102"/>
      <c r="K369" s="102"/>
      <c r="L369" s="102"/>
      <c r="M369" s="3"/>
      <c r="N369" s="3"/>
      <c r="O369" s="3"/>
      <c r="P369" s="3"/>
      <c r="Q369" s="3"/>
    </row>
    <row r="370" spans="3:17">
      <c r="C370" s="120" t="s">
        <v>561</v>
      </c>
      <c r="D370" s="56">
        <v>366</v>
      </c>
      <c r="E370" s="3"/>
      <c r="F370" s="3"/>
      <c r="G370" s="3"/>
      <c r="H370" s="3"/>
      <c r="I370" s="102"/>
      <c r="J370" s="102"/>
      <c r="K370" s="102"/>
      <c r="L370" s="102"/>
      <c r="M370" s="3"/>
      <c r="N370" s="3"/>
      <c r="O370" s="3"/>
      <c r="P370" s="3"/>
      <c r="Q370" s="3"/>
    </row>
    <row r="371" spans="3:17">
      <c r="C371" s="120" t="s">
        <v>562</v>
      </c>
      <c r="D371" s="56">
        <v>367</v>
      </c>
      <c r="E371" s="3"/>
      <c r="F371" s="3"/>
      <c r="G371" s="3"/>
      <c r="H371" s="3"/>
      <c r="I371" s="102"/>
      <c r="J371" s="102"/>
      <c r="K371" s="102"/>
      <c r="L371" s="102"/>
      <c r="M371" s="3"/>
      <c r="N371" s="3"/>
      <c r="O371" s="3"/>
      <c r="P371" s="3"/>
      <c r="Q371" s="3"/>
    </row>
    <row r="372" spans="3:17">
      <c r="C372" s="120" t="s">
        <v>563</v>
      </c>
      <c r="D372" s="56">
        <v>368</v>
      </c>
      <c r="E372" s="3"/>
      <c r="F372" s="3"/>
      <c r="G372" s="3"/>
      <c r="H372" s="3"/>
      <c r="I372" s="102"/>
      <c r="J372" s="102"/>
      <c r="K372" s="102"/>
      <c r="L372" s="102"/>
      <c r="M372" s="3"/>
      <c r="N372" s="3"/>
      <c r="O372" s="3"/>
      <c r="P372" s="3"/>
      <c r="Q372" s="3"/>
    </row>
    <row r="373" spans="3:17">
      <c r="C373" s="120" t="s">
        <v>564</v>
      </c>
      <c r="D373" s="56">
        <v>369</v>
      </c>
      <c r="E373" s="3"/>
      <c r="F373" s="3"/>
      <c r="G373" s="3"/>
      <c r="H373" s="3"/>
      <c r="I373" s="102"/>
      <c r="J373" s="102"/>
      <c r="K373" s="102"/>
      <c r="L373" s="102"/>
      <c r="M373" s="3"/>
      <c r="N373" s="3"/>
      <c r="O373" s="3"/>
      <c r="P373" s="3"/>
      <c r="Q373" s="3"/>
    </row>
    <row r="374" spans="3:17">
      <c r="C374" s="120" t="s">
        <v>565</v>
      </c>
      <c r="D374" s="56">
        <v>370</v>
      </c>
      <c r="E374" s="3"/>
      <c r="F374" s="3"/>
      <c r="G374" s="3"/>
      <c r="H374" s="3"/>
      <c r="I374" s="102"/>
      <c r="J374" s="102"/>
      <c r="K374" s="102"/>
      <c r="L374" s="102"/>
      <c r="M374" s="3"/>
      <c r="N374" s="3"/>
      <c r="O374" s="3"/>
      <c r="P374" s="3"/>
      <c r="Q374" s="3"/>
    </row>
    <row r="375" spans="3:17">
      <c r="C375" s="120" t="s">
        <v>566</v>
      </c>
      <c r="D375" s="56">
        <v>371</v>
      </c>
      <c r="E375" s="3"/>
      <c r="F375" s="3"/>
      <c r="G375" s="3"/>
      <c r="H375" s="3"/>
      <c r="I375" s="102"/>
      <c r="J375" s="102"/>
      <c r="K375" s="102"/>
      <c r="L375" s="102"/>
      <c r="M375" s="3"/>
      <c r="N375" s="3"/>
      <c r="O375" s="3"/>
      <c r="P375" s="3"/>
      <c r="Q375" s="3"/>
    </row>
    <row r="376" spans="3:17">
      <c r="C376" s="120" t="s">
        <v>567</v>
      </c>
      <c r="D376" s="56">
        <v>372</v>
      </c>
      <c r="E376" s="3"/>
      <c r="F376" s="3"/>
      <c r="G376" s="3"/>
      <c r="H376" s="3"/>
      <c r="I376" s="102"/>
      <c r="J376" s="102"/>
      <c r="K376" s="102"/>
      <c r="L376" s="102"/>
      <c r="M376" s="3"/>
      <c r="N376" s="3"/>
      <c r="O376" s="3"/>
      <c r="P376" s="3"/>
      <c r="Q376" s="3"/>
    </row>
    <row r="377" spans="3:17">
      <c r="C377" s="120" t="s">
        <v>568</v>
      </c>
      <c r="D377" s="56">
        <v>373</v>
      </c>
      <c r="E377" s="3"/>
      <c r="F377" s="3"/>
      <c r="G377" s="3"/>
      <c r="H377" s="3"/>
      <c r="I377" s="102"/>
      <c r="J377" s="102"/>
      <c r="K377" s="102"/>
      <c r="L377" s="102"/>
      <c r="M377" s="3"/>
      <c r="N377" s="3"/>
      <c r="O377" s="3"/>
      <c r="P377" s="3"/>
      <c r="Q377" s="3"/>
    </row>
    <row r="378" spans="3:17">
      <c r="C378" s="120" t="s">
        <v>569</v>
      </c>
      <c r="D378" s="56">
        <v>374</v>
      </c>
      <c r="E378" s="3"/>
      <c r="F378" s="3"/>
      <c r="G378" s="3"/>
      <c r="H378" s="3"/>
      <c r="I378" s="102"/>
      <c r="J378" s="102"/>
      <c r="K378" s="102"/>
      <c r="L378" s="102"/>
      <c r="M378" s="3"/>
      <c r="N378" s="3"/>
      <c r="O378" s="3"/>
      <c r="P378" s="3"/>
      <c r="Q378" s="3"/>
    </row>
    <row r="379" spans="3:17">
      <c r="C379" s="120" t="s">
        <v>570</v>
      </c>
      <c r="D379" s="56">
        <v>375</v>
      </c>
      <c r="E379" s="3"/>
      <c r="F379" s="3"/>
      <c r="G379" s="3"/>
      <c r="H379" s="3"/>
      <c r="I379" s="102"/>
      <c r="J379" s="102"/>
      <c r="K379" s="102"/>
      <c r="L379" s="102"/>
      <c r="M379" s="3"/>
      <c r="N379" s="3"/>
      <c r="O379" s="3"/>
      <c r="P379" s="3"/>
      <c r="Q379" s="3"/>
    </row>
    <row r="380" spans="3:17">
      <c r="C380" s="120" t="s">
        <v>571</v>
      </c>
      <c r="D380" s="56">
        <v>376</v>
      </c>
      <c r="E380" s="3"/>
      <c r="F380" s="3"/>
      <c r="G380" s="3"/>
      <c r="H380" s="3"/>
      <c r="I380" s="102"/>
      <c r="J380" s="102"/>
      <c r="K380" s="102"/>
      <c r="L380" s="102"/>
      <c r="M380" s="3"/>
      <c r="N380" s="3"/>
      <c r="O380" s="3"/>
      <c r="P380" s="3"/>
      <c r="Q380" s="3"/>
    </row>
    <row r="381" spans="3:17">
      <c r="C381" s="120" t="s">
        <v>572</v>
      </c>
      <c r="D381" s="56">
        <v>377</v>
      </c>
      <c r="E381" s="3"/>
      <c r="F381" s="3"/>
      <c r="G381" s="3"/>
      <c r="H381" s="3"/>
      <c r="I381" s="102"/>
      <c r="J381" s="102"/>
      <c r="K381" s="102"/>
      <c r="L381" s="102"/>
      <c r="M381" s="3"/>
      <c r="N381" s="3"/>
      <c r="O381" s="3"/>
      <c r="P381" s="3"/>
      <c r="Q381" s="3"/>
    </row>
    <row r="382" spans="3:17">
      <c r="C382" s="120" t="s">
        <v>573</v>
      </c>
      <c r="D382" s="56">
        <v>378</v>
      </c>
      <c r="E382" s="3"/>
      <c r="F382" s="3"/>
      <c r="G382" s="3"/>
      <c r="H382" s="3"/>
      <c r="I382" s="102"/>
      <c r="J382" s="102"/>
      <c r="K382" s="102"/>
      <c r="L382" s="102"/>
      <c r="M382" s="3"/>
      <c r="N382" s="3"/>
      <c r="O382" s="3"/>
      <c r="P382" s="3"/>
      <c r="Q382" s="3"/>
    </row>
    <row r="383" spans="3:17">
      <c r="C383" s="120" t="s">
        <v>574</v>
      </c>
      <c r="D383" s="56">
        <v>379</v>
      </c>
      <c r="E383" s="3"/>
      <c r="F383" s="3"/>
      <c r="G383" s="3"/>
      <c r="H383" s="3"/>
      <c r="I383" s="102"/>
      <c r="J383" s="102"/>
      <c r="K383" s="102"/>
      <c r="L383" s="102"/>
      <c r="M383" s="3"/>
      <c r="N383" s="3"/>
      <c r="O383" s="3"/>
      <c r="P383" s="3"/>
      <c r="Q383" s="3"/>
    </row>
    <row r="384" spans="3:17">
      <c r="C384" s="120" t="s">
        <v>575</v>
      </c>
      <c r="D384" s="56">
        <v>380</v>
      </c>
      <c r="E384" s="3"/>
      <c r="F384" s="3"/>
      <c r="G384" s="3"/>
      <c r="H384" s="3"/>
      <c r="I384" s="102"/>
      <c r="J384" s="102"/>
      <c r="K384" s="102"/>
      <c r="L384" s="102"/>
      <c r="M384" s="3"/>
      <c r="N384" s="3"/>
      <c r="O384" s="3"/>
      <c r="P384" s="3"/>
      <c r="Q384" s="3"/>
    </row>
    <row r="385" spans="3:17">
      <c r="C385" s="120" t="s">
        <v>576</v>
      </c>
      <c r="D385" s="56">
        <v>381</v>
      </c>
      <c r="E385" s="3"/>
      <c r="F385" s="3"/>
      <c r="G385" s="3"/>
      <c r="H385" s="3"/>
      <c r="I385" s="102"/>
      <c r="J385" s="102"/>
      <c r="K385" s="102"/>
      <c r="L385" s="102"/>
      <c r="M385" s="3"/>
      <c r="N385" s="3"/>
      <c r="O385" s="3"/>
      <c r="P385" s="3"/>
      <c r="Q385" s="3"/>
    </row>
    <row r="386" spans="3:17">
      <c r="C386" s="120" t="s">
        <v>577</v>
      </c>
      <c r="D386" s="56">
        <v>382</v>
      </c>
      <c r="E386" s="3"/>
      <c r="F386" s="3"/>
      <c r="G386" s="3"/>
      <c r="H386" s="3"/>
      <c r="I386" s="102"/>
      <c r="J386" s="102"/>
      <c r="K386" s="102"/>
      <c r="L386" s="102"/>
      <c r="M386" s="3"/>
      <c r="N386" s="3"/>
      <c r="O386" s="3"/>
      <c r="P386" s="3"/>
      <c r="Q386" s="3"/>
    </row>
    <row r="387" spans="3:17">
      <c r="C387" s="120" t="s">
        <v>578</v>
      </c>
      <c r="D387" s="56">
        <v>383</v>
      </c>
      <c r="E387" s="3"/>
      <c r="F387" s="3"/>
      <c r="G387" s="3"/>
      <c r="H387" s="3"/>
      <c r="I387" s="102"/>
      <c r="J387" s="102"/>
      <c r="K387" s="102"/>
      <c r="L387" s="102"/>
      <c r="M387" s="3"/>
      <c r="N387" s="3"/>
      <c r="O387" s="3"/>
      <c r="P387" s="3"/>
      <c r="Q387" s="3"/>
    </row>
    <row r="388" spans="3:17">
      <c r="C388" s="120" t="s">
        <v>579</v>
      </c>
      <c r="D388" s="56">
        <v>384</v>
      </c>
      <c r="E388" s="3"/>
      <c r="F388" s="3"/>
      <c r="G388" s="3"/>
      <c r="H388" s="3"/>
      <c r="I388" s="102"/>
      <c r="J388" s="102"/>
      <c r="K388" s="102"/>
      <c r="L388" s="102"/>
      <c r="M388" s="3"/>
      <c r="N388" s="3"/>
      <c r="O388" s="3"/>
      <c r="P388" s="3"/>
      <c r="Q388" s="3"/>
    </row>
    <row r="389" spans="3:17">
      <c r="C389" s="120" t="s">
        <v>580</v>
      </c>
      <c r="D389" s="56">
        <v>385</v>
      </c>
      <c r="E389" s="3"/>
      <c r="F389" s="3"/>
      <c r="G389" s="3"/>
      <c r="H389" s="3"/>
      <c r="I389" s="102"/>
      <c r="J389" s="102"/>
      <c r="K389" s="102"/>
      <c r="L389" s="102"/>
      <c r="M389" s="3"/>
      <c r="N389" s="3"/>
      <c r="O389" s="3"/>
      <c r="P389" s="3"/>
      <c r="Q389" s="3"/>
    </row>
    <row r="390" spans="3:17">
      <c r="C390" s="120" t="s">
        <v>581</v>
      </c>
      <c r="D390" s="56">
        <v>386</v>
      </c>
      <c r="E390" s="3"/>
      <c r="F390" s="3"/>
      <c r="G390" s="3"/>
      <c r="H390" s="3"/>
      <c r="I390" s="102"/>
      <c r="J390" s="102"/>
      <c r="K390" s="102"/>
      <c r="L390" s="102"/>
      <c r="M390" s="3"/>
      <c r="N390" s="3"/>
      <c r="O390" s="3"/>
      <c r="P390" s="3"/>
      <c r="Q390" s="3"/>
    </row>
    <row r="391" spans="3:17">
      <c r="C391" s="120" t="s">
        <v>582</v>
      </c>
      <c r="D391" s="56">
        <v>387</v>
      </c>
      <c r="E391" s="3"/>
      <c r="F391" s="3"/>
      <c r="G391" s="3"/>
      <c r="H391" s="3"/>
      <c r="I391" s="102"/>
      <c r="J391" s="102"/>
      <c r="K391" s="102"/>
      <c r="L391" s="102"/>
      <c r="M391" s="3"/>
      <c r="N391" s="3"/>
      <c r="O391" s="3"/>
      <c r="P391" s="3"/>
      <c r="Q391" s="3"/>
    </row>
    <row r="392" spans="3:17">
      <c r="C392" s="120" t="s">
        <v>583</v>
      </c>
      <c r="D392" s="56">
        <v>388</v>
      </c>
      <c r="E392" s="3"/>
      <c r="F392" s="3"/>
      <c r="G392" s="3"/>
      <c r="H392" s="3"/>
      <c r="I392" s="102"/>
      <c r="J392" s="102"/>
      <c r="K392" s="102"/>
      <c r="L392" s="102"/>
      <c r="M392" s="3"/>
      <c r="N392" s="3"/>
      <c r="O392" s="3"/>
      <c r="P392" s="3"/>
      <c r="Q392" s="3"/>
    </row>
    <row r="393" spans="3:17">
      <c r="C393" s="120" t="s">
        <v>584</v>
      </c>
      <c r="D393" s="56">
        <v>389</v>
      </c>
      <c r="E393" s="3"/>
      <c r="F393" s="3"/>
      <c r="G393" s="3"/>
      <c r="H393" s="3"/>
      <c r="I393" s="102"/>
      <c r="J393" s="102"/>
      <c r="K393" s="102"/>
      <c r="L393" s="102"/>
      <c r="M393" s="3"/>
      <c r="N393" s="3"/>
      <c r="O393" s="3"/>
      <c r="P393" s="3"/>
      <c r="Q393" s="3"/>
    </row>
    <row r="394" spans="3:17">
      <c r="C394" s="120" t="s">
        <v>585</v>
      </c>
      <c r="D394" s="56">
        <v>390</v>
      </c>
      <c r="E394" s="3"/>
      <c r="F394" s="3"/>
      <c r="G394" s="3"/>
      <c r="H394" s="3"/>
      <c r="I394" s="102"/>
      <c r="J394" s="102"/>
      <c r="K394" s="102"/>
      <c r="L394" s="102"/>
      <c r="M394" s="3"/>
      <c r="N394" s="3"/>
      <c r="O394" s="3"/>
      <c r="P394" s="3"/>
      <c r="Q394" s="3"/>
    </row>
    <row r="395" spans="3:17">
      <c r="C395" s="120" t="s">
        <v>586</v>
      </c>
      <c r="D395" s="56">
        <v>391</v>
      </c>
      <c r="E395" s="3"/>
      <c r="F395" s="3"/>
      <c r="G395" s="3"/>
      <c r="H395" s="3"/>
      <c r="I395" s="102"/>
      <c r="J395" s="102"/>
      <c r="K395" s="102"/>
      <c r="L395" s="102"/>
      <c r="M395" s="3"/>
      <c r="N395" s="3"/>
      <c r="O395" s="3"/>
      <c r="P395" s="3"/>
      <c r="Q395" s="3"/>
    </row>
    <row r="396" spans="3:17">
      <c r="C396" s="120" t="s">
        <v>587</v>
      </c>
      <c r="D396" s="56">
        <v>392</v>
      </c>
      <c r="E396" s="3"/>
      <c r="F396" s="3"/>
      <c r="G396" s="3"/>
      <c r="H396" s="3"/>
      <c r="I396" s="102"/>
      <c r="J396" s="102"/>
      <c r="K396" s="102"/>
      <c r="L396" s="102"/>
      <c r="M396" s="3"/>
      <c r="N396" s="3"/>
      <c r="O396" s="3"/>
      <c r="P396" s="3"/>
      <c r="Q396" s="3"/>
    </row>
    <row r="397" spans="3:17">
      <c r="C397" s="120" t="s">
        <v>588</v>
      </c>
      <c r="D397" s="56">
        <v>393</v>
      </c>
      <c r="E397" s="3"/>
      <c r="F397" s="3"/>
      <c r="G397" s="3"/>
      <c r="H397" s="3"/>
      <c r="I397" s="102"/>
      <c r="J397" s="102"/>
      <c r="K397" s="102"/>
      <c r="L397" s="102"/>
      <c r="M397" s="3"/>
      <c r="N397" s="3"/>
      <c r="O397" s="3"/>
      <c r="P397" s="3"/>
      <c r="Q397" s="3"/>
    </row>
    <row r="398" spans="3:17">
      <c r="C398" s="120" t="s">
        <v>589</v>
      </c>
      <c r="D398" s="56">
        <v>394</v>
      </c>
      <c r="E398" s="3"/>
      <c r="F398" s="3"/>
      <c r="G398" s="3"/>
      <c r="H398" s="3"/>
      <c r="I398" s="102"/>
      <c r="J398" s="102"/>
      <c r="K398" s="102"/>
      <c r="L398" s="102"/>
      <c r="M398" s="3"/>
      <c r="N398" s="3"/>
      <c r="O398" s="3"/>
      <c r="P398" s="3"/>
      <c r="Q398" s="3"/>
    </row>
    <row r="399" spans="3:17">
      <c r="C399" s="120" t="s">
        <v>590</v>
      </c>
      <c r="D399" s="56">
        <v>395</v>
      </c>
      <c r="E399" s="3"/>
      <c r="F399" s="3"/>
      <c r="G399" s="3"/>
      <c r="H399" s="3"/>
      <c r="I399" s="102"/>
      <c r="J399" s="102"/>
      <c r="K399" s="102"/>
      <c r="L399" s="102"/>
      <c r="M399" s="3"/>
      <c r="N399" s="3"/>
      <c r="O399" s="3"/>
      <c r="P399" s="3"/>
      <c r="Q399" s="3"/>
    </row>
    <row r="400" spans="3:17">
      <c r="C400" s="120" t="s">
        <v>591</v>
      </c>
      <c r="D400" s="56">
        <v>396</v>
      </c>
      <c r="E400" s="3"/>
      <c r="F400" s="3"/>
      <c r="G400" s="3"/>
      <c r="H400" s="3"/>
      <c r="I400" s="102"/>
      <c r="J400" s="102"/>
      <c r="K400" s="102"/>
      <c r="L400" s="102"/>
      <c r="M400" s="3"/>
      <c r="N400" s="3"/>
      <c r="O400" s="3"/>
      <c r="P400" s="3"/>
      <c r="Q400" s="3"/>
    </row>
    <row r="401" spans="3:17">
      <c r="C401" s="120" t="s">
        <v>592</v>
      </c>
      <c r="D401" s="56">
        <v>397</v>
      </c>
      <c r="E401" s="3"/>
      <c r="F401" s="3"/>
      <c r="G401" s="3"/>
      <c r="H401" s="3"/>
      <c r="I401" s="102"/>
      <c r="J401" s="102"/>
      <c r="K401" s="102"/>
      <c r="L401" s="102"/>
      <c r="M401" s="3"/>
      <c r="N401" s="3"/>
      <c r="O401" s="3"/>
      <c r="P401" s="3"/>
      <c r="Q401" s="3"/>
    </row>
    <row r="402" spans="3:17">
      <c r="C402" s="120" t="s">
        <v>593</v>
      </c>
      <c r="D402" s="56">
        <v>398</v>
      </c>
      <c r="E402" s="3"/>
      <c r="F402" s="3"/>
      <c r="G402" s="3"/>
      <c r="H402" s="3"/>
      <c r="I402" s="102"/>
      <c r="J402" s="102"/>
      <c r="K402" s="102"/>
      <c r="L402" s="102"/>
      <c r="M402" s="3"/>
      <c r="N402" s="3"/>
      <c r="O402" s="3"/>
      <c r="P402" s="3"/>
      <c r="Q402" s="3"/>
    </row>
    <row r="403" spans="3:17">
      <c r="C403" s="120" t="s">
        <v>594</v>
      </c>
      <c r="D403" s="56">
        <v>399</v>
      </c>
      <c r="E403" s="3"/>
      <c r="F403" s="3"/>
      <c r="G403" s="3"/>
      <c r="H403" s="3"/>
      <c r="I403" s="102"/>
      <c r="J403" s="102"/>
      <c r="K403" s="102"/>
      <c r="L403" s="102"/>
      <c r="M403" s="3"/>
      <c r="N403" s="3"/>
      <c r="O403" s="3"/>
      <c r="P403" s="3"/>
      <c r="Q403" s="3"/>
    </row>
    <row r="404" spans="3:17">
      <c r="C404" s="120" t="s">
        <v>595</v>
      </c>
      <c r="D404" s="56">
        <v>400</v>
      </c>
      <c r="E404" s="3"/>
      <c r="F404" s="3"/>
      <c r="G404" s="3"/>
      <c r="H404" s="3"/>
      <c r="I404" s="102"/>
      <c r="J404" s="102"/>
      <c r="K404" s="102"/>
      <c r="L404" s="102"/>
      <c r="M404" s="3"/>
      <c r="N404" s="3"/>
      <c r="O404" s="3"/>
      <c r="P404" s="3"/>
      <c r="Q404" s="3"/>
    </row>
    <row r="405" spans="3:17">
      <c r="C405" s="120" t="s">
        <v>596</v>
      </c>
      <c r="D405" s="56">
        <v>401</v>
      </c>
      <c r="E405" s="3"/>
      <c r="F405" s="3"/>
      <c r="G405" s="3"/>
      <c r="H405" s="3"/>
      <c r="I405" s="102"/>
      <c r="J405" s="102"/>
      <c r="K405" s="102"/>
      <c r="L405" s="102"/>
      <c r="M405" s="3"/>
      <c r="N405" s="3"/>
      <c r="O405" s="3"/>
      <c r="P405" s="3"/>
      <c r="Q405" s="3"/>
    </row>
    <row r="406" spans="3:17">
      <c r="C406" s="120" t="s">
        <v>597</v>
      </c>
      <c r="D406" s="56">
        <v>402</v>
      </c>
      <c r="E406" s="3"/>
      <c r="F406" s="3"/>
      <c r="G406" s="3"/>
      <c r="H406" s="3"/>
      <c r="I406" s="102"/>
      <c r="J406" s="102"/>
      <c r="K406" s="102"/>
      <c r="L406" s="102"/>
      <c r="M406" s="3"/>
      <c r="N406" s="3"/>
      <c r="O406" s="3"/>
      <c r="P406" s="3"/>
      <c r="Q406" s="3"/>
    </row>
    <row r="407" spans="3:17">
      <c r="C407" s="120" t="s">
        <v>598</v>
      </c>
      <c r="D407" s="56">
        <v>403</v>
      </c>
      <c r="E407" s="3"/>
      <c r="F407" s="3"/>
      <c r="G407" s="3"/>
      <c r="H407" s="3"/>
      <c r="I407" s="102"/>
      <c r="J407" s="102"/>
      <c r="K407" s="102"/>
      <c r="L407" s="102"/>
      <c r="M407" s="3"/>
      <c r="N407" s="3"/>
      <c r="O407" s="3"/>
      <c r="P407" s="3"/>
      <c r="Q407" s="3"/>
    </row>
    <row r="408" spans="3:17">
      <c r="C408" s="120" t="s">
        <v>599</v>
      </c>
      <c r="D408" s="56">
        <v>404</v>
      </c>
      <c r="E408" s="3"/>
      <c r="F408" s="3"/>
      <c r="G408" s="3"/>
      <c r="H408" s="3"/>
      <c r="I408" s="102"/>
      <c r="J408" s="102"/>
      <c r="K408" s="102"/>
      <c r="L408" s="102"/>
      <c r="M408" s="3"/>
      <c r="N408" s="3"/>
      <c r="O408" s="3"/>
      <c r="P408" s="3"/>
      <c r="Q408" s="3"/>
    </row>
    <row r="409" spans="3:17">
      <c r="C409" s="120" t="s">
        <v>600</v>
      </c>
      <c r="D409" s="56">
        <v>405</v>
      </c>
      <c r="E409" s="3"/>
      <c r="F409" s="3"/>
      <c r="G409" s="3"/>
      <c r="H409" s="3"/>
      <c r="I409" s="102"/>
      <c r="J409" s="102"/>
      <c r="K409" s="102"/>
      <c r="L409" s="102"/>
      <c r="M409" s="3"/>
      <c r="N409" s="3"/>
      <c r="O409" s="3"/>
      <c r="P409" s="3"/>
      <c r="Q409" s="3"/>
    </row>
    <row r="410" spans="3:17">
      <c r="C410" s="120" t="s">
        <v>601</v>
      </c>
      <c r="D410" s="56">
        <v>406</v>
      </c>
      <c r="E410" s="3"/>
      <c r="F410" s="3"/>
      <c r="G410" s="3"/>
      <c r="H410" s="3"/>
      <c r="I410" s="102"/>
      <c r="J410" s="102"/>
      <c r="K410" s="102"/>
      <c r="L410" s="102"/>
      <c r="M410" s="3"/>
      <c r="N410" s="3"/>
      <c r="O410" s="3"/>
      <c r="P410" s="3"/>
      <c r="Q410" s="3"/>
    </row>
    <row r="411" spans="3:17">
      <c r="C411" s="120" t="s">
        <v>602</v>
      </c>
      <c r="D411" s="56">
        <v>407</v>
      </c>
      <c r="E411" s="3"/>
      <c r="F411" s="3"/>
      <c r="G411" s="3"/>
      <c r="H411" s="3"/>
      <c r="I411" s="102"/>
      <c r="J411" s="102"/>
      <c r="K411" s="102"/>
      <c r="L411" s="102"/>
      <c r="M411" s="3"/>
      <c r="N411" s="3"/>
      <c r="O411" s="3"/>
      <c r="P411" s="3"/>
      <c r="Q411" s="3"/>
    </row>
    <row r="412" spans="3:17">
      <c r="C412" s="120" t="s">
        <v>603</v>
      </c>
      <c r="D412" s="56">
        <v>408</v>
      </c>
      <c r="E412" s="3"/>
      <c r="F412" s="3"/>
      <c r="G412" s="3"/>
      <c r="H412" s="3"/>
      <c r="I412" s="102"/>
      <c r="J412" s="102"/>
      <c r="K412" s="102"/>
      <c r="L412" s="102"/>
      <c r="M412" s="3"/>
      <c r="N412" s="3"/>
      <c r="O412" s="3"/>
      <c r="P412" s="3"/>
      <c r="Q412" s="3"/>
    </row>
    <row r="413" spans="3:17">
      <c r="C413" s="120" t="s">
        <v>604</v>
      </c>
      <c r="D413" s="56">
        <v>409</v>
      </c>
      <c r="E413" s="3"/>
      <c r="F413" s="3"/>
      <c r="G413" s="3"/>
      <c r="H413" s="3"/>
      <c r="I413" s="102"/>
      <c r="J413" s="102"/>
      <c r="K413" s="102"/>
      <c r="L413" s="102"/>
      <c r="M413" s="3"/>
      <c r="N413" s="3"/>
      <c r="O413" s="3"/>
      <c r="P413" s="3"/>
      <c r="Q413" s="3"/>
    </row>
    <row r="414" spans="3:17">
      <c r="C414" s="120" t="s">
        <v>605</v>
      </c>
      <c r="D414" s="56">
        <v>410</v>
      </c>
      <c r="E414" s="3"/>
      <c r="F414" s="3"/>
      <c r="G414" s="3"/>
      <c r="H414" s="3"/>
      <c r="I414" s="102"/>
      <c r="J414" s="102"/>
      <c r="K414" s="102"/>
      <c r="L414" s="102"/>
      <c r="M414" s="3"/>
      <c r="N414" s="3"/>
      <c r="O414" s="3"/>
      <c r="P414" s="3"/>
      <c r="Q414" s="3"/>
    </row>
    <row r="415" spans="3:17">
      <c r="C415" s="120" t="s">
        <v>606</v>
      </c>
      <c r="D415" s="56">
        <v>411</v>
      </c>
      <c r="E415" s="3"/>
      <c r="F415" s="3"/>
      <c r="G415" s="3"/>
      <c r="H415" s="3"/>
      <c r="I415" s="102"/>
      <c r="J415" s="102"/>
      <c r="K415" s="102"/>
      <c r="L415" s="102"/>
      <c r="M415" s="3"/>
      <c r="N415" s="3"/>
      <c r="O415" s="3"/>
      <c r="P415" s="3"/>
      <c r="Q415" s="3"/>
    </row>
    <row r="416" spans="3:17">
      <c r="C416" s="120" t="s">
        <v>607</v>
      </c>
      <c r="D416" s="56">
        <v>412</v>
      </c>
      <c r="E416" s="3"/>
      <c r="F416" s="3"/>
      <c r="G416" s="3"/>
      <c r="H416" s="3"/>
      <c r="I416" s="102"/>
      <c r="J416" s="102"/>
      <c r="K416" s="102"/>
      <c r="L416" s="102"/>
      <c r="M416" s="3"/>
      <c r="N416" s="3"/>
      <c r="O416" s="3"/>
      <c r="P416" s="3"/>
      <c r="Q416" s="3"/>
    </row>
    <row r="417" spans="3:17">
      <c r="C417" s="120" t="s">
        <v>608</v>
      </c>
      <c r="D417" s="56">
        <v>413</v>
      </c>
      <c r="E417" s="3"/>
      <c r="F417" s="3"/>
      <c r="G417" s="3"/>
      <c r="H417" s="3"/>
      <c r="I417" s="102"/>
      <c r="J417" s="102"/>
      <c r="K417" s="102"/>
      <c r="L417" s="102"/>
      <c r="M417" s="3"/>
      <c r="N417" s="3"/>
      <c r="O417" s="3"/>
      <c r="P417" s="3"/>
      <c r="Q417" s="3"/>
    </row>
    <row r="418" spans="3:17">
      <c r="C418" s="120" t="s">
        <v>609</v>
      </c>
      <c r="D418" s="56">
        <v>414</v>
      </c>
      <c r="E418" s="3"/>
      <c r="F418" s="3"/>
      <c r="G418" s="3"/>
      <c r="H418" s="3"/>
      <c r="I418" s="102"/>
      <c r="J418" s="102"/>
      <c r="K418" s="102"/>
      <c r="L418" s="102"/>
      <c r="M418" s="3"/>
      <c r="N418" s="3"/>
      <c r="O418" s="3"/>
      <c r="P418" s="3"/>
      <c r="Q418" s="3"/>
    </row>
    <row r="419" spans="3:17">
      <c r="C419" s="120" t="s">
        <v>610</v>
      </c>
      <c r="D419" s="56">
        <v>415</v>
      </c>
      <c r="E419" s="3"/>
      <c r="F419" s="3"/>
      <c r="G419" s="3"/>
      <c r="H419" s="3"/>
      <c r="I419" s="102"/>
      <c r="J419" s="102"/>
      <c r="K419" s="102"/>
      <c r="L419" s="102"/>
      <c r="M419" s="3"/>
      <c r="N419" s="3"/>
      <c r="O419" s="3"/>
      <c r="P419" s="3"/>
      <c r="Q419" s="3"/>
    </row>
    <row r="420" spans="3:17">
      <c r="C420" s="120" t="s">
        <v>611</v>
      </c>
      <c r="D420" s="56">
        <v>416</v>
      </c>
      <c r="E420" s="3"/>
      <c r="F420" s="3"/>
      <c r="G420" s="3"/>
      <c r="H420" s="3"/>
      <c r="I420" s="102"/>
      <c r="J420" s="102"/>
      <c r="K420" s="102"/>
      <c r="L420" s="102"/>
      <c r="M420" s="3"/>
      <c r="N420" s="3"/>
      <c r="O420" s="3"/>
      <c r="P420" s="3"/>
      <c r="Q420" s="3"/>
    </row>
    <row r="421" spans="3:17">
      <c r="C421" s="120" t="s">
        <v>612</v>
      </c>
      <c r="D421" s="56">
        <v>417</v>
      </c>
      <c r="E421" s="3"/>
      <c r="F421" s="3"/>
      <c r="G421" s="3"/>
      <c r="H421" s="3"/>
      <c r="I421" s="102"/>
      <c r="J421" s="102"/>
      <c r="K421" s="102"/>
      <c r="L421" s="102"/>
      <c r="M421" s="3"/>
      <c r="N421" s="3"/>
      <c r="O421" s="3"/>
      <c r="P421" s="3"/>
      <c r="Q421" s="3"/>
    </row>
    <row r="422" spans="3:17">
      <c r="C422" s="120" t="s">
        <v>613</v>
      </c>
      <c r="D422" s="56">
        <v>418</v>
      </c>
      <c r="E422" s="3"/>
      <c r="F422" s="3"/>
      <c r="G422" s="3"/>
      <c r="H422" s="3"/>
      <c r="I422" s="102"/>
      <c r="J422" s="102"/>
      <c r="K422" s="102"/>
      <c r="L422" s="102"/>
      <c r="M422" s="3"/>
      <c r="N422" s="3"/>
      <c r="O422" s="3"/>
      <c r="P422" s="3"/>
      <c r="Q422" s="3"/>
    </row>
    <row r="423" spans="3:17">
      <c r="C423" s="120" t="s">
        <v>614</v>
      </c>
      <c r="D423" s="56">
        <v>419</v>
      </c>
      <c r="E423" s="3"/>
      <c r="F423" s="3"/>
      <c r="G423" s="3"/>
      <c r="H423" s="3"/>
      <c r="I423" s="102"/>
      <c r="J423" s="102"/>
      <c r="K423" s="102"/>
      <c r="L423" s="102"/>
      <c r="M423" s="3"/>
      <c r="N423" s="3"/>
      <c r="O423" s="3"/>
      <c r="P423" s="3"/>
      <c r="Q423" s="3"/>
    </row>
    <row r="424" spans="3:17">
      <c r="C424" s="120" t="s">
        <v>615</v>
      </c>
      <c r="D424" s="56">
        <v>420</v>
      </c>
      <c r="E424" s="3"/>
      <c r="F424" s="3"/>
      <c r="G424" s="3"/>
      <c r="H424" s="3"/>
      <c r="I424" s="102"/>
      <c r="J424" s="102"/>
      <c r="K424" s="102"/>
      <c r="L424" s="102"/>
      <c r="M424" s="3"/>
      <c r="N424" s="3"/>
      <c r="O424" s="3"/>
      <c r="P424" s="3"/>
      <c r="Q424" s="3"/>
    </row>
    <row r="425" spans="3:17">
      <c r="C425" s="120" t="s">
        <v>616</v>
      </c>
      <c r="D425" s="56">
        <v>421</v>
      </c>
      <c r="E425" s="3"/>
      <c r="F425" s="3"/>
      <c r="G425" s="3"/>
      <c r="H425" s="3"/>
      <c r="I425" s="102"/>
      <c r="J425" s="102"/>
      <c r="K425" s="102"/>
      <c r="L425" s="102"/>
      <c r="M425" s="3"/>
      <c r="N425" s="3"/>
      <c r="O425" s="3"/>
      <c r="P425" s="3"/>
      <c r="Q425" s="3"/>
    </row>
    <row r="426" spans="3:17">
      <c r="C426" s="120" t="s">
        <v>617</v>
      </c>
      <c r="D426" s="56">
        <v>422</v>
      </c>
      <c r="E426" s="3"/>
      <c r="F426" s="3"/>
      <c r="G426" s="3"/>
      <c r="H426" s="3"/>
      <c r="I426" s="102"/>
      <c r="J426" s="102"/>
      <c r="K426" s="102"/>
      <c r="L426" s="102"/>
      <c r="M426" s="3"/>
      <c r="N426" s="3"/>
      <c r="O426" s="3"/>
      <c r="P426" s="3"/>
      <c r="Q426" s="3"/>
    </row>
    <row r="427" spans="3:17">
      <c r="C427" s="120" t="s">
        <v>618</v>
      </c>
      <c r="D427" s="56">
        <v>423</v>
      </c>
      <c r="E427" s="3"/>
      <c r="F427" s="3"/>
      <c r="G427" s="3"/>
      <c r="H427" s="3"/>
      <c r="I427" s="102"/>
      <c r="J427" s="102"/>
      <c r="K427" s="102"/>
      <c r="L427" s="102"/>
      <c r="M427" s="3"/>
      <c r="N427" s="3"/>
      <c r="O427" s="3"/>
      <c r="P427" s="3"/>
      <c r="Q427" s="3"/>
    </row>
    <row r="428" spans="3:17">
      <c r="C428" s="120" t="s">
        <v>619</v>
      </c>
      <c r="D428" s="56">
        <v>424</v>
      </c>
      <c r="E428" s="3"/>
      <c r="F428" s="3"/>
      <c r="G428" s="3"/>
      <c r="H428" s="3"/>
      <c r="I428" s="102"/>
      <c r="J428" s="102"/>
      <c r="K428" s="102"/>
      <c r="L428" s="102"/>
      <c r="M428" s="3"/>
      <c r="N428" s="3"/>
      <c r="O428" s="3"/>
      <c r="P428" s="3"/>
      <c r="Q428" s="3"/>
    </row>
    <row r="429" spans="3:17">
      <c r="C429" s="120" t="s">
        <v>620</v>
      </c>
      <c r="D429" s="56">
        <v>425</v>
      </c>
      <c r="E429" s="3"/>
      <c r="F429" s="3"/>
      <c r="G429" s="3"/>
      <c r="H429" s="3"/>
      <c r="I429" s="102"/>
      <c r="J429" s="102"/>
      <c r="K429" s="102"/>
      <c r="L429" s="102"/>
      <c r="M429" s="3"/>
      <c r="N429" s="3"/>
      <c r="O429" s="3"/>
      <c r="P429" s="3"/>
      <c r="Q429" s="3"/>
    </row>
    <row r="430" spans="3:17">
      <c r="C430" s="120" t="s">
        <v>621</v>
      </c>
      <c r="D430" s="56">
        <v>426</v>
      </c>
      <c r="E430" s="3"/>
      <c r="F430" s="3"/>
      <c r="G430" s="3"/>
      <c r="H430" s="3"/>
      <c r="I430" s="102"/>
      <c r="J430" s="102"/>
      <c r="K430" s="102"/>
      <c r="L430" s="102"/>
      <c r="M430" s="3"/>
      <c r="N430" s="3"/>
      <c r="O430" s="3"/>
      <c r="P430" s="3"/>
      <c r="Q430" s="3"/>
    </row>
    <row r="431" spans="3:17">
      <c r="C431" s="120" t="s">
        <v>1202</v>
      </c>
      <c r="D431" s="56">
        <v>427</v>
      </c>
      <c r="E431" s="3"/>
      <c r="F431" s="3"/>
      <c r="G431" s="3"/>
      <c r="H431" s="3"/>
      <c r="I431" s="102"/>
      <c r="J431" s="102"/>
      <c r="K431" s="102"/>
      <c r="L431" s="102"/>
      <c r="M431" s="3"/>
      <c r="N431" s="3"/>
      <c r="O431" s="3"/>
      <c r="P431" s="3"/>
      <c r="Q431" s="3"/>
    </row>
    <row r="432" spans="3:17">
      <c r="C432" s="120" t="s">
        <v>1203</v>
      </c>
      <c r="D432" s="56">
        <v>428</v>
      </c>
      <c r="E432" s="3"/>
      <c r="F432" s="3"/>
      <c r="G432" s="3"/>
      <c r="H432" s="3"/>
      <c r="I432" s="102"/>
      <c r="J432" s="102"/>
      <c r="K432" s="102"/>
      <c r="L432" s="102"/>
      <c r="M432" s="3"/>
      <c r="N432" s="3"/>
      <c r="O432" s="3"/>
      <c r="P432" s="3"/>
      <c r="Q432" s="3"/>
    </row>
    <row r="433" spans="3:17">
      <c r="C433" s="120" t="s">
        <v>1204</v>
      </c>
      <c r="D433" s="56">
        <v>429</v>
      </c>
      <c r="E433" s="3"/>
      <c r="F433" s="3"/>
      <c r="G433" s="3"/>
      <c r="H433" s="3"/>
      <c r="I433" s="102"/>
      <c r="J433" s="102"/>
      <c r="K433" s="102"/>
      <c r="L433" s="102"/>
      <c r="M433" s="3"/>
      <c r="N433" s="3"/>
      <c r="O433" s="3"/>
      <c r="P433" s="3"/>
      <c r="Q433" s="3"/>
    </row>
    <row r="434" spans="3:17">
      <c r="C434" s="120" t="s">
        <v>1205</v>
      </c>
      <c r="D434" s="56">
        <v>430</v>
      </c>
      <c r="E434" s="3"/>
      <c r="F434" s="3"/>
      <c r="G434" s="3"/>
      <c r="H434" s="3"/>
      <c r="I434" s="102"/>
      <c r="J434" s="102"/>
      <c r="K434" s="102"/>
      <c r="L434" s="102"/>
      <c r="M434" s="3"/>
      <c r="N434" s="3"/>
      <c r="O434" s="3"/>
      <c r="P434" s="3"/>
      <c r="Q434" s="3"/>
    </row>
    <row r="435" spans="3:17">
      <c r="C435" s="120" t="s">
        <v>1206</v>
      </c>
      <c r="D435" s="56">
        <v>431</v>
      </c>
      <c r="E435" s="3"/>
      <c r="F435" s="3"/>
      <c r="G435" s="3"/>
      <c r="H435" s="3"/>
      <c r="I435" s="102"/>
      <c r="J435" s="102"/>
      <c r="K435" s="102"/>
      <c r="L435" s="102"/>
      <c r="M435" s="3"/>
      <c r="N435" s="3"/>
      <c r="O435" s="3"/>
      <c r="P435" s="3"/>
      <c r="Q435" s="3"/>
    </row>
    <row r="436" spans="3:17">
      <c r="C436" s="120" t="s">
        <v>1207</v>
      </c>
      <c r="D436" s="56">
        <v>432</v>
      </c>
      <c r="E436" s="3"/>
      <c r="F436" s="3"/>
      <c r="G436" s="3"/>
      <c r="H436" s="3"/>
      <c r="I436" s="102"/>
      <c r="J436" s="102"/>
      <c r="K436" s="102"/>
      <c r="L436" s="102"/>
      <c r="M436" s="3"/>
      <c r="N436" s="3"/>
      <c r="O436" s="3"/>
      <c r="P436" s="3"/>
      <c r="Q436" s="3"/>
    </row>
    <row r="437" spans="3:17">
      <c r="C437" s="120" t="s">
        <v>1208</v>
      </c>
      <c r="D437" s="56">
        <v>433</v>
      </c>
      <c r="E437" s="3"/>
      <c r="F437" s="3"/>
      <c r="G437" s="3"/>
      <c r="H437" s="3"/>
      <c r="I437" s="102"/>
      <c r="J437" s="102"/>
      <c r="K437" s="102"/>
      <c r="L437" s="102"/>
      <c r="M437" s="3"/>
      <c r="N437" s="3"/>
      <c r="O437" s="3"/>
      <c r="P437" s="3"/>
      <c r="Q437" s="3"/>
    </row>
    <row r="438" spans="3:17">
      <c r="C438" s="120" t="s">
        <v>1209</v>
      </c>
      <c r="D438" s="56">
        <v>434</v>
      </c>
      <c r="E438" s="3"/>
      <c r="F438" s="3"/>
      <c r="G438" s="3"/>
      <c r="H438" s="3"/>
      <c r="I438" s="102"/>
      <c r="J438" s="102"/>
      <c r="K438" s="102"/>
      <c r="L438" s="102"/>
      <c r="M438" s="3"/>
      <c r="N438" s="3"/>
      <c r="O438" s="3"/>
      <c r="P438" s="3"/>
      <c r="Q438" s="3"/>
    </row>
    <row r="439" spans="3:17">
      <c r="C439" s="119" t="s">
        <v>622</v>
      </c>
      <c r="D439" s="56">
        <v>435</v>
      </c>
      <c r="E439" s="3"/>
      <c r="F439" s="3"/>
      <c r="G439" s="3"/>
      <c r="H439" s="3"/>
      <c r="I439" s="102"/>
      <c r="J439" s="102"/>
      <c r="K439" s="102"/>
      <c r="L439" s="102"/>
      <c r="M439" s="3"/>
      <c r="N439" s="3"/>
      <c r="O439" s="3"/>
      <c r="P439" s="3"/>
      <c r="Q439" s="3"/>
    </row>
    <row r="440" spans="3:17">
      <c r="C440" s="119" t="s">
        <v>623</v>
      </c>
      <c r="D440" s="56">
        <v>436</v>
      </c>
      <c r="E440" s="3"/>
      <c r="F440" s="3"/>
      <c r="G440" s="3"/>
      <c r="H440" s="3"/>
      <c r="I440" s="102"/>
      <c r="J440" s="102"/>
      <c r="K440" s="102"/>
      <c r="L440" s="102"/>
      <c r="M440" s="3"/>
      <c r="N440" s="3"/>
      <c r="O440" s="3"/>
      <c r="P440" s="3"/>
      <c r="Q440" s="3"/>
    </row>
    <row r="441" spans="3:17">
      <c r="C441" s="119" t="s">
        <v>624</v>
      </c>
      <c r="D441" s="56">
        <v>437</v>
      </c>
      <c r="E441" s="3"/>
      <c r="F441" s="3"/>
      <c r="G441" s="3"/>
      <c r="H441" s="3"/>
      <c r="I441" s="102"/>
      <c r="J441" s="102"/>
      <c r="K441" s="102"/>
      <c r="L441" s="102"/>
      <c r="M441" s="3"/>
      <c r="N441" s="3"/>
      <c r="O441" s="3"/>
      <c r="P441" s="3"/>
      <c r="Q441" s="3"/>
    </row>
    <row r="442" spans="3:17">
      <c r="C442" s="119" t="s">
        <v>625</v>
      </c>
      <c r="D442" s="56">
        <v>438</v>
      </c>
      <c r="E442" s="3"/>
      <c r="F442" s="3"/>
      <c r="G442" s="3"/>
      <c r="H442" s="3"/>
      <c r="I442" s="102"/>
      <c r="J442" s="102"/>
      <c r="K442" s="102"/>
      <c r="L442" s="102"/>
      <c r="M442" s="3"/>
      <c r="N442" s="3"/>
      <c r="O442" s="3"/>
      <c r="P442" s="3"/>
      <c r="Q442" s="3"/>
    </row>
    <row r="443" spans="3:17">
      <c r="C443" s="119" t="s">
        <v>626</v>
      </c>
      <c r="D443" s="56">
        <v>439</v>
      </c>
      <c r="E443" s="3"/>
      <c r="F443" s="3"/>
      <c r="G443" s="3"/>
      <c r="H443" s="3"/>
      <c r="I443" s="102"/>
      <c r="J443" s="102"/>
      <c r="K443" s="102"/>
      <c r="L443" s="102"/>
      <c r="M443" s="3"/>
      <c r="N443" s="3"/>
      <c r="O443" s="3"/>
      <c r="P443" s="3"/>
      <c r="Q443" s="3"/>
    </row>
    <row r="444" spans="3:17">
      <c r="C444" s="120" t="s">
        <v>627</v>
      </c>
      <c r="D444" s="56">
        <v>440</v>
      </c>
      <c r="E444" s="3"/>
      <c r="F444" s="3"/>
      <c r="G444" s="3"/>
      <c r="H444" s="3"/>
      <c r="I444" s="102"/>
      <c r="J444" s="102"/>
      <c r="K444" s="102"/>
      <c r="L444" s="102"/>
      <c r="M444" s="3"/>
      <c r="N444" s="3"/>
      <c r="O444" s="3"/>
      <c r="P444" s="3"/>
      <c r="Q444" s="3"/>
    </row>
    <row r="445" spans="3:17">
      <c r="C445" s="119" t="s">
        <v>628</v>
      </c>
      <c r="D445" s="56">
        <v>441</v>
      </c>
      <c r="E445" s="3"/>
      <c r="F445" s="3"/>
      <c r="G445" s="3"/>
      <c r="H445" s="3"/>
      <c r="I445" s="102"/>
      <c r="J445" s="102"/>
      <c r="K445" s="102"/>
      <c r="L445" s="102"/>
      <c r="M445" s="3"/>
      <c r="N445" s="3"/>
      <c r="O445" s="3"/>
      <c r="P445" s="3"/>
      <c r="Q445" s="3"/>
    </row>
    <row r="446" spans="3:17">
      <c r="C446" s="120" t="s">
        <v>629</v>
      </c>
      <c r="D446" s="56">
        <v>442</v>
      </c>
      <c r="E446" s="3"/>
      <c r="F446" s="3"/>
      <c r="G446" s="3"/>
      <c r="H446" s="3"/>
      <c r="I446" s="102"/>
      <c r="J446" s="102"/>
      <c r="K446" s="102"/>
      <c r="L446" s="102"/>
      <c r="M446" s="3"/>
      <c r="N446" s="3"/>
      <c r="O446" s="3"/>
      <c r="P446" s="3"/>
      <c r="Q446" s="3"/>
    </row>
    <row r="447" spans="3:17">
      <c r="C447" s="120" t="s">
        <v>630</v>
      </c>
      <c r="D447" s="56">
        <v>443</v>
      </c>
      <c r="E447" s="3"/>
      <c r="F447" s="3"/>
      <c r="G447" s="3"/>
      <c r="H447" s="3"/>
      <c r="I447" s="102"/>
      <c r="J447" s="102"/>
      <c r="K447" s="102"/>
      <c r="L447" s="102"/>
      <c r="M447" s="3"/>
      <c r="N447" s="3"/>
      <c r="O447" s="3"/>
      <c r="P447" s="3"/>
      <c r="Q447" s="3"/>
    </row>
    <row r="448" spans="3:17">
      <c r="C448" s="119" t="s">
        <v>631</v>
      </c>
      <c r="D448" s="56">
        <v>444</v>
      </c>
      <c r="E448" s="3"/>
      <c r="F448" s="3"/>
      <c r="G448" s="3"/>
      <c r="H448" s="3"/>
      <c r="I448" s="102"/>
      <c r="J448" s="102"/>
      <c r="K448" s="102"/>
      <c r="L448" s="102"/>
      <c r="M448" s="3"/>
      <c r="N448" s="3"/>
      <c r="O448" s="3"/>
      <c r="P448" s="3"/>
      <c r="Q448" s="3"/>
    </row>
    <row r="449" spans="3:17">
      <c r="C449" s="120" t="s">
        <v>1181</v>
      </c>
      <c r="D449" s="56">
        <v>445</v>
      </c>
      <c r="E449" s="3"/>
      <c r="F449" s="3"/>
      <c r="G449" s="3"/>
      <c r="H449" s="3"/>
      <c r="I449" s="102"/>
      <c r="J449" s="102"/>
      <c r="K449" s="102"/>
      <c r="L449" s="102"/>
      <c r="M449" s="3"/>
      <c r="N449" s="3"/>
      <c r="O449" s="3"/>
      <c r="P449" s="3"/>
      <c r="Q449" s="3"/>
    </row>
    <row r="450" spans="3:17">
      <c r="C450" s="119" t="s">
        <v>632</v>
      </c>
      <c r="D450" s="56">
        <v>446</v>
      </c>
      <c r="E450" s="3"/>
      <c r="F450" s="3"/>
      <c r="G450" s="3"/>
      <c r="H450" s="3"/>
      <c r="I450" s="102"/>
      <c r="J450" s="102"/>
      <c r="K450" s="102"/>
      <c r="L450" s="102"/>
      <c r="M450" s="3"/>
      <c r="N450" s="3"/>
      <c r="O450" s="3"/>
      <c r="P450" s="3"/>
      <c r="Q450" s="3"/>
    </row>
    <row r="451" spans="3:17">
      <c r="C451" s="119" t="s">
        <v>633</v>
      </c>
      <c r="D451" s="56">
        <v>447</v>
      </c>
      <c r="E451" s="3"/>
      <c r="F451" s="3"/>
      <c r="G451" s="3"/>
      <c r="H451" s="3"/>
      <c r="I451" s="102"/>
      <c r="J451" s="102"/>
      <c r="K451" s="102"/>
      <c r="L451" s="102"/>
      <c r="M451" s="3"/>
      <c r="N451" s="3"/>
      <c r="O451" s="3"/>
      <c r="P451" s="3"/>
      <c r="Q451" s="3"/>
    </row>
    <row r="452" spans="3:17">
      <c r="C452" s="119" t="s">
        <v>634</v>
      </c>
      <c r="D452" s="56">
        <v>448</v>
      </c>
      <c r="E452" s="3"/>
      <c r="F452" s="3"/>
      <c r="G452" s="3"/>
      <c r="H452" s="3"/>
      <c r="I452" s="102"/>
      <c r="J452" s="102"/>
      <c r="K452" s="102"/>
      <c r="L452" s="102"/>
      <c r="M452" s="3"/>
      <c r="N452" s="3"/>
      <c r="O452" s="3"/>
      <c r="P452" s="3"/>
      <c r="Q452" s="3"/>
    </row>
    <row r="453" spans="3:17">
      <c r="C453" s="120" t="s">
        <v>635</v>
      </c>
      <c r="D453" s="56">
        <v>449</v>
      </c>
      <c r="E453" s="3"/>
      <c r="F453" s="3"/>
      <c r="G453" s="3"/>
      <c r="H453" s="3"/>
      <c r="I453" s="102"/>
      <c r="J453" s="102"/>
      <c r="K453" s="102"/>
      <c r="L453" s="102"/>
      <c r="M453" s="3"/>
      <c r="N453" s="3"/>
      <c r="O453" s="3"/>
      <c r="P453" s="3"/>
      <c r="Q453" s="3"/>
    </row>
    <row r="454" spans="3:17">
      <c r="C454" s="120" t="s">
        <v>636</v>
      </c>
      <c r="D454" s="56">
        <v>450</v>
      </c>
      <c r="E454" s="3"/>
      <c r="F454" s="3"/>
      <c r="G454" s="3"/>
      <c r="H454" s="3"/>
      <c r="I454" s="102"/>
      <c r="J454" s="102"/>
      <c r="K454" s="102"/>
      <c r="L454" s="102"/>
      <c r="M454" s="3"/>
      <c r="N454" s="3"/>
      <c r="O454" s="3"/>
      <c r="P454" s="3"/>
      <c r="Q454" s="3"/>
    </row>
    <row r="455" spans="3:17">
      <c r="C455" s="120" t="s">
        <v>637</v>
      </c>
      <c r="D455" s="56">
        <v>451</v>
      </c>
      <c r="E455" s="3"/>
      <c r="F455" s="3"/>
      <c r="G455" s="3"/>
      <c r="H455" s="3"/>
      <c r="I455" s="102"/>
      <c r="J455" s="102"/>
      <c r="K455" s="102"/>
      <c r="L455" s="102"/>
      <c r="M455" s="3"/>
      <c r="N455" s="3"/>
      <c r="O455" s="3"/>
      <c r="P455" s="3"/>
      <c r="Q455" s="3"/>
    </row>
    <row r="456" spans="3:17">
      <c r="C456" s="120" t="s">
        <v>638</v>
      </c>
      <c r="D456" s="56">
        <v>452</v>
      </c>
      <c r="E456" s="3"/>
      <c r="F456" s="3"/>
      <c r="G456" s="3"/>
      <c r="H456" s="3"/>
      <c r="I456" s="102"/>
      <c r="J456" s="102"/>
      <c r="K456" s="102"/>
      <c r="L456" s="102"/>
      <c r="M456" s="3"/>
      <c r="N456" s="3"/>
      <c r="O456" s="3"/>
      <c r="P456" s="3"/>
      <c r="Q456" s="3"/>
    </row>
    <row r="457" spans="3:17">
      <c r="C457" s="120" t="s">
        <v>639</v>
      </c>
      <c r="D457" s="56">
        <v>453</v>
      </c>
      <c r="E457" s="3"/>
      <c r="F457" s="3"/>
      <c r="G457" s="3"/>
      <c r="H457" s="3"/>
      <c r="I457" s="102"/>
      <c r="J457" s="102"/>
      <c r="K457" s="102"/>
      <c r="L457" s="102"/>
      <c r="M457" s="3"/>
      <c r="N457" s="3"/>
      <c r="O457" s="3"/>
      <c r="P457" s="3"/>
      <c r="Q457" s="3"/>
    </row>
    <row r="458" spans="3:17">
      <c r="C458" s="119" t="s">
        <v>640</v>
      </c>
      <c r="D458" s="56">
        <v>454</v>
      </c>
      <c r="E458" s="3"/>
      <c r="F458" s="3"/>
      <c r="G458" s="3"/>
      <c r="H458" s="3"/>
      <c r="I458" s="102"/>
      <c r="J458" s="102"/>
      <c r="K458" s="102"/>
      <c r="L458" s="102"/>
      <c r="M458" s="3"/>
      <c r="N458" s="3"/>
      <c r="O458" s="3"/>
      <c r="P458" s="3"/>
      <c r="Q458" s="3"/>
    </row>
    <row r="459" spans="3:17">
      <c r="C459" s="120" t="s">
        <v>641</v>
      </c>
      <c r="D459" s="56">
        <v>455</v>
      </c>
      <c r="E459" s="3"/>
      <c r="F459" s="3"/>
      <c r="G459" s="3"/>
      <c r="H459" s="3"/>
      <c r="I459" s="102"/>
      <c r="J459" s="102"/>
      <c r="K459" s="102"/>
      <c r="L459" s="102"/>
      <c r="M459" s="3"/>
      <c r="N459" s="3"/>
      <c r="O459" s="3"/>
      <c r="P459" s="3"/>
      <c r="Q459" s="3"/>
    </row>
    <row r="460" spans="3:17">
      <c r="C460" s="120" t="s">
        <v>642</v>
      </c>
      <c r="D460" s="56">
        <v>456</v>
      </c>
      <c r="E460" s="3"/>
      <c r="F460" s="3"/>
      <c r="G460" s="3"/>
      <c r="H460" s="3"/>
      <c r="I460" s="102"/>
      <c r="J460" s="102"/>
      <c r="K460" s="102"/>
      <c r="L460" s="102"/>
      <c r="M460" s="3"/>
      <c r="N460" s="3"/>
      <c r="O460" s="3"/>
      <c r="P460" s="3"/>
      <c r="Q460" s="3"/>
    </row>
    <row r="461" spans="3:17">
      <c r="C461" s="120" t="s">
        <v>643</v>
      </c>
      <c r="D461" s="56">
        <v>457</v>
      </c>
      <c r="E461" s="3"/>
      <c r="F461" s="3"/>
      <c r="G461" s="3"/>
      <c r="H461" s="3"/>
      <c r="I461" s="102"/>
      <c r="J461" s="102"/>
      <c r="K461" s="102"/>
      <c r="L461" s="102"/>
      <c r="M461" s="3"/>
      <c r="N461" s="3"/>
      <c r="O461" s="3"/>
      <c r="P461" s="3"/>
      <c r="Q461" s="3"/>
    </row>
    <row r="462" spans="3:17">
      <c r="C462" s="120" t="s">
        <v>644</v>
      </c>
      <c r="D462" s="56">
        <v>458</v>
      </c>
      <c r="E462" s="3"/>
      <c r="F462" s="3"/>
      <c r="G462" s="3"/>
      <c r="H462" s="3"/>
      <c r="I462" s="102"/>
      <c r="J462" s="102"/>
      <c r="K462" s="102"/>
      <c r="L462" s="102"/>
      <c r="M462" s="3"/>
      <c r="N462" s="3"/>
      <c r="O462" s="3"/>
      <c r="P462" s="3"/>
      <c r="Q462" s="3"/>
    </row>
    <row r="463" spans="3:17">
      <c r="C463" s="119" t="s">
        <v>645</v>
      </c>
      <c r="D463" s="56">
        <v>459</v>
      </c>
      <c r="E463" s="3"/>
      <c r="F463" s="3"/>
      <c r="G463" s="3"/>
      <c r="H463" s="3"/>
      <c r="I463" s="102"/>
      <c r="J463" s="102"/>
      <c r="K463" s="102"/>
      <c r="L463" s="102"/>
      <c r="M463" s="3"/>
      <c r="N463" s="3"/>
      <c r="O463" s="3"/>
      <c r="P463" s="3"/>
      <c r="Q463" s="3"/>
    </row>
    <row r="464" spans="3:17">
      <c r="C464" s="119" t="s">
        <v>646</v>
      </c>
      <c r="D464" s="56">
        <v>460</v>
      </c>
      <c r="E464" s="3"/>
      <c r="F464" s="3"/>
      <c r="G464" s="3"/>
      <c r="H464" s="3"/>
      <c r="I464" s="102"/>
      <c r="J464" s="102"/>
      <c r="K464" s="102"/>
      <c r="L464" s="102"/>
      <c r="M464" s="3"/>
      <c r="N464" s="3"/>
      <c r="O464" s="3"/>
      <c r="P464" s="3"/>
      <c r="Q464" s="3"/>
    </row>
    <row r="465" spans="3:17">
      <c r="C465" s="119" t="s">
        <v>647</v>
      </c>
      <c r="D465" s="56">
        <v>461</v>
      </c>
      <c r="E465" s="3"/>
      <c r="F465" s="3"/>
      <c r="G465" s="3"/>
      <c r="H465" s="3"/>
      <c r="I465" s="102"/>
      <c r="J465" s="102"/>
      <c r="K465" s="102"/>
      <c r="L465" s="102"/>
      <c r="M465" s="3"/>
      <c r="N465" s="3"/>
      <c r="O465" s="3"/>
      <c r="P465" s="3"/>
      <c r="Q465" s="3"/>
    </row>
    <row r="466" spans="3:17">
      <c r="C466" s="120" t="s">
        <v>648</v>
      </c>
      <c r="D466" s="56">
        <v>462</v>
      </c>
      <c r="E466" s="3"/>
      <c r="F466" s="3"/>
      <c r="G466" s="3"/>
      <c r="H466" s="3"/>
      <c r="I466" s="102"/>
      <c r="J466" s="102"/>
      <c r="K466" s="102"/>
      <c r="L466" s="102"/>
      <c r="M466" s="3"/>
      <c r="N466" s="3"/>
      <c r="O466" s="3"/>
      <c r="P466" s="3"/>
      <c r="Q466" s="3"/>
    </row>
    <row r="467" spans="3:17">
      <c r="C467" s="120" t="s">
        <v>649</v>
      </c>
      <c r="D467" s="56">
        <v>463</v>
      </c>
      <c r="E467" s="3"/>
      <c r="F467" s="3"/>
      <c r="G467" s="3"/>
      <c r="H467" s="3"/>
      <c r="I467" s="102"/>
      <c r="J467" s="102"/>
      <c r="K467" s="102"/>
      <c r="L467" s="102"/>
      <c r="M467" s="3"/>
      <c r="N467" s="3"/>
      <c r="O467" s="3"/>
      <c r="P467" s="3"/>
      <c r="Q467" s="3"/>
    </row>
    <row r="468" spans="3:17">
      <c r="C468" s="119" t="s">
        <v>650</v>
      </c>
      <c r="D468" s="56">
        <v>464</v>
      </c>
      <c r="E468" s="3"/>
      <c r="F468" s="3"/>
      <c r="G468" s="3"/>
      <c r="H468" s="3"/>
      <c r="I468" s="102"/>
      <c r="J468" s="102"/>
      <c r="K468" s="102"/>
      <c r="L468" s="102"/>
      <c r="M468" s="3"/>
      <c r="N468" s="3"/>
      <c r="O468" s="3"/>
      <c r="P468" s="3"/>
      <c r="Q468" s="3"/>
    </row>
    <row r="469" spans="3:17">
      <c r="C469" s="120" t="s">
        <v>651</v>
      </c>
      <c r="D469" s="56">
        <v>465</v>
      </c>
      <c r="E469" s="3"/>
      <c r="F469" s="3"/>
      <c r="G469" s="3"/>
      <c r="H469" s="3"/>
      <c r="I469" s="102"/>
      <c r="J469" s="102"/>
      <c r="K469" s="102"/>
      <c r="L469" s="102"/>
      <c r="M469" s="3"/>
      <c r="N469" s="3"/>
      <c r="O469" s="3"/>
      <c r="P469" s="3"/>
      <c r="Q469" s="3"/>
    </row>
    <row r="470" spans="3:17">
      <c r="C470" s="120" t="s">
        <v>652</v>
      </c>
      <c r="D470" s="56">
        <v>466</v>
      </c>
      <c r="E470" s="3"/>
      <c r="F470" s="3"/>
      <c r="G470" s="3"/>
      <c r="H470" s="3"/>
      <c r="I470" s="102"/>
      <c r="J470" s="102"/>
      <c r="K470" s="102"/>
      <c r="L470" s="102"/>
      <c r="M470" s="3"/>
      <c r="N470" s="3"/>
      <c r="O470" s="3"/>
      <c r="P470" s="3"/>
      <c r="Q470" s="3"/>
    </row>
    <row r="471" spans="3:17">
      <c r="C471" s="120" t="s">
        <v>653</v>
      </c>
      <c r="D471" s="56">
        <v>467</v>
      </c>
      <c r="E471" s="3"/>
      <c r="F471" s="3"/>
      <c r="G471" s="3"/>
      <c r="H471" s="3"/>
      <c r="I471" s="102"/>
      <c r="J471" s="102"/>
      <c r="K471" s="102"/>
      <c r="L471" s="102"/>
      <c r="M471" s="3"/>
      <c r="N471" s="3"/>
      <c r="O471" s="3"/>
      <c r="P471" s="3"/>
      <c r="Q471" s="3"/>
    </row>
    <row r="472" spans="3:17">
      <c r="C472" s="120" t="s">
        <v>654</v>
      </c>
      <c r="D472" s="56">
        <v>468</v>
      </c>
      <c r="E472" s="3"/>
      <c r="F472" s="3"/>
      <c r="G472" s="3"/>
      <c r="H472" s="3"/>
      <c r="I472" s="102"/>
      <c r="J472" s="102"/>
      <c r="K472" s="102"/>
      <c r="L472" s="102"/>
      <c r="M472" s="3"/>
      <c r="N472" s="3"/>
      <c r="O472" s="3"/>
      <c r="P472" s="3"/>
      <c r="Q472" s="3"/>
    </row>
    <row r="473" spans="3:17">
      <c r="C473" s="120" t="s">
        <v>655</v>
      </c>
      <c r="D473" s="56">
        <v>469</v>
      </c>
      <c r="E473" s="3"/>
      <c r="F473" s="3"/>
      <c r="G473" s="3"/>
      <c r="H473" s="3"/>
      <c r="I473" s="102"/>
      <c r="J473" s="102"/>
      <c r="K473" s="102"/>
      <c r="L473" s="102"/>
      <c r="M473" s="3"/>
      <c r="N473" s="3"/>
      <c r="O473" s="3"/>
      <c r="P473" s="3"/>
      <c r="Q473" s="3"/>
    </row>
    <row r="474" spans="3:17">
      <c r="C474" s="119" t="s">
        <v>656</v>
      </c>
      <c r="D474" s="56">
        <v>470</v>
      </c>
      <c r="E474" s="3"/>
      <c r="F474" s="3"/>
      <c r="G474" s="3"/>
      <c r="H474" s="3"/>
      <c r="I474" s="102"/>
      <c r="J474" s="102"/>
      <c r="K474" s="102"/>
      <c r="L474" s="102"/>
      <c r="M474" s="3"/>
      <c r="N474" s="3"/>
      <c r="O474" s="3"/>
      <c r="P474" s="3"/>
      <c r="Q474" s="3"/>
    </row>
    <row r="475" spans="3:17">
      <c r="C475" s="120" t="s">
        <v>657</v>
      </c>
      <c r="D475" s="56">
        <v>471</v>
      </c>
      <c r="E475" s="3"/>
      <c r="F475" s="3"/>
      <c r="G475" s="3"/>
      <c r="H475" s="3"/>
      <c r="I475" s="102"/>
      <c r="J475" s="102"/>
      <c r="K475" s="102"/>
      <c r="L475" s="102"/>
      <c r="M475" s="3"/>
      <c r="N475" s="3"/>
      <c r="O475" s="3"/>
      <c r="P475" s="3"/>
      <c r="Q475" s="3"/>
    </row>
    <row r="476" spans="3:17">
      <c r="C476" s="120" t="s">
        <v>658</v>
      </c>
      <c r="D476" s="56">
        <v>472</v>
      </c>
      <c r="E476" s="3"/>
      <c r="F476" s="3"/>
      <c r="G476" s="3"/>
      <c r="H476" s="3"/>
      <c r="I476" s="102"/>
      <c r="J476" s="102"/>
      <c r="K476" s="102"/>
      <c r="L476" s="102"/>
      <c r="M476" s="3"/>
      <c r="N476" s="3"/>
      <c r="O476" s="3"/>
      <c r="P476" s="3"/>
      <c r="Q476" s="3"/>
    </row>
    <row r="477" spans="3:17">
      <c r="C477" s="119" t="s">
        <v>659</v>
      </c>
      <c r="D477" s="56">
        <v>473</v>
      </c>
      <c r="E477" s="3"/>
      <c r="F477" s="3"/>
      <c r="G477" s="3"/>
      <c r="H477" s="3"/>
      <c r="I477" s="102"/>
      <c r="J477" s="102"/>
      <c r="K477" s="102"/>
      <c r="L477" s="102"/>
      <c r="M477" s="3"/>
      <c r="N477" s="3"/>
      <c r="O477" s="3"/>
      <c r="P477" s="3"/>
      <c r="Q477" s="3"/>
    </row>
    <row r="478" spans="3:17">
      <c r="C478" s="120" t="s">
        <v>660</v>
      </c>
      <c r="D478" s="56">
        <v>474</v>
      </c>
      <c r="E478" s="3"/>
      <c r="F478" s="3"/>
      <c r="G478" s="3"/>
      <c r="H478" s="3"/>
      <c r="I478" s="102"/>
      <c r="J478" s="102"/>
      <c r="K478" s="102"/>
      <c r="L478" s="102"/>
      <c r="M478" s="3"/>
      <c r="N478" s="3"/>
      <c r="O478" s="3"/>
      <c r="P478" s="3"/>
      <c r="Q478" s="3"/>
    </row>
    <row r="479" spans="3:17">
      <c r="C479" s="120" t="s">
        <v>661</v>
      </c>
      <c r="D479" s="56">
        <v>475</v>
      </c>
      <c r="E479" s="3"/>
      <c r="F479" s="3"/>
      <c r="G479" s="3"/>
      <c r="H479" s="3"/>
      <c r="I479" s="102"/>
      <c r="J479" s="102"/>
      <c r="K479" s="102"/>
      <c r="L479" s="102"/>
      <c r="M479" s="3"/>
      <c r="N479" s="3"/>
      <c r="O479" s="3"/>
      <c r="P479" s="3"/>
      <c r="Q479" s="3"/>
    </row>
    <row r="480" spans="3:17">
      <c r="C480" s="119" t="s">
        <v>662</v>
      </c>
      <c r="D480" s="56">
        <v>476</v>
      </c>
      <c r="E480" s="3"/>
      <c r="F480" s="3"/>
      <c r="G480" s="3"/>
      <c r="H480" s="3"/>
      <c r="I480" s="102"/>
      <c r="J480" s="102"/>
      <c r="K480" s="102"/>
      <c r="L480" s="102"/>
      <c r="M480" s="3"/>
      <c r="N480" s="3"/>
      <c r="O480" s="3"/>
      <c r="P480" s="3"/>
      <c r="Q480" s="3"/>
    </row>
    <row r="481" spans="3:17">
      <c r="C481" s="119" t="s">
        <v>663</v>
      </c>
      <c r="D481" s="56">
        <v>477</v>
      </c>
      <c r="E481" s="3"/>
      <c r="F481" s="3"/>
      <c r="G481" s="3"/>
      <c r="H481" s="3"/>
      <c r="I481" s="102"/>
      <c r="J481" s="102"/>
      <c r="K481" s="102"/>
      <c r="L481" s="102"/>
      <c r="M481" s="3"/>
      <c r="N481" s="3"/>
      <c r="O481" s="3"/>
      <c r="P481" s="3"/>
      <c r="Q481" s="3"/>
    </row>
    <row r="482" spans="3:17">
      <c r="C482" s="119" t="s">
        <v>664</v>
      </c>
      <c r="D482" s="56">
        <v>478</v>
      </c>
      <c r="E482" s="3"/>
      <c r="F482" s="3"/>
      <c r="G482" s="3"/>
      <c r="H482" s="3"/>
      <c r="I482" s="102"/>
      <c r="J482" s="102"/>
      <c r="K482" s="102"/>
      <c r="L482" s="102"/>
      <c r="M482" s="3"/>
      <c r="N482" s="3"/>
      <c r="O482" s="3"/>
      <c r="P482" s="3"/>
      <c r="Q482" s="3"/>
    </row>
    <row r="483" spans="3:17">
      <c r="C483" s="119" t="s">
        <v>665</v>
      </c>
      <c r="D483" s="56">
        <v>479</v>
      </c>
      <c r="E483" s="102"/>
      <c r="F483" s="102"/>
      <c r="G483" s="3"/>
      <c r="H483" s="3"/>
      <c r="I483" s="102"/>
      <c r="J483" s="102"/>
      <c r="K483" s="102"/>
      <c r="L483" s="102"/>
      <c r="M483" s="3"/>
      <c r="N483" s="3"/>
      <c r="O483" s="3"/>
      <c r="P483" s="3"/>
      <c r="Q483" s="3"/>
    </row>
    <row r="484" spans="3:17">
      <c r="C484" s="120" t="s">
        <v>666</v>
      </c>
      <c r="D484" s="56">
        <v>480</v>
      </c>
      <c r="E484" s="102"/>
      <c r="F484" s="102"/>
      <c r="G484" s="3"/>
      <c r="H484" s="3"/>
      <c r="I484" s="102"/>
      <c r="J484" s="102"/>
      <c r="K484" s="102"/>
      <c r="L484" s="102"/>
      <c r="M484" s="3"/>
      <c r="N484" s="3"/>
      <c r="O484" s="3"/>
      <c r="P484" s="3"/>
      <c r="Q484" s="3"/>
    </row>
    <row r="485" spans="3:17">
      <c r="C485" s="120" t="s">
        <v>667</v>
      </c>
      <c r="D485" s="56">
        <v>481</v>
      </c>
      <c r="E485" s="102"/>
      <c r="F485" s="102"/>
      <c r="G485" s="3"/>
      <c r="H485" s="3"/>
      <c r="I485" s="102"/>
      <c r="J485" s="102"/>
      <c r="K485" s="102"/>
      <c r="L485" s="102"/>
      <c r="M485" s="3"/>
      <c r="N485" s="3"/>
      <c r="O485" s="3"/>
      <c r="P485" s="3"/>
      <c r="Q485" s="3"/>
    </row>
    <row r="486" spans="3:17">
      <c r="C486" s="120" t="s">
        <v>668</v>
      </c>
      <c r="D486" s="56">
        <v>482</v>
      </c>
      <c r="E486" s="102"/>
      <c r="F486" s="102"/>
      <c r="G486" s="3"/>
      <c r="H486" s="3"/>
      <c r="I486" s="102"/>
      <c r="J486" s="102"/>
      <c r="K486" s="102"/>
      <c r="L486" s="102"/>
      <c r="M486" s="3"/>
      <c r="N486" s="3"/>
      <c r="O486" s="3"/>
      <c r="P486" s="3"/>
      <c r="Q486" s="3"/>
    </row>
    <row r="487" spans="3:17">
      <c r="C487" s="119" t="s">
        <v>669</v>
      </c>
      <c r="D487" s="56">
        <v>483</v>
      </c>
      <c r="E487" s="102"/>
      <c r="F487" s="102"/>
      <c r="G487" s="3"/>
      <c r="H487" s="3"/>
      <c r="I487" s="102"/>
      <c r="J487" s="102"/>
      <c r="K487" s="102"/>
      <c r="L487" s="102"/>
      <c r="M487" s="3"/>
      <c r="N487" s="3"/>
      <c r="O487" s="3"/>
      <c r="P487" s="3"/>
      <c r="Q487" s="3"/>
    </row>
    <row r="488" spans="3:17">
      <c r="C488" s="119" t="s">
        <v>670</v>
      </c>
      <c r="D488" s="56">
        <v>484</v>
      </c>
      <c r="E488" s="102"/>
      <c r="F488" s="102"/>
      <c r="G488" s="3"/>
      <c r="H488" s="3"/>
      <c r="I488" s="102"/>
      <c r="J488" s="102"/>
      <c r="K488" s="102"/>
      <c r="L488" s="102"/>
      <c r="M488" s="3"/>
      <c r="N488" s="3"/>
      <c r="O488" s="3"/>
      <c r="P488" s="3"/>
      <c r="Q488" s="3"/>
    </row>
    <row r="489" spans="3:17">
      <c r="C489" s="120" t="s">
        <v>671</v>
      </c>
      <c r="D489" s="56">
        <v>485</v>
      </c>
      <c r="E489" s="102"/>
      <c r="F489" s="102"/>
      <c r="G489" s="3"/>
      <c r="H489" s="3"/>
      <c r="I489" s="102"/>
      <c r="J489" s="102"/>
      <c r="K489" s="102"/>
      <c r="L489" s="102"/>
      <c r="M489" s="3"/>
      <c r="N489" s="3"/>
      <c r="O489" s="3"/>
      <c r="P489" s="3"/>
      <c r="Q489" s="3"/>
    </row>
    <row r="490" spans="3:17">
      <c r="C490" s="120" t="s">
        <v>672</v>
      </c>
      <c r="D490" s="56">
        <v>486</v>
      </c>
      <c r="E490" s="102"/>
      <c r="F490" s="102"/>
      <c r="G490" s="3"/>
      <c r="H490" s="3"/>
      <c r="I490" s="102"/>
      <c r="J490" s="102"/>
      <c r="K490" s="102"/>
      <c r="L490" s="102"/>
      <c r="M490" s="3"/>
      <c r="N490" s="3"/>
      <c r="O490" s="3"/>
      <c r="P490" s="3"/>
      <c r="Q490" s="3"/>
    </row>
    <row r="491" spans="3:17">
      <c r="C491" s="120" t="s">
        <v>673</v>
      </c>
      <c r="D491" s="56">
        <v>487</v>
      </c>
      <c r="E491" s="102"/>
      <c r="F491" s="102"/>
      <c r="G491" s="3"/>
      <c r="H491" s="3"/>
      <c r="I491" s="102"/>
      <c r="J491" s="102"/>
      <c r="K491" s="102"/>
      <c r="L491" s="102"/>
      <c r="M491" s="3"/>
      <c r="N491" s="3"/>
      <c r="O491" s="3"/>
      <c r="P491" s="3"/>
      <c r="Q491" s="3"/>
    </row>
    <row r="492" spans="3:17">
      <c r="C492" s="119" t="s">
        <v>674</v>
      </c>
      <c r="D492" s="56">
        <v>488</v>
      </c>
      <c r="E492" s="102"/>
      <c r="F492" s="102"/>
      <c r="G492" s="3"/>
      <c r="H492" s="3"/>
      <c r="I492" s="102"/>
      <c r="J492" s="102"/>
      <c r="K492" s="102"/>
      <c r="L492" s="102"/>
      <c r="M492" s="3"/>
      <c r="N492" s="3"/>
      <c r="O492" s="3"/>
      <c r="P492" s="3"/>
      <c r="Q492" s="3"/>
    </row>
    <row r="493" spans="3:17">
      <c r="C493" s="119" t="s">
        <v>675</v>
      </c>
      <c r="D493" s="56">
        <v>489</v>
      </c>
      <c r="E493" s="102"/>
      <c r="F493" s="102"/>
      <c r="G493" s="3"/>
      <c r="H493" s="3"/>
      <c r="I493" s="102"/>
      <c r="J493" s="102"/>
      <c r="K493" s="102"/>
      <c r="L493" s="102"/>
      <c r="M493" s="3"/>
      <c r="N493" s="3"/>
      <c r="O493" s="3"/>
      <c r="P493" s="3"/>
      <c r="Q493" s="3"/>
    </row>
    <row r="494" spans="3:17">
      <c r="C494" s="119" t="s">
        <v>676</v>
      </c>
      <c r="D494" s="56">
        <v>490</v>
      </c>
      <c r="E494" s="102"/>
      <c r="F494" s="102"/>
      <c r="G494" s="3"/>
      <c r="H494" s="3"/>
      <c r="I494" s="102"/>
      <c r="J494" s="102"/>
      <c r="K494" s="102"/>
      <c r="L494" s="102"/>
      <c r="M494" s="3"/>
      <c r="N494" s="3"/>
      <c r="O494" s="3"/>
      <c r="P494" s="3"/>
      <c r="Q494" s="3"/>
    </row>
    <row r="495" spans="3:17">
      <c r="C495" s="120" t="s">
        <v>677</v>
      </c>
      <c r="D495" s="56">
        <v>491</v>
      </c>
      <c r="E495" s="102"/>
      <c r="F495" s="102"/>
      <c r="G495" s="3"/>
      <c r="H495" s="3"/>
      <c r="I495" s="102"/>
      <c r="J495" s="102"/>
      <c r="K495" s="102"/>
      <c r="L495" s="102"/>
      <c r="M495" s="3"/>
      <c r="N495" s="3"/>
      <c r="O495" s="3"/>
      <c r="P495" s="3"/>
      <c r="Q495" s="3"/>
    </row>
    <row r="496" spans="3:17">
      <c r="C496" s="120" t="s">
        <v>678</v>
      </c>
      <c r="D496" s="56">
        <v>492</v>
      </c>
      <c r="E496" s="102"/>
      <c r="F496" s="102"/>
      <c r="G496" s="3"/>
      <c r="H496" s="3"/>
      <c r="I496" s="102"/>
      <c r="J496" s="102"/>
      <c r="K496" s="102"/>
      <c r="L496" s="102"/>
      <c r="M496" s="3"/>
      <c r="N496" s="3"/>
      <c r="O496" s="3"/>
      <c r="P496" s="3"/>
      <c r="Q496" s="3"/>
    </row>
    <row r="497" spans="3:17">
      <c r="C497" s="119" t="s">
        <v>679</v>
      </c>
      <c r="D497" s="56">
        <v>493</v>
      </c>
      <c r="E497" s="102"/>
      <c r="F497" s="102"/>
      <c r="G497" s="3"/>
      <c r="H497" s="3"/>
      <c r="I497" s="102"/>
      <c r="J497" s="102"/>
      <c r="K497" s="102"/>
      <c r="L497" s="102"/>
      <c r="M497" s="3"/>
      <c r="N497" s="3"/>
      <c r="O497" s="3"/>
      <c r="P497" s="3"/>
      <c r="Q497" s="3"/>
    </row>
    <row r="498" spans="3:17">
      <c r="C498" s="119" t="s">
        <v>680</v>
      </c>
      <c r="D498" s="56">
        <v>494</v>
      </c>
      <c r="E498" s="102"/>
      <c r="F498" s="102"/>
      <c r="G498" s="3"/>
      <c r="H498" s="3"/>
      <c r="I498" s="102"/>
      <c r="J498" s="102"/>
      <c r="K498" s="102"/>
      <c r="L498" s="102"/>
      <c r="M498" s="3"/>
      <c r="N498" s="3"/>
      <c r="O498" s="3"/>
      <c r="P498" s="3"/>
      <c r="Q498" s="3"/>
    </row>
    <row r="499" spans="3:17">
      <c r="C499" s="119" t="s">
        <v>681</v>
      </c>
      <c r="D499" s="56">
        <v>495</v>
      </c>
      <c r="E499" s="102"/>
      <c r="F499" s="102"/>
      <c r="G499" s="3"/>
      <c r="H499" s="3"/>
      <c r="I499" s="102"/>
      <c r="J499" s="102"/>
      <c r="K499" s="102"/>
      <c r="L499" s="102"/>
      <c r="M499" s="3"/>
      <c r="N499" s="3"/>
      <c r="O499" s="3"/>
      <c r="P499" s="3"/>
      <c r="Q499" s="3"/>
    </row>
    <row r="500" spans="3:17">
      <c r="C500" s="119" t="s">
        <v>682</v>
      </c>
      <c r="D500" s="56">
        <v>496</v>
      </c>
      <c r="E500" s="102"/>
      <c r="F500" s="102"/>
      <c r="G500" s="3"/>
      <c r="H500" s="3"/>
      <c r="I500" s="102"/>
      <c r="J500" s="102"/>
      <c r="K500" s="102"/>
      <c r="L500" s="102"/>
      <c r="M500" s="3"/>
      <c r="N500" s="3"/>
      <c r="O500" s="3"/>
      <c r="P500" s="3"/>
      <c r="Q500" s="3"/>
    </row>
    <row r="501" spans="3:17">
      <c r="C501" s="120" t="s">
        <v>683</v>
      </c>
      <c r="D501" s="56">
        <v>497</v>
      </c>
      <c r="E501" s="102"/>
      <c r="F501" s="102"/>
      <c r="G501" s="3"/>
      <c r="H501" s="3"/>
      <c r="I501" s="102"/>
      <c r="J501" s="102"/>
      <c r="K501" s="102"/>
      <c r="L501" s="102"/>
      <c r="M501" s="3"/>
      <c r="N501" s="3"/>
      <c r="O501" s="3"/>
      <c r="P501" s="3"/>
      <c r="Q501" s="3"/>
    </row>
    <row r="502" spans="3:17">
      <c r="C502" s="120" t="s">
        <v>684</v>
      </c>
      <c r="D502" s="56">
        <v>498</v>
      </c>
      <c r="E502" s="102"/>
      <c r="F502" s="102"/>
      <c r="G502" s="3"/>
      <c r="H502" s="3"/>
      <c r="I502" s="102"/>
      <c r="J502" s="102"/>
      <c r="K502" s="102"/>
      <c r="L502" s="102"/>
      <c r="M502" s="3"/>
      <c r="N502" s="3"/>
      <c r="O502" s="3"/>
      <c r="P502" s="3"/>
      <c r="Q502" s="3"/>
    </row>
    <row r="503" spans="3:17">
      <c r="C503" s="119" t="s">
        <v>1182</v>
      </c>
      <c r="D503" s="56">
        <v>499</v>
      </c>
      <c r="E503" s="102"/>
      <c r="F503" s="102"/>
      <c r="G503" s="3"/>
      <c r="H503" s="3"/>
      <c r="I503" s="102"/>
      <c r="J503" s="102"/>
      <c r="K503" s="102"/>
      <c r="L503" s="102"/>
      <c r="M503" s="3"/>
      <c r="N503" s="3"/>
      <c r="O503" s="3"/>
      <c r="P503" s="3"/>
      <c r="Q503" s="3"/>
    </row>
    <row r="504" spans="3:17">
      <c r="C504" s="120" t="s">
        <v>685</v>
      </c>
      <c r="D504" s="56">
        <v>500</v>
      </c>
      <c r="E504" s="102"/>
      <c r="F504" s="102"/>
      <c r="G504" s="3"/>
      <c r="H504" s="3"/>
      <c r="I504" s="102"/>
      <c r="J504" s="102"/>
      <c r="K504" s="102"/>
      <c r="L504" s="102"/>
      <c r="M504" s="3"/>
      <c r="N504" s="3"/>
      <c r="O504" s="3"/>
      <c r="P504" s="3"/>
      <c r="Q504" s="3"/>
    </row>
    <row r="505" spans="3:17">
      <c r="C505" s="120" t="s">
        <v>686</v>
      </c>
      <c r="D505" s="56">
        <v>501</v>
      </c>
      <c r="E505" s="102"/>
      <c r="F505" s="102"/>
      <c r="G505" s="3"/>
      <c r="H505" s="3"/>
      <c r="I505" s="102"/>
      <c r="J505" s="102"/>
      <c r="K505" s="102"/>
      <c r="L505" s="102"/>
      <c r="M505" s="3"/>
      <c r="N505" s="3"/>
      <c r="O505" s="3"/>
      <c r="P505" s="3"/>
      <c r="Q505" s="3"/>
    </row>
    <row r="506" spans="3:17">
      <c r="C506" s="120" t="s">
        <v>687</v>
      </c>
      <c r="D506" s="56">
        <v>502</v>
      </c>
      <c r="E506" s="102"/>
      <c r="F506" s="102"/>
      <c r="G506" s="3"/>
      <c r="H506" s="3"/>
      <c r="I506" s="102"/>
      <c r="J506" s="102"/>
      <c r="K506" s="102"/>
      <c r="L506" s="102"/>
      <c r="M506" s="3"/>
      <c r="N506" s="3"/>
      <c r="O506" s="3"/>
      <c r="P506" s="3"/>
      <c r="Q506" s="3"/>
    </row>
    <row r="507" spans="3:17">
      <c r="C507" s="120" t="s">
        <v>688</v>
      </c>
      <c r="D507" s="56">
        <v>503</v>
      </c>
      <c r="E507" s="102"/>
      <c r="F507" s="102"/>
      <c r="G507" s="3"/>
      <c r="H507" s="3"/>
      <c r="I507" s="102"/>
      <c r="J507" s="102"/>
      <c r="K507" s="102"/>
      <c r="L507" s="102"/>
      <c r="M507" s="3"/>
      <c r="N507" s="3"/>
      <c r="O507" s="3"/>
      <c r="P507" s="3"/>
      <c r="Q507" s="3"/>
    </row>
    <row r="508" spans="3:17">
      <c r="C508" s="119" t="s">
        <v>689</v>
      </c>
      <c r="D508" s="56">
        <v>504</v>
      </c>
      <c r="E508" s="102"/>
      <c r="F508" s="102"/>
      <c r="G508" s="3"/>
      <c r="H508" s="3"/>
      <c r="I508" s="102"/>
      <c r="J508" s="102"/>
      <c r="K508" s="102"/>
      <c r="L508" s="102"/>
      <c r="M508" s="3"/>
      <c r="N508" s="3"/>
      <c r="O508" s="3"/>
      <c r="P508" s="3"/>
      <c r="Q508" s="3"/>
    </row>
    <row r="509" spans="3:17">
      <c r="C509" s="120" t="s">
        <v>690</v>
      </c>
      <c r="D509" s="56">
        <v>505</v>
      </c>
      <c r="E509" s="102"/>
      <c r="F509" s="102"/>
      <c r="G509" s="3"/>
      <c r="H509" s="3"/>
      <c r="I509" s="102"/>
      <c r="J509" s="102"/>
      <c r="K509" s="102"/>
      <c r="L509" s="102"/>
      <c r="M509" s="3"/>
      <c r="N509" s="3"/>
      <c r="O509" s="3"/>
      <c r="P509" s="3"/>
      <c r="Q509" s="3"/>
    </row>
    <row r="510" spans="3:17">
      <c r="C510" s="119" t="s">
        <v>691</v>
      </c>
      <c r="D510" s="56">
        <v>506</v>
      </c>
      <c r="E510" s="102"/>
      <c r="F510" s="102"/>
      <c r="G510" s="3"/>
      <c r="H510" s="3"/>
      <c r="I510" s="102"/>
      <c r="J510" s="102"/>
      <c r="K510" s="102"/>
      <c r="L510" s="102"/>
      <c r="M510" s="3"/>
      <c r="N510" s="3"/>
      <c r="O510" s="3"/>
      <c r="P510" s="3"/>
      <c r="Q510" s="3"/>
    </row>
    <row r="511" spans="3:17">
      <c r="C511" s="119" t="s">
        <v>692</v>
      </c>
      <c r="D511" s="56">
        <v>507</v>
      </c>
      <c r="E511" s="102"/>
      <c r="F511" s="102"/>
      <c r="G511" s="3"/>
      <c r="H511" s="3"/>
      <c r="I511" s="102"/>
      <c r="J511" s="102"/>
      <c r="K511" s="102"/>
      <c r="L511" s="102"/>
      <c r="M511" s="3"/>
      <c r="N511" s="3"/>
      <c r="O511" s="3"/>
      <c r="P511" s="3"/>
      <c r="Q511" s="3"/>
    </row>
    <row r="512" spans="3:17">
      <c r="C512" s="120" t="s">
        <v>693</v>
      </c>
      <c r="D512" s="56">
        <v>508</v>
      </c>
      <c r="E512" s="102"/>
      <c r="F512" s="102"/>
      <c r="G512" s="3"/>
      <c r="H512" s="3"/>
      <c r="I512" s="102"/>
      <c r="J512" s="102"/>
      <c r="K512" s="102"/>
      <c r="L512" s="102"/>
      <c r="M512" s="3"/>
      <c r="N512" s="3"/>
      <c r="O512" s="3"/>
      <c r="P512" s="3"/>
      <c r="Q512" s="3"/>
    </row>
    <row r="513" spans="3:17">
      <c r="C513" s="120" t="s">
        <v>694</v>
      </c>
      <c r="D513" s="56">
        <v>509</v>
      </c>
      <c r="E513" s="102"/>
      <c r="F513" s="102"/>
      <c r="G513" s="3"/>
      <c r="H513" s="3"/>
      <c r="I513" s="102"/>
      <c r="J513" s="102"/>
      <c r="K513" s="102"/>
      <c r="L513" s="102"/>
      <c r="M513" s="3"/>
      <c r="N513" s="3"/>
      <c r="O513" s="3"/>
      <c r="P513" s="3"/>
      <c r="Q513" s="3"/>
    </row>
    <row r="514" spans="3:17">
      <c r="C514" s="120" t="s">
        <v>695</v>
      </c>
      <c r="D514" s="56">
        <v>510</v>
      </c>
      <c r="E514" s="102"/>
      <c r="F514" s="102"/>
      <c r="G514" s="3"/>
      <c r="H514" s="3"/>
      <c r="I514" s="102"/>
      <c r="J514" s="102"/>
      <c r="K514" s="102"/>
      <c r="L514" s="102"/>
      <c r="M514" s="3"/>
      <c r="N514" s="3"/>
      <c r="O514" s="3"/>
      <c r="P514" s="3"/>
      <c r="Q514" s="3"/>
    </row>
    <row r="515" spans="3:17">
      <c r="C515" s="119" t="s">
        <v>696</v>
      </c>
      <c r="D515" s="56">
        <v>511</v>
      </c>
      <c r="E515" s="102"/>
      <c r="F515" s="102"/>
      <c r="G515" s="3"/>
      <c r="H515" s="3"/>
      <c r="I515" s="102"/>
      <c r="J515" s="102"/>
      <c r="K515" s="102"/>
      <c r="L515" s="102"/>
      <c r="M515" s="3"/>
      <c r="N515" s="3"/>
      <c r="O515" s="3"/>
      <c r="P515" s="3"/>
      <c r="Q515" s="3"/>
    </row>
    <row r="516" spans="3:17">
      <c r="C516" s="120" t="s">
        <v>697</v>
      </c>
      <c r="D516" s="56">
        <v>512</v>
      </c>
      <c r="E516" s="102"/>
      <c r="F516" s="102"/>
      <c r="G516" s="3"/>
      <c r="H516" s="3"/>
      <c r="I516" s="102"/>
      <c r="J516" s="102"/>
      <c r="K516" s="102"/>
      <c r="L516" s="102"/>
      <c r="M516" s="3"/>
      <c r="N516" s="3"/>
      <c r="O516" s="3"/>
      <c r="P516" s="3"/>
      <c r="Q516" s="3"/>
    </row>
    <row r="517" spans="3:17">
      <c r="C517" s="120" t="s">
        <v>698</v>
      </c>
      <c r="D517" s="56">
        <v>513</v>
      </c>
      <c r="E517" s="102"/>
      <c r="F517" s="102"/>
      <c r="G517" s="3"/>
      <c r="H517" s="3"/>
      <c r="I517" s="102"/>
      <c r="J517" s="102"/>
      <c r="K517" s="102"/>
      <c r="L517" s="102"/>
      <c r="M517" s="3"/>
      <c r="N517" s="3"/>
      <c r="O517" s="3"/>
      <c r="P517" s="3"/>
      <c r="Q517" s="3"/>
    </row>
    <row r="518" spans="3:17">
      <c r="C518" s="120" t="s">
        <v>699</v>
      </c>
      <c r="D518" s="56">
        <v>514</v>
      </c>
      <c r="E518" s="102"/>
      <c r="F518" s="102"/>
      <c r="G518" s="3"/>
      <c r="H518" s="3"/>
      <c r="I518" s="102"/>
      <c r="J518" s="102"/>
      <c r="K518" s="102"/>
      <c r="L518" s="102"/>
      <c r="M518" s="3"/>
      <c r="N518" s="3"/>
      <c r="O518" s="3"/>
      <c r="P518" s="3"/>
      <c r="Q518" s="3"/>
    </row>
    <row r="519" spans="3:17">
      <c r="C519" s="120" t="s">
        <v>700</v>
      </c>
      <c r="D519" s="56">
        <v>515</v>
      </c>
      <c r="E519" s="102"/>
      <c r="F519" s="102"/>
      <c r="G519" s="3"/>
      <c r="H519" s="3"/>
      <c r="I519" s="102"/>
      <c r="J519" s="102"/>
      <c r="K519" s="102"/>
      <c r="L519" s="102"/>
      <c r="M519" s="3"/>
      <c r="N519" s="3"/>
      <c r="O519" s="3"/>
      <c r="P519" s="3"/>
      <c r="Q519" s="3"/>
    </row>
    <row r="520" spans="3:17">
      <c r="C520" s="120" t="s">
        <v>701</v>
      </c>
      <c r="D520" s="56">
        <v>516</v>
      </c>
      <c r="E520" s="102"/>
      <c r="F520" s="102"/>
      <c r="G520" s="3"/>
      <c r="H520" s="3"/>
      <c r="I520" s="102"/>
      <c r="J520" s="102"/>
      <c r="K520" s="102"/>
      <c r="L520" s="102"/>
      <c r="M520" s="3"/>
      <c r="N520" s="3"/>
      <c r="O520" s="3"/>
      <c r="P520" s="3"/>
      <c r="Q520" s="3"/>
    </row>
    <row r="521" spans="3:17">
      <c r="C521" s="119" t="s">
        <v>702</v>
      </c>
      <c r="D521" s="56">
        <v>517</v>
      </c>
      <c r="E521" s="102"/>
      <c r="F521" s="102"/>
      <c r="G521" s="3"/>
      <c r="H521" s="3"/>
      <c r="I521" s="102"/>
      <c r="J521" s="102"/>
      <c r="K521" s="102"/>
      <c r="L521" s="102"/>
      <c r="M521" s="3"/>
      <c r="N521" s="3"/>
      <c r="O521" s="3"/>
      <c r="P521" s="3"/>
      <c r="Q521" s="3"/>
    </row>
    <row r="522" spans="3:17">
      <c r="C522" s="120" t="s">
        <v>703</v>
      </c>
      <c r="D522" s="56">
        <v>518</v>
      </c>
      <c r="E522" s="102"/>
      <c r="F522" s="102"/>
      <c r="G522" s="3"/>
      <c r="H522" s="3"/>
      <c r="I522" s="102"/>
      <c r="J522" s="102"/>
      <c r="K522" s="102"/>
      <c r="L522" s="102"/>
      <c r="M522" s="3"/>
      <c r="N522" s="3"/>
      <c r="O522" s="3"/>
      <c r="P522" s="3"/>
      <c r="Q522" s="3"/>
    </row>
    <row r="523" spans="3:17">
      <c r="C523" s="119" t="s">
        <v>704</v>
      </c>
      <c r="D523" s="56">
        <v>519</v>
      </c>
      <c r="E523" s="102"/>
      <c r="F523" s="102"/>
      <c r="G523" s="3"/>
      <c r="H523" s="3"/>
      <c r="I523" s="102"/>
      <c r="J523" s="102"/>
      <c r="K523" s="102"/>
      <c r="L523" s="102"/>
      <c r="M523" s="3"/>
      <c r="N523" s="3"/>
      <c r="O523" s="3"/>
      <c r="P523" s="3"/>
      <c r="Q523" s="3"/>
    </row>
    <row r="524" spans="3:17">
      <c r="C524" s="120" t="s">
        <v>705</v>
      </c>
      <c r="D524" s="56">
        <v>520</v>
      </c>
      <c r="E524" s="102"/>
      <c r="F524" s="102"/>
      <c r="G524" s="3"/>
      <c r="H524" s="3"/>
      <c r="I524" s="102"/>
      <c r="J524" s="102"/>
      <c r="K524" s="102"/>
      <c r="L524" s="102"/>
      <c r="M524" s="3"/>
      <c r="N524" s="3"/>
      <c r="O524" s="3"/>
      <c r="P524" s="3"/>
      <c r="Q524" s="3"/>
    </row>
    <row r="525" spans="3:17">
      <c r="C525" s="120" t="s">
        <v>706</v>
      </c>
      <c r="D525" s="56">
        <v>521</v>
      </c>
      <c r="E525" s="102"/>
      <c r="F525" s="102"/>
      <c r="G525" s="3"/>
      <c r="H525" s="3"/>
      <c r="I525" s="102"/>
      <c r="J525" s="102"/>
      <c r="K525" s="102"/>
      <c r="L525" s="102"/>
      <c r="M525" s="3"/>
      <c r="N525" s="3"/>
      <c r="O525" s="3"/>
      <c r="P525" s="3"/>
      <c r="Q525" s="3"/>
    </row>
    <row r="526" spans="3:17">
      <c r="C526" s="120" t="s">
        <v>707</v>
      </c>
      <c r="D526" s="56">
        <v>522</v>
      </c>
      <c r="E526" s="102"/>
      <c r="F526" s="102"/>
      <c r="G526" s="3"/>
      <c r="H526" s="3"/>
      <c r="I526" s="102"/>
      <c r="J526" s="102"/>
      <c r="K526" s="102"/>
      <c r="L526" s="102"/>
      <c r="M526" s="3"/>
      <c r="N526" s="3"/>
      <c r="O526" s="3"/>
      <c r="P526" s="3"/>
      <c r="Q526" s="3"/>
    </row>
    <row r="527" spans="3:17">
      <c r="C527" s="119" t="s">
        <v>708</v>
      </c>
      <c r="D527" s="56">
        <v>523</v>
      </c>
      <c r="E527" s="102"/>
      <c r="F527" s="102"/>
      <c r="G527" s="3"/>
      <c r="H527" s="3"/>
      <c r="I527" s="102"/>
      <c r="J527" s="102"/>
      <c r="K527" s="102"/>
      <c r="L527" s="102"/>
      <c r="M527" s="3"/>
      <c r="N527" s="3"/>
      <c r="O527" s="3"/>
      <c r="P527" s="3"/>
      <c r="Q527" s="3"/>
    </row>
    <row r="528" spans="3:17">
      <c r="C528" s="120" t="s">
        <v>709</v>
      </c>
      <c r="D528" s="56">
        <v>524</v>
      </c>
      <c r="E528" s="102"/>
      <c r="F528" s="102"/>
      <c r="G528" s="3"/>
      <c r="H528" s="3"/>
      <c r="I528" s="102"/>
      <c r="J528" s="102"/>
      <c r="K528" s="102"/>
      <c r="L528" s="102"/>
      <c r="M528" s="3"/>
      <c r="N528" s="3"/>
      <c r="O528" s="3"/>
      <c r="P528" s="3"/>
      <c r="Q528" s="3"/>
    </row>
    <row r="529" spans="3:17">
      <c r="C529" s="119" t="s">
        <v>710</v>
      </c>
      <c r="D529" s="56">
        <v>525</v>
      </c>
      <c r="E529" s="102"/>
      <c r="F529" s="102"/>
      <c r="G529" s="3"/>
      <c r="H529" s="3"/>
      <c r="I529" s="102"/>
      <c r="J529" s="102"/>
      <c r="K529" s="102"/>
      <c r="L529" s="102"/>
      <c r="M529" s="3"/>
      <c r="N529" s="3"/>
      <c r="O529" s="3"/>
      <c r="P529" s="3"/>
      <c r="Q529" s="3"/>
    </row>
    <row r="530" spans="3:17">
      <c r="C530" s="119" t="s">
        <v>711</v>
      </c>
      <c r="D530" s="56">
        <v>526</v>
      </c>
      <c r="E530" s="102"/>
      <c r="F530" s="102"/>
      <c r="G530" s="3"/>
      <c r="H530" s="3"/>
      <c r="I530" s="102"/>
      <c r="J530" s="102"/>
      <c r="K530" s="102"/>
      <c r="L530" s="102"/>
      <c r="M530" s="3"/>
      <c r="N530" s="3"/>
      <c r="O530" s="3"/>
      <c r="P530" s="3"/>
      <c r="Q530" s="3"/>
    </row>
    <row r="531" spans="3:17">
      <c r="C531" s="120" t="s">
        <v>712</v>
      </c>
      <c r="D531" s="56">
        <v>527</v>
      </c>
      <c r="E531" s="102"/>
      <c r="F531" s="102"/>
      <c r="G531" s="3"/>
      <c r="H531" s="3"/>
      <c r="I531" s="102"/>
      <c r="J531" s="102"/>
      <c r="K531" s="102"/>
      <c r="L531" s="102"/>
      <c r="M531" s="3"/>
      <c r="N531" s="3"/>
      <c r="O531" s="3"/>
      <c r="P531" s="3"/>
      <c r="Q531" s="3"/>
    </row>
    <row r="532" spans="3:17">
      <c r="C532" s="119" t="s">
        <v>713</v>
      </c>
      <c r="D532" s="56">
        <v>528</v>
      </c>
      <c r="E532" s="102"/>
      <c r="F532" s="102"/>
      <c r="G532" s="3"/>
      <c r="H532" s="3"/>
      <c r="I532" s="102"/>
      <c r="J532" s="102"/>
      <c r="K532" s="102"/>
      <c r="L532" s="102"/>
      <c r="M532" s="3"/>
      <c r="N532" s="3"/>
      <c r="O532" s="3"/>
      <c r="P532" s="3"/>
      <c r="Q532" s="3"/>
    </row>
    <row r="533" spans="3:17">
      <c r="C533" s="120" t="s">
        <v>714</v>
      </c>
      <c r="D533" s="56">
        <v>529</v>
      </c>
      <c r="E533" s="102"/>
      <c r="F533" s="102"/>
      <c r="G533" s="3"/>
      <c r="H533" s="3"/>
      <c r="I533" s="102"/>
      <c r="J533" s="102"/>
      <c r="K533" s="102"/>
      <c r="L533" s="102"/>
      <c r="M533" s="3"/>
      <c r="N533" s="3"/>
      <c r="O533" s="3"/>
      <c r="P533" s="3"/>
      <c r="Q533" s="3"/>
    </row>
    <row r="534" spans="3:17">
      <c r="C534" s="120" t="s">
        <v>715</v>
      </c>
      <c r="D534" s="56">
        <v>530</v>
      </c>
      <c r="E534" s="102"/>
      <c r="F534" s="102"/>
      <c r="G534" s="3"/>
      <c r="H534" s="3"/>
      <c r="I534" s="102"/>
      <c r="J534" s="102"/>
      <c r="K534" s="102"/>
      <c r="L534" s="102"/>
      <c r="M534" s="3"/>
      <c r="N534" s="3"/>
      <c r="O534" s="3"/>
      <c r="P534" s="3"/>
      <c r="Q534" s="3"/>
    </row>
    <row r="535" spans="3:17">
      <c r="C535" s="120" t="s">
        <v>716</v>
      </c>
      <c r="D535" s="56">
        <v>531</v>
      </c>
      <c r="E535" s="102"/>
      <c r="F535" s="102"/>
      <c r="G535" s="3"/>
      <c r="H535" s="3"/>
      <c r="I535" s="102"/>
      <c r="J535" s="102"/>
      <c r="K535" s="102"/>
      <c r="L535" s="102"/>
      <c r="M535" s="3"/>
      <c r="N535" s="3"/>
      <c r="O535" s="3"/>
      <c r="P535" s="3"/>
      <c r="Q535" s="3"/>
    </row>
    <row r="536" spans="3:17">
      <c r="C536" s="120" t="s">
        <v>717</v>
      </c>
      <c r="D536" s="56">
        <v>532</v>
      </c>
      <c r="E536" s="102"/>
      <c r="F536" s="102"/>
      <c r="G536" s="3"/>
      <c r="H536" s="3"/>
      <c r="I536" s="102"/>
      <c r="J536" s="102"/>
      <c r="K536" s="102"/>
      <c r="L536" s="102"/>
      <c r="M536" s="3"/>
      <c r="N536" s="3"/>
      <c r="O536" s="3"/>
      <c r="P536" s="3"/>
      <c r="Q536" s="3"/>
    </row>
    <row r="537" spans="3:17">
      <c r="C537" s="119" t="s">
        <v>718</v>
      </c>
      <c r="D537" s="56">
        <v>533</v>
      </c>
      <c r="E537" s="102"/>
      <c r="F537" s="102"/>
      <c r="G537" s="3"/>
      <c r="H537" s="3"/>
      <c r="I537" s="102"/>
      <c r="J537" s="102"/>
      <c r="K537" s="102"/>
      <c r="L537" s="102"/>
      <c r="M537" s="3"/>
      <c r="N537" s="3"/>
      <c r="O537" s="3"/>
      <c r="P537" s="3"/>
      <c r="Q537" s="3"/>
    </row>
    <row r="538" spans="3:17">
      <c r="C538" s="119" t="s">
        <v>719</v>
      </c>
      <c r="D538" s="56">
        <v>534</v>
      </c>
      <c r="E538" s="102"/>
      <c r="F538" s="102"/>
      <c r="G538" s="3"/>
      <c r="H538" s="3"/>
      <c r="I538" s="102"/>
      <c r="J538" s="102"/>
      <c r="K538" s="102"/>
      <c r="L538" s="102"/>
      <c r="M538" s="3"/>
      <c r="N538" s="3"/>
      <c r="O538" s="3"/>
      <c r="P538" s="3"/>
      <c r="Q538" s="3"/>
    </row>
    <row r="539" spans="3:17">
      <c r="C539" s="119" t="s">
        <v>720</v>
      </c>
      <c r="D539" s="56">
        <v>535</v>
      </c>
      <c r="E539" s="102"/>
      <c r="F539" s="102"/>
      <c r="G539" s="3"/>
      <c r="H539" s="3"/>
      <c r="I539" s="102"/>
      <c r="J539" s="102"/>
      <c r="K539" s="102"/>
      <c r="L539" s="102"/>
      <c r="M539" s="3"/>
      <c r="N539" s="3"/>
      <c r="O539" s="3"/>
      <c r="P539" s="3"/>
      <c r="Q539" s="3"/>
    </row>
    <row r="540" spans="3:17">
      <c r="C540" s="119" t="s">
        <v>721</v>
      </c>
      <c r="D540" s="56">
        <v>536</v>
      </c>
      <c r="E540" s="102"/>
      <c r="F540" s="102"/>
      <c r="G540" s="3"/>
      <c r="H540" s="3"/>
      <c r="I540" s="102"/>
      <c r="J540" s="102"/>
      <c r="K540" s="102"/>
      <c r="L540" s="102"/>
      <c r="M540" s="3"/>
      <c r="N540" s="3"/>
      <c r="O540" s="3"/>
      <c r="P540" s="3"/>
      <c r="Q540" s="3"/>
    </row>
    <row r="541" spans="3:17">
      <c r="C541" s="120" t="s">
        <v>722</v>
      </c>
      <c r="D541" s="56">
        <v>537</v>
      </c>
      <c r="E541" s="102"/>
      <c r="F541" s="102"/>
      <c r="G541" s="3"/>
      <c r="H541" s="3"/>
      <c r="I541" s="102"/>
      <c r="J541" s="102"/>
      <c r="K541" s="102"/>
      <c r="L541" s="102"/>
      <c r="M541" s="3"/>
      <c r="N541" s="3"/>
      <c r="O541" s="3"/>
      <c r="P541" s="3"/>
      <c r="Q541" s="3"/>
    </row>
    <row r="542" spans="3:17">
      <c r="C542" s="120" t="s">
        <v>723</v>
      </c>
      <c r="D542" s="56">
        <v>538</v>
      </c>
      <c r="E542" s="102"/>
      <c r="F542" s="102"/>
      <c r="G542" s="3"/>
      <c r="H542" s="3"/>
      <c r="I542" s="102"/>
      <c r="J542" s="102"/>
      <c r="K542" s="102"/>
      <c r="L542" s="102"/>
      <c r="M542" s="3"/>
      <c r="N542" s="3"/>
      <c r="O542" s="3"/>
      <c r="P542" s="3"/>
      <c r="Q542" s="3"/>
    </row>
    <row r="543" spans="3:17">
      <c r="C543" s="119" t="s">
        <v>1183</v>
      </c>
      <c r="D543" s="56">
        <v>539</v>
      </c>
      <c r="E543" s="102"/>
      <c r="F543" s="102"/>
      <c r="G543" s="3"/>
      <c r="H543" s="3"/>
      <c r="I543" s="102"/>
      <c r="J543" s="102"/>
      <c r="K543" s="102"/>
      <c r="L543" s="102"/>
      <c r="M543" s="3"/>
      <c r="N543" s="3"/>
      <c r="O543" s="3"/>
      <c r="P543" s="3"/>
      <c r="Q543" s="3"/>
    </row>
    <row r="544" spans="3:17">
      <c r="C544" s="120" t="s">
        <v>1210</v>
      </c>
      <c r="D544" s="56">
        <v>540</v>
      </c>
      <c r="E544" s="102"/>
      <c r="F544" s="102"/>
      <c r="G544" s="3"/>
      <c r="H544" s="3"/>
      <c r="I544" s="102"/>
      <c r="J544" s="102"/>
      <c r="K544" s="102"/>
      <c r="L544" s="102"/>
      <c r="M544" s="3"/>
      <c r="N544" s="3"/>
      <c r="O544" s="3"/>
      <c r="P544" s="3"/>
      <c r="Q544" s="3"/>
    </row>
    <row r="545" spans="3:17">
      <c r="C545" s="120" t="s">
        <v>724</v>
      </c>
      <c r="D545" s="56">
        <v>541</v>
      </c>
      <c r="E545" s="102"/>
      <c r="F545" s="102"/>
      <c r="G545" s="3"/>
      <c r="H545" s="3"/>
      <c r="I545" s="102"/>
      <c r="J545" s="102"/>
      <c r="K545" s="102"/>
      <c r="L545" s="102"/>
      <c r="M545" s="3"/>
      <c r="N545" s="3"/>
      <c r="O545" s="3"/>
      <c r="P545" s="3"/>
      <c r="Q545" s="3"/>
    </row>
    <row r="546" spans="3:17">
      <c r="C546" s="120" t="s">
        <v>725</v>
      </c>
      <c r="D546" s="56">
        <v>542</v>
      </c>
      <c r="E546" s="102"/>
      <c r="F546" s="102"/>
      <c r="G546" s="3"/>
      <c r="H546" s="3"/>
      <c r="I546" s="102"/>
      <c r="J546" s="102"/>
      <c r="K546" s="102"/>
      <c r="L546" s="102"/>
      <c r="M546" s="3"/>
      <c r="N546" s="3"/>
      <c r="O546" s="3"/>
      <c r="P546" s="3"/>
      <c r="Q546" s="3"/>
    </row>
    <row r="547" spans="3:17">
      <c r="C547" s="120" t="s">
        <v>726</v>
      </c>
      <c r="D547" s="56">
        <v>543</v>
      </c>
      <c r="E547" s="102"/>
      <c r="F547" s="102"/>
      <c r="G547" s="3"/>
      <c r="H547" s="3"/>
      <c r="I547" s="102"/>
      <c r="J547" s="102"/>
      <c r="K547" s="102"/>
      <c r="L547" s="102"/>
      <c r="M547" s="3"/>
      <c r="N547" s="3"/>
      <c r="O547" s="3"/>
      <c r="P547" s="3"/>
      <c r="Q547" s="3"/>
    </row>
    <row r="548" spans="3:17">
      <c r="C548" s="119" t="s">
        <v>1211</v>
      </c>
      <c r="D548" s="56">
        <v>544</v>
      </c>
      <c r="E548" s="102"/>
      <c r="F548" s="102"/>
      <c r="G548" s="3"/>
      <c r="H548" s="3"/>
      <c r="I548" s="102"/>
      <c r="J548" s="102"/>
      <c r="K548" s="102"/>
      <c r="L548" s="102"/>
      <c r="M548" s="3"/>
      <c r="N548" s="3"/>
      <c r="O548" s="3"/>
      <c r="P548" s="3"/>
      <c r="Q548" s="3"/>
    </row>
    <row r="549" spans="3:17">
      <c r="C549" s="119" t="s">
        <v>1212</v>
      </c>
      <c r="D549" s="56">
        <v>545</v>
      </c>
      <c r="E549" s="102"/>
      <c r="F549" s="102"/>
      <c r="G549" s="3"/>
      <c r="H549" s="3"/>
      <c r="I549" s="102"/>
      <c r="J549" s="102"/>
      <c r="K549" s="102"/>
      <c r="L549" s="102"/>
      <c r="M549" s="3"/>
      <c r="N549" s="3"/>
      <c r="O549" s="3"/>
      <c r="P549" s="3"/>
      <c r="Q549" s="3"/>
    </row>
    <row r="550" spans="3:17">
      <c r="C550" s="119" t="s">
        <v>1213</v>
      </c>
      <c r="D550" s="56">
        <v>546</v>
      </c>
      <c r="E550" s="102"/>
      <c r="F550" s="102"/>
      <c r="G550" s="3"/>
      <c r="H550" s="3"/>
      <c r="I550" s="102"/>
      <c r="J550" s="102"/>
      <c r="K550" s="102"/>
      <c r="L550" s="102"/>
      <c r="M550" s="3"/>
      <c r="N550" s="3"/>
      <c r="O550" s="3"/>
      <c r="P550" s="3"/>
      <c r="Q550" s="3"/>
    </row>
    <row r="551" spans="3:17">
      <c r="C551" s="120" t="s">
        <v>1214</v>
      </c>
      <c r="D551" s="56">
        <v>547</v>
      </c>
      <c r="E551" s="102"/>
      <c r="F551" s="102"/>
      <c r="G551" s="3"/>
      <c r="H551" s="3"/>
      <c r="I551" s="102"/>
      <c r="J551" s="102"/>
      <c r="K551" s="102"/>
      <c r="L551" s="102"/>
      <c r="M551" s="3"/>
      <c r="N551" s="3"/>
      <c r="O551" s="3"/>
      <c r="P551" s="3"/>
      <c r="Q551" s="3"/>
    </row>
    <row r="552" spans="3:17">
      <c r="C552" s="120" t="s">
        <v>1215</v>
      </c>
      <c r="D552" s="56">
        <v>548</v>
      </c>
      <c r="E552" s="102"/>
      <c r="F552" s="102"/>
      <c r="G552" s="3"/>
      <c r="H552" s="3"/>
      <c r="I552" s="102"/>
      <c r="J552" s="102"/>
      <c r="K552" s="102"/>
      <c r="L552" s="102"/>
      <c r="M552" s="3"/>
      <c r="N552" s="3"/>
      <c r="O552" s="3"/>
      <c r="P552" s="3"/>
      <c r="Q552" s="3"/>
    </row>
    <row r="553" spans="3:17">
      <c r="C553" s="120" t="s">
        <v>1216</v>
      </c>
      <c r="D553" s="56">
        <v>549</v>
      </c>
      <c r="E553" s="102"/>
      <c r="F553" s="102"/>
      <c r="G553" s="3"/>
      <c r="H553" s="3"/>
      <c r="I553" s="102"/>
      <c r="J553" s="102"/>
      <c r="K553" s="102"/>
      <c r="L553" s="102"/>
      <c r="M553" s="3"/>
      <c r="N553" s="3"/>
      <c r="O553" s="3"/>
      <c r="P553" s="3"/>
      <c r="Q553" s="3"/>
    </row>
    <row r="554" spans="3:17">
      <c r="C554" s="120" t="s">
        <v>1217</v>
      </c>
      <c r="D554" s="56">
        <v>550</v>
      </c>
      <c r="E554" s="102"/>
      <c r="F554" s="102"/>
      <c r="G554" s="3"/>
      <c r="H554" s="3"/>
      <c r="I554" s="102"/>
      <c r="J554" s="102"/>
      <c r="K554" s="102"/>
      <c r="L554" s="102"/>
      <c r="M554" s="3"/>
      <c r="N554" s="3"/>
      <c r="O554" s="3"/>
      <c r="P554" s="3"/>
      <c r="Q554" s="3"/>
    </row>
    <row r="555" spans="3:17">
      <c r="C555" s="120" t="s">
        <v>1218</v>
      </c>
      <c r="D555" s="56">
        <v>551</v>
      </c>
      <c r="E555" s="102"/>
      <c r="F555" s="102"/>
      <c r="G555" s="3"/>
      <c r="H555" s="3"/>
      <c r="I555" s="102"/>
      <c r="J555" s="102"/>
      <c r="K555" s="102"/>
      <c r="L555" s="102"/>
      <c r="M555" s="3"/>
      <c r="N555" s="3"/>
      <c r="O555" s="3"/>
      <c r="P555" s="3"/>
      <c r="Q555" s="3"/>
    </row>
    <row r="556" spans="3:17">
      <c r="C556" s="119" t="s">
        <v>1219</v>
      </c>
      <c r="D556" s="56">
        <v>552</v>
      </c>
      <c r="E556" s="102"/>
      <c r="F556" s="102"/>
      <c r="G556" s="3"/>
      <c r="H556" s="3"/>
      <c r="I556" s="102"/>
      <c r="J556" s="102"/>
      <c r="K556" s="102"/>
      <c r="L556" s="102"/>
      <c r="M556" s="3"/>
      <c r="N556" s="3"/>
      <c r="O556" s="3"/>
      <c r="P556" s="3"/>
      <c r="Q556" s="3"/>
    </row>
    <row r="557" spans="3:17">
      <c r="C557" s="120" t="s">
        <v>1220</v>
      </c>
      <c r="D557" s="56">
        <v>553</v>
      </c>
      <c r="E557" s="102"/>
      <c r="F557" s="102"/>
      <c r="G557" s="3"/>
      <c r="H557" s="3"/>
      <c r="I557" s="102"/>
      <c r="J557" s="102"/>
      <c r="K557" s="102"/>
      <c r="L557" s="102"/>
      <c r="M557" s="3"/>
      <c r="N557" s="3"/>
      <c r="O557" s="3"/>
      <c r="P557" s="3"/>
      <c r="Q557" s="3"/>
    </row>
    <row r="558" spans="3:17">
      <c r="C558" s="120" t="s">
        <v>1221</v>
      </c>
      <c r="D558" s="56">
        <v>554</v>
      </c>
      <c r="E558" s="102"/>
      <c r="F558" s="102"/>
      <c r="G558" s="3"/>
      <c r="H558" s="3"/>
      <c r="I558" s="102"/>
      <c r="J558" s="102"/>
      <c r="K558" s="102"/>
      <c r="L558" s="102"/>
      <c r="M558" s="3"/>
      <c r="N558" s="3"/>
      <c r="O558" s="3"/>
      <c r="P558" s="3"/>
      <c r="Q558" s="3"/>
    </row>
    <row r="559" spans="3:17">
      <c r="C559" s="120" t="s">
        <v>1222</v>
      </c>
      <c r="D559" s="56">
        <v>555</v>
      </c>
      <c r="E559" s="102"/>
      <c r="F559" s="102"/>
      <c r="G559" s="3"/>
      <c r="H559" s="3"/>
      <c r="I559" s="102"/>
      <c r="J559" s="102"/>
      <c r="K559" s="102"/>
      <c r="L559" s="102"/>
      <c r="M559" s="3"/>
      <c r="N559" s="3"/>
      <c r="O559" s="3"/>
      <c r="P559" s="3"/>
      <c r="Q559" s="3"/>
    </row>
    <row r="560" spans="3:17">
      <c r="C560" s="120" t="s">
        <v>1223</v>
      </c>
      <c r="D560" s="56">
        <v>556</v>
      </c>
      <c r="E560" s="102"/>
      <c r="F560" s="102"/>
      <c r="G560" s="3"/>
      <c r="H560" s="3"/>
      <c r="I560" s="102"/>
      <c r="J560" s="102"/>
      <c r="K560" s="102"/>
      <c r="L560" s="102"/>
      <c r="M560" s="3"/>
      <c r="N560" s="3"/>
      <c r="O560" s="3"/>
      <c r="P560" s="3"/>
      <c r="Q560" s="3"/>
    </row>
    <row r="561" spans="3:17">
      <c r="C561" s="120" t="s">
        <v>1224</v>
      </c>
      <c r="D561" s="56">
        <v>557</v>
      </c>
      <c r="E561" s="102"/>
      <c r="F561" s="102"/>
      <c r="G561" s="3"/>
      <c r="H561" s="3"/>
      <c r="I561" s="102"/>
      <c r="J561" s="102"/>
      <c r="K561" s="102"/>
      <c r="L561" s="102"/>
      <c r="M561" s="3"/>
      <c r="N561" s="3"/>
      <c r="O561" s="3"/>
      <c r="P561" s="3"/>
      <c r="Q561" s="3"/>
    </row>
    <row r="562" spans="3:17">
      <c r="C562" s="120" t="s">
        <v>1225</v>
      </c>
      <c r="D562" s="56">
        <v>558</v>
      </c>
      <c r="E562" s="102"/>
      <c r="F562" s="102"/>
      <c r="G562" s="3"/>
      <c r="H562" s="3"/>
      <c r="I562" s="102"/>
      <c r="J562" s="102"/>
      <c r="K562" s="102"/>
      <c r="L562" s="102"/>
      <c r="M562" s="3"/>
      <c r="N562" s="3"/>
      <c r="O562" s="3"/>
      <c r="P562" s="3"/>
      <c r="Q562" s="3"/>
    </row>
    <row r="563" spans="3:17">
      <c r="C563" s="120" t="s">
        <v>1226</v>
      </c>
      <c r="D563" s="56">
        <v>559</v>
      </c>
      <c r="E563" s="102"/>
      <c r="F563" s="102"/>
      <c r="G563" s="3"/>
      <c r="H563" s="3"/>
      <c r="I563" s="102"/>
      <c r="J563" s="102"/>
      <c r="K563" s="102"/>
      <c r="L563" s="102"/>
      <c r="M563" s="3"/>
      <c r="N563" s="3"/>
      <c r="O563" s="3"/>
      <c r="P563" s="3"/>
      <c r="Q563" s="3"/>
    </row>
    <row r="564" spans="3:17">
      <c r="C564" s="119" t="s">
        <v>1227</v>
      </c>
      <c r="D564" s="56">
        <v>560</v>
      </c>
      <c r="E564" s="102"/>
      <c r="F564" s="102"/>
      <c r="G564" s="3"/>
      <c r="H564" s="3"/>
      <c r="I564" s="102"/>
      <c r="J564" s="102"/>
      <c r="K564" s="102"/>
      <c r="L564" s="102"/>
      <c r="M564" s="3"/>
      <c r="N564" s="3"/>
      <c r="O564" s="3"/>
      <c r="P564" s="3"/>
      <c r="Q564" s="3"/>
    </row>
    <row r="565" spans="3:17">
      <c r="C565" s="120" t="s">
        <v>1228</v>
      </c>
      <c r="D565" s="56">
        <v>561</v>
      </c>
      <c r="E565" s="102"/>
      <c r="F565" s="102"/>
      <c r="G565" s="3"/>
      <c r="H565" s="3"/>
      <c r="I565" s="102"/>
      <c r="J565" s="102"/>
      <c r="K565" s="102"/>
      <c r="L565" s="102"/>
      <c r="M565" s="3"/>
      <c r="N565" s="3"/>
      <c r="O565" s="3"/>
      <c r="P565" s="3"/>
      <c r="Q565" s="3"/>
    </row>
    <row r="566" spans="3:17">
      <c r="C566" s="119" t="s">
        <v>1179</v>
      </c>
      <c r="D566" s="56">
        <v>562</v>
      </c>
      <c r="E566" s="102"/>
      <c r="F566" s="102"/>
      <c r="G566" s="3"/>
      <c r="H566" s="3"/>
      <c r="I566" s="102"/>
      <c r="J566" s="102"/>
      <c r="K566" s="102"/>
      <c r="L566" s="102"/>
      <c r="M566" s="3"/>
      <c r="N566" s="3"/>
      <c r="O566" s="3"/>
      <c r="P566" s="3"/>
      <c r="Q566" s="3"/>
    </row>
    <row r="567" spans="3:17">
      <c r="C567" s="119" t="s">
        <v>1229</v>
      </c>
      <c r="D567" s="56">
        <v>563</v>
      </c>
      <c r="E567" s="102"/>
      <c r="F567" s="102"/>
      <c r="G567" s="3"/>
      <c r="H567" s="3"/>
      <c r="I567" s="102"/>
      <c r="J567" s="102"/>
      <c r="K567" s="102"/>
      <c r="L567" s="102"/>
      <c r="M567" s="3"/>
      <c r="N567" s="3"/>
      <c r="O567" s="3"/>
      <c r="P567" s="3"/>
      <c r="Q567" s="3"/>
    </row>
    <row r="568" spans="3:17">
      <c r="C568" s="119" t="s">
        <v>727</v>
      </c>
      <c r="D568" s="56">
        <v>564</v>
      </c>
      <c r="E568" s="102"/>
      <c r="F568" s="102"/>
      <c r="G568" s="3"/>
      <c r="H568" s="3"/>
      <c r="I568" s="102"/>
      <c r="J568" s="102"/>
      <c r="K568" s="102"/>
      <c r="L568" s="102"/>
      <c r="M568" s="3"/>
      <c r="N568" s="3"/>
      <c r="O568" s="3"/>
      <c r="P568" s="3"/>
      <c r="Q568" s="3"/>
    </row>
    <row r="569" spans="3:17">
      <c r="C569" s="119" t="s">
        <v>728</v>
      </c>
      <c r="D569" s="56">
        <v>565</v>
      </c>
      <c r="E569" s="102"/>
      <c r="F569" s="102"/>
      <c r="G569" s="3"/>
      <c r="H569" s="3"/>
      <c r="I569" s="102"/>
      <c r="J569" s="102"/>
      <c r="K569" s="102"/>
      <c r="L569" s="102"/>
      <c r="M569" s="3"/>
      <c r="N569" s="3"/>
      <c r="O569" s="3"/>
      <c r="P569" s="3"/>
      <c r="Q569" s="3"/>
    </row>
    <row r="570" spans="3:17">
      <c r="C570" s="119" t="s">
        <v>729</v>
      </c>
      <c r="D570" s="56">
        <v>566</v>
      </c>
      <c r="E570" s="102"/>
      <c r="F570" s="102"/>
      <c r="G570" s="3"/>
      <c r="H570" s="3"/>
      <c r="I570" s="102"/>
      <c r="J570" s="102"/>
      <c r="K570" s="102"/>
      <c r="L570" s="102"/>
      <c r="M570" s="3"/>
      <c r="N570" s="3"/>
      <c r="O570" s="3"/>
      <c r="P570" s="3"/>
      <c r="Q570" s="3"/>
    </row>
    <row r="571" spans="3:17">
      <c r="C571" s="119" t="s">
        <v>730</v>
      </c>
      <c r="D571" s="56">
        <v>567</v>
      </c>
      <c r="E571" s="102"/>
      <c r="F571" s="102"/>
      <c r="G571" s="3"/>
      <c r="H571" s="3"/>
      <c r="I571" s="102"/>
      <c r="J571" s="102"/>
      <c r="K571" s="102"/>
      <c r="L571" s="102"/>
      <c r="M571" s="3"/>
      <c r="N571" s="3"/>
      <c r="O571" s="3"/>
      <c r="P571" s="3"/>
      <c r="Q571" s="3"/>
    </row>
    <row r="572" spans="3:17">
      <c r="C572" s="119" t="s">
        <v>1230</v>
      </c>
      <c r="D572" s="56">
        <v>568</v>
      </c>
      <c r="E572" s="102"/>
      <c r="F572" s="102"/>
      <c r="G572" s="3"/>
      <c r="H572" s="3"/>
      <c r="I572" s="102"/>
      <c r="J572" s="102"/>
      <c r="K572" s="102"/>
      <c r="L572" s="102"/>
      <c r="M572" s="3"/>
      <c r="N572" s="3"/>
      <c r="O572" s="3"/>
      <c r="P572" s="3"/>
      <c r="Q572" s="3"/>
    </row>
    <row r="573" spans="3:17">
      <c r="C573" s="120" t="s">
        <v>1231</v>
      </c>
      <c r="D573" s="56">
        <v>569</v>
      </c>
      <c r="E573" s="102"/>
      <c r="F573" s="102"/>
      <c r="G573" s="3"/>
      <c r="H573" s="3"/>
      <c r="I573" s="102"/>
      <c r="J573" s="102"/>
      <c r="K573" s="102"/>
      <c r="L573" s="102"/>
      <c r="M573" s="3"/>
      <c r="N573" s="3"/>
      <c r="O573" s="3"/>
      <c r="P573" s="3"/>
      <c r="Q573" s="3"/>
    </row>
    <row r="574" spans="3:17">
      <c r="C574" s="120" t="s">
        <v>1232</v>
      </c>
      <c r="D574" s="56">
        <v>570</v>
      </c>
      <c r="E574" s="102"/>
      <c r="F574" s="102"/>
      <c r="G574" s="3"/>
      <c r="H574" s="3"/>
      <c r="I574" s="102"/>
      <c r="J574" s="102"/>
      <c r="K574" s="102"/>
      <c r="L574" s="102"/>
      <c r="M574" s="3"/>
      <c r="N574" s="3"/>
      <c r="O574" s="3"/>
      <c r="P574" s="3"/>
      <c r="Q574" s="3"/>
    </row>
    <row r="575" spans="3:17">
      <c r="C575" s="120" t="s">
        <v>1233</v>
      </c>
      <c r="D575" s="56">
        <v>571</v>
      </c>
      <c r="E575" s="102"/>
      <c r="F575" s="102"/>
      <c r="G575" s="3"/>
      <c r="H575" s="3"/>
      <c r="I575" s="102"/>
      <c r="J575" s="102"/>
      <c r="K575" s="102"/>
      <c r="L575" s="102"/>
      <c r="M575" s="3"/>
      <c r="N575" s="3"/>
      <c r="O575" s="3"/>
      <c r="P575" s="3"/>
      <c r="Q575" s="3"/>
    </row>
    <row r="576" spans="3:17">
      <c r="C576" s="119" t="s">
        <v>731</v>
      </c>
      <c r="D576" s="56">
        <v>572</v>
      </c>
      <c r="E576" s="102"/>
      <c r="F576" s="102"/>
      <c r="G576" s="3"/>
      <c r="H576" s="3"/>
      <c r="I576" s="102"/>
      <c r="J576" s="102"/>
      <c r="K576" s="102"/>
      <c r="L576" s="102"/>
      <c r="M576" s="3"/>
      <c r="N576" s="3"/>
      <c r="O576" s="3"/>
      <c r="P576" s="3"/>
      <c r="Q576" s="3"/>
    </row>
    <row r="577" spans="3:17">
      <c r="C577" s="120" t="s">
        <v>732</v>
      </c>
      <c r="D577" s="56">
        <v>573</v>
      </c>
      <c r="E577" s="102"/>
      <c r="F577" s="102"/>
      <c r="G577" s="3"/>
      <c r="H577" s="3"/>
      <c r="I577" s="102"/>
      <c r="J577" s="102"/>
      <c r="K577" s="102"/>
      <c r="L577" s="102"/>
      <c r="M577" s="3"/>
      <c r="N577" s="3"/>
      <c r="O577" s="3"/>
      <c r="P577" s="3"/>
      <c r="Q577" s="3"/>
    </row>
    <row r="578" spans="3:17">
      <c r="C578" s="119" t="s">
        <v>733</v>
      </c>
      <c r="D578" s="56">
        <v>574</v>
      </c>
      <c r="E578" s="102"/>
      <c r="F578" s="102"/>
      <c r="G578" s="3"/>
      <c r="H578" s="3"/>
      <c r="I578" s="102"/>
      <c r="J578" s="102"/>
      <c r="K578" s="102"/>
      <c r="L578" s="102"/>
      <c r="M578" s="3"/>
      <c r="N578" s="3"/>
      <c r="O578" s="3"/>
      <c r="P578" s="3"/>
      <c r="Q578" s="3"/>
    </row>
    <row r="579" spans="3:17">
      <c r="C579" s="120" t="s">
        <v>734</v>
      </c>
      <c r="D579" s="56">
        <v>575</v>
      </c>
      <c r="E579" s="102"/>
      <c r="F579" s="102"/>
      <c r="G579" s="3"/>
      <c r="H579" s="3"/>
      <c r="I579" s="102"/>
      <c r="J579" s="102"/>
      <c r="K579" s="102"/>
      <c r="L579" s="102"/>
      <c r="M579" s="3"/>
      <c r="N579" s="3"/>
      <c r="O579" s="3"/>
      <c r="P579" s="3"/>
      <c r="Q579" s="3"/>
    </row>
    <row r="580" spans="3:17">
      <c r="C580" s="120" t="s">
        <v>735</v>
      </c>
      <c r="D580" s="56">
        <v>576</v>
      </c>
      <c r="E580" s="102"/>
      <c r="F580" s="102"/>
      <c r="G580" s="3"/>
      <c r="H580" s="3"/>
      <c r="I580" s="102"/>
      <c r="J580" s="102"/>
      <c r="K580" s="102"/>
      <c r="L580" s="102"/>
      <c r="M580" s="3"/>
      <c r="N580" s="3"/>
      <c r="O580" s="3"/>
      <c r="P580" s="3"/>
      <c r="Q580" s="3"/>
    </row>
    <row r="581" spans="3:17">
      <c r="C581" s="120" t="s">
        <v>736</v>
      </c>
      <c r="D581" s="56">
        <v>577</v>
      </c>
      <c r="E581" s="102"/>
      <c r="F581" s="102"/>
      <c r="G581" s="3"/>
      <c r="H581" s="3"/>
      <c r="I581" s="102"/>
      <c r="J581" s="102"/>
      <c r="K581" s="102"/>
      <c r="L581" s="102"/>
      <c r="M581" s="3"/>
      <c r="N581" s="3"/>
      <c r="O581" s="3"/>
      <c r="P581" s="3"/>
      <c r="Q581" s="3"/>
    </row>
    <row r="582" spans="3:17">
      <c r="C582" s="119" t="s">
        <v>1234</v>
      </c>
      <c r="D582" s="56">
        <v>578</v>
      </c>
      <c r="E582" s="102"/>
      <c r="F582" s="102"/>
      <c r="G582" s="3"/>
      <c r="H582" s="3"/>
      <c r="I582" s="102"/>
      <c r="J582" s="102"/>
      <c r="K582" s="102"/>
      <c r="L582" s="102"/>
      <c r="M582" s="3"/>
      <c r="N582" s="3"/>
      <c r="O582" s="3"/>
      <c r="P582" s="3"/>
      <c r="Q582" s="3"/>
    </row>
    <row r="583" spans="3:17">
      <c r="C583" s="119" t="s">
        <v>737</v>
      </c>
      <c r="D583" s="56">
        <v>579</v>
      </c>
      <c r="E583" s="102"/>
      <c r="F583" s="102"/>
      <c r="G583" s="3"/>
      <c r="H583" s="3"/>
      <c r="I583" s="102"/>
      <c r="J583" s="102"/>
      <c r="K583" s="102"/>
      <c r="L583" s="102"/>
      <c r="M583" s="3"/>
      <c r="N583" s="3"/>
      <c r="O583" s="3"/>
      <c r="P583" s="3"/>
      <c r="Q583" s="3"/>
    </row>
    <row r="584" spans="3:17">
      <c r="C584" s="120" t="s">
        <v>738</v>
      </c>
      <c r="D584" s="56">
        <v>580</v>
      </c>
      <c r="E584" s="102"/>
      <c r="F584" s="102"/>
      <c r="G584" s="3"/>
      <c r="H584" s="3"/>
      <c r="I584" s="102"/>
      <c r="J584" s="102"/>
      <c r="K584" s="102"/>
      <c r="L584" s="102"/>
      <c r="M584" s="3"/>
      <c r="N584" s="3"/>
      <c r="O584" s="3"/>
      <c r="P584" s="3"/>
      <c r="Q584" s="3"/>
    </row>
    <row r="585" spans="3:17">
      <c r="C585" s="120" t="s">
        <v>739</v>
      </c>
      <c r="D585" s="56">
        <v>581</v>
      </c>
      <c r="E585" s="102"/>
      <c r="F585" s="102"/>
      <c r="G585" s="3"/>
      <c r="H585" s="3"/>
      <c r="I585" s="102"/>
      <c r="J585" s="102"/>
      <c r="K585" s="102"/>
      <c r="L585" s="102"/>
      <c r="M585" s="3"/>
      <c r="N585" s="3"/>
      <c r="O585" s="3"/>
      <c r="P585" s="3"/>
      <c r="Q585" s="3"/>
    </row>
    <row r="586" spans="3:17">
      <c r="C586" s="120" t="s">
        <v>740</v>
      </c>
      <c r="D586" s="56">
        <v>582</v>
      </c>
      <c r="E586" s="102"/>
      <c r="F586" s="102"/>
      <c r="G586" s="3"/>
      <c r="H586" s="3"/>
      <c r="I586" s="102"/>
      <c r="J586" s="102"/>
      <c r="K586" s="102"/>
      <c r="L586" s="102"/>
      <c r="M586" s="3"/>
      <c r="N586" s="3"/>
      <c r="O586" s="3"/>
      <c r="P586" s="3"/>
      <c r="Q586" s="3"/>
    </row>
    <row r="587" spans="3:17">
      <c r="C587" s="120" t="s">
        <v>1235</v>
      </c>
      <c r="D587" s="56">
        <v>583</v>
      </c>
      <c r="E587" s="102"/>
      <c r="F587" s="102"/>
      <c r="G587" s="3"/>
      <c r="H587" s="3"/>
      <c r="I587" s="102"/>
      <c r="J587" s="102"/>
      <c r="K587" s="102"/>
      <c r="L587" s="102"/>
      <c r="M587" s="3"/>
      <c r="N587" s="3"/>
      <c r="O587" s="3"/>
      <c r="P587" s="3"/>
      <c r="Q587" s="3"/>
    </row>
    <row r="588" spans="3:17">
      <c r="C588" s="120" t="s">
        <v>1236</v>
      </c>
      <c r="D588" s="56">
        <v>584</v>
      </c>
      <c r="E588" s="102"/>
      <c r="F588" s="102"/>
      <c r="G588" s="3"/>
      <c r="H588" s="3"/>
      <c r="I588" s="102"/>
      <c r="J588" s="102"/>
      <c r="K588" s="102"/>
      <c r="L588" s="102"/>
      <c r="M588" s="3"/>
      <c r="N588" s="3"/>
      <c r="O588" s="3"/>
      <c r="P588" s="3"/>
      <c r="Q588" s="3"/>
    </row>
    <row r="589" spans="3:17">
      <c r="C589" s="119" t="s">
        <v>741</v>
      </c>
      <c r="D589" s="56">
        <v>585</v>
      </c>
      <c r="E589" s="102"/>
      <c r="F589" s="102"/>
      <c r="G589" s="3"/>
      <c r="H589" s="3"/>
      <c r="I589" s="102"/>
      <c r="J589" s="102"/>
      <c r="K589" s="102"/>
      <c r="L589" s="102"/>
      <c r="M589" s="3"/>
      <c r="N589" s="3"/>
      <c r="O589" s="3"/>
      <c r="P589" s="3"/>
      <c r="Q589" s="3"/>
    </row>
    <row r="590" spans="3:17">
      <c r="C590" s="119" t="s">
        <v>742</v>
      </c>
      <c r="D590" s="56">
        <v>586</v>
      </c>
      <c r="E590" s="102"/>
      <c r="F590" s="102"/>
      <c r="G590" s="3"/>
      <c r="H590" s="3"/>
      <c r="I590" s="102"/>
      <c r="J590" s="102"/>
      <c r="K590" s="102"/>
      <c r="L590" s="102"/>
      <c r="M590" s="3"/>
      <c r="N590" s="3"/>
      <c r="O590" s="3"/>
      <c r="P590" s="3"/>
      <c r="Q590" s="3"/>
    </row>
    <row r="591" spans="3:17">
      <c r="C591" s="119" t="s">
        <v>1237</v>
      </c>
      <c r="D591" s="56">
        <v>587</v>
      </c>
      <c r="E591" s="102"/>
      <c r="F591" s="102"/>
      <c r="G591" s="3"/>
      <c r="H591" s="3"/>
      <c r="I591" s="102"/>
      <c r="J591" s="102"/>
      <c r="K591" s="102"/>
      <c r="L591" s="102"/>
      <c r="M591" s="3"/>
      <c r="N591" s="3"/>
      <c r="O591" s="3"/>
      <c r="P591" s="3"/>
      <c r="Q591" s="3"/>
    </row>
    <row r="592" spans="3:17">
      <c r="C592" s="119" t="s">
        <v>743</v>
      </c>
      <c r="D592" s="56">
        <v>588</v>
      </c>
      <c r="E592" s="102"/>
      <c r="F592" s="102"/>
      <c r="G592" s="3"/>
      <c r="H592" s="3"/>
      <c r="I592" s="102"/>
      <c r="J592" s="102"/>
      <c r="K592" s="102"/>
      <c r="L592" s="102"/>
      <c r="M592" s="3"/>
      <c r="N592" s="3"/>
      <c r="O592" s="3"/>
      <c r="P592" s="3"/>
      <c r="Q592" s="3"/>
    </row>
    <row r="593" spans="3:17">
      <c r="C593" s="119" t="s">
        <v>744</v>
      </c>
      <c r="D593" s="56">
        <v>589</v>
      </c>
      <c r="E593" s="102"/>
      <c r="F593" s="102"/>
      <c r="G593" s="3"/>
      <c r="H593" s="3"/>
      <c r="I593" s="102"/>
      <c r="J593" s="102"/>
      <c r="K593" s="102"/>
      <c r="L593" s="102"/>
      <c r="M593" s="3"/>
      <c r="N593" s="3"/>
      <c r="O593" s="3"/>
      <c r="P593" s="3"/>
      <c r="Q593" s="3"/>
    </row>
    <row r="594" spans="3:17">
      <c r="C594" s="119" t="s">
        <v>745</v>
      </c>
      <c r="D594" s="56">
        <v>590</v>
      </c>
      <c r="E594" s="102"/>
      <c r="F594" s="102"/>
      <c r="G594" s="3"/>
      <c r="H594" s="3"/>
      <c r="I594" s="102"/>
      <c r="J594" s="102"/>
      <c r="K594" s="102"/>
      <c r="L594" s="102"/>
      <c r="M594" s="3"/>
      <c r="N594" s="3"/>
      <c r="O594" s="3"/>
      <c r="P594" s="3"/>
      <c r="Q594" s="3"/>
    </row>
    <row r="595" spans="3:17">
      <c r="C595" s="119" t="s">
        <v>1238</v>
      </c>
      <c r="D595" s="56">
        <v>591</v>
      </c>
      <c r="E595" s="102"/>
      <c r="F595" s="102"/>
      <c r="G595" s="3"/>
      <c r="H595" s="3"/>
      <c r="I595" s="102"/>
      <c r="J595" s="102"/>
      <c r="K595" s="102"/>
      <c r="L595" s="102"/>
      <c r="M595" s="3"/>
      <c r="N595" s="3"/>
      <c r="O595" s="3"/>
      <c r="P595" s="3"/>
      <c r="Q595" s="3"/>
    </row>
    <row r="596" spans="3:17">
      <c r="C596" s="120" t="s">
        <v>746</v>
      </c>
      <c r="D596" s="56">
        <v>592</v>
      </c>
      <c r="E596" s="102"/>
      <c r="F596" s="102"/>
      <c r="G596" s="3"/>
      <c r="H596" s="3"/>
      <c r="I596" s="102"/>
      <c r="J596" s="102"/>
      <c r="K596" s="102"/>
      <c r="L596" s="102"/>
      <c r="M596" s="3"/>
      <c r="N596" s="3"/>
      <c r="O596" s="3"/>
      <c r="P596" s="3"/>
      <c r="Q596" s="3"/>
    </row>
    <row r="597" spans="3:17">
      <c r="C597" s="120" t="s">
        <v>747</v>
      </c>
      <c r="D597" s="56">
        <v>593</v>
      </c>
      <c r="E597" s="102"/>
      <c r="F597" s="102"/>
      <c r="G597" s="3"/>
      <c r="H597" s="3"/>
      <c r="I597" s="102"/>
      <c r="J597" s="102"/>
      <c r="K597" s="102"/>
      <c r="L597" s="102"/>
      <c r="M597" s="3"/>
      <c r="N597" s="3"/>
      <c r="O597" s="3"/>
      <c r="P597" s="3"/>
      <c r="Q597" s="3"/>
    </row>
    <row r="598" spans="3:17">
      <c r="C598" s="120" t="s">
        <v>748</v>
      </c>
      <c r="D598" s="56">
        <v>594</v>
      </c>
      <c r="E598" s="102"/>
      <c r="F598" s="102"/>
      <c r="G598" s="3"/>
      <c r="H598" s="3"/>
      <c r="I598" s="102"/>
      <c r="J598" s="102"/>
      <c r="K598" s="102"/>
      <c r="L598" s="102"/>
      <c r="M598" s="3"/>
      <c r="N598" s="3"/>
      <c r="O598" s="3"/>
      <c r="P598" s="3"/>
      <c r="Q598" s="3"/>
    </row>
    <row r="599" spans="3:17">
      <c r="C599" s="120" t="s">
        <v>749</v>
      </c>
      <c r="D599" s="56">
        <v>595</v>
      </c>
      <c r="E599" s="102"/>
      <c r="F599" s="102"/>
      <c r="G599" s="3"/>
      <c r="H599" s="3"/>
      <c r="I599" s="102"/>
      <c r="J599" s="102"/>
      <c r="K599" s="102"/>
      <c r="L599" s="102"/>
      <c r="M599" s="3"/>
      <c r="N599" s="3"/>
      <c r="O599" s="3"/>
      <c r="P599" s="3"/>
      <c r="Q599" s="3"/>
    </row>
    <row r="600" spans="3:17">
      <c r="C600" s="120" t="s">
        <v>750</v>
      </c>
      <c r="D600" s="56">
        <v>596</v>
      </c>
      <c r="E600" s="102"/>
      <c r="F600" s="102"/>
      <c r="G600" s="3"/>
      <c r="H600" s="3"/>
      <c r="I600" s="102"/>
      <c r="J600" s="102"/>
      <c r="K600" s="102"/>
      <c r="L600" s="102"/>
      <c r="M600" s="3"/>
      <c r="N600" s="3"/>
      <c r="O600" s="3"/>
      <c r="P600" s="3"/>
      <c r="Q600" s="3"/>
    </row>
    <row r="601" spans="3:17">
      <c r="C601" s="120" t="s">
        <v>751</v>
      </c>
      <c r="D601" s="56">
        <v>597</v>
      </c>
      <c r="E601" s="102"/>
      <c r="F601" s="102"/>
      <c r="G601" s="3"/>
      <c r="H601" s="3"/>
      <c r="I601" s="102"/>
      <c r="J601" s="102"/>
      <c r="K601" s="102"/>
      <c r="L601" s="102"/>
      <c r="M601" s="3"/>
      <c r="N601" s="3"/>
      <c r="O601" s="3"/>
      <c r="P601" s="3"/>
      <c r="Q601" s="3"/>
    </row>
    <row r="602" spans="3:17">
      <c r="C602" s="120" t="s">
        <v>752</v>
      </c>
      <c r="D602" s="56">
        <v>598</v>
      </c>
      <c r="E602" s="102"/>
      <c r="F602" s="102"/>
      <c r="G602" s="3"/>
      <c r="H602" s="3"/>
      <c r="I602" s="102"/>
      <c r="J602" s="102"/>
      <c r="K602" s="102"/>
      <c r="L602" s="102"/>
      <c r="M602" s="3"/>
      <c r="N602" s="3"/>
      <c r="O602" s="3"/>
      <c r="P602" s="3"/>
      <c r="Q602" s="3"/>
    </row>
    <row r="603" spans="3:17">
      <c r="C603" s="120" t="s">
        <v>753</v>
      </c>
      <c r="D603" s="56">
        <v>599</v>
      </c>
      <c r="E603" s="102"/>
      <c r="F603" s="102"/>
      <c r="G603" s="3"/>
      <c r="H603" s="3"/>
      <c r="I603" s="102"/>
      <c r="J603" s="102"/>
      <c r="K603" s="102"/>
      <c r="L603" s="102"/>
      <c r="M603" s="3"/>
      <c r="N603" s="3"/>
      <c r="O603" s="3"/>
      <c r="P603" s="3"/>
      <c r="Q603" s="3"/>
    </row>
    <row r="604" spans="3:17">
      <c r="C604" s="120" t="s">
        <v>754</v>
      </c>
      <c r="D604" s="56">
        <v>600</v>
      </c>
      <c r="E604" s="102"/>
      <c r="F604" s="102"/>
      <c r="G604" s="3"/>
      <c r="H604" s="3"/>
      <c r="I604" s="102"/>
      <c r="J604" s="102"/>
      <c r="K604" s="102"/>
      <c r="L604" s="102"/>
      <c r="M604" s="3"/>
      <c r="N604" s="3"/>
      <c r="O604" s="3"/>
      <c r="P604" s="3"/>
      <c r="Q604" s="3"/>
    </row>
    <row r="605" spans="3:17">
      <c r="C605" s="120" t="s">
        <v>755</v>
      </c>
      <c r="D605" s="56">
        <v>601</v>
      </c>
      <c r="E605" s="102"/>
      <c r="F605" s="102"/>
      <c r="G605" s="3"/>
      <c r="H605" s="3"/>
      <c r="I605" s="102"/>
      <c r="J605" s="102"/>
      <c r="K605" s="102"/>
      <c r="L605" s="102"/>
      <c r="M605" s="3"/>
      <c r="N605" s="3"/>
      <c r="O605" s="3"/>
      <c r="P605" s="3"/>
      <c r="Q605" s="3"/>
    </row>
    <row r="606" spans="3:17">
      <c r="C606" s="120" t="s">
        <v>756</v>
      </c>
      <c r="D606" s="56">
        <v>602</v>
      </c>
      <c r="E606" s="102"/>
      <c r="F606" s="102"/>
      <c r="G606" s="3"/>
      <c r="H606" s="3"/>
      <c r="I606" s="102"/>
      <c r="J606" s="102"/>
      <c r="K606" s="102"/>
      <c r="L606" s="102"/>
      <c r="M606" s="3"/>
      <c r="N606" s="3"/>
      <c r="O606" s="3"/>
      <c r="P606" s="3"/>
      <c r="Q606" s="3"/>
    </row>
    <row r="607" spans="3:17">
      <c r="C607" s="120" t="s">
        <v>757</v>
      </c>
      <c r="D607" s="56">
        <v>603</v>
      </c>
      <c r="E607" s="102"/>
      <c r="F607" s="102"/>
      <c r="G607" s="3"/>
      <c r="H607" s="3"/>
      <c r="I607" s="102"/>
      <c r="J607" s="102"/>
      <c r="K607" s="102"/>
      <c r="L607" s="102"/>
      <c r="M607" s="3"/>
      <c r="N607" s="3"/>
      <c r="O607" s="3"/>
      <c r="P607" s="3"/>
      <c r="Q607" s="3"/>
    </row>
    <row r="608" spans="3:17">
      <c r="C608" s="120" t="s">
        <v>758</v>
      </c>
      <c r="D608" s="56">
        <v>604</v>
      </c>
      <c r="E608" s="102"/>
      <c r="F608" s="102"/>
      <c r="G608" s="3"/>
      <c r="H608" s="3"/>
      <c r="I608" s="102"/>
      <c r="J608" s="102"/>
      <c r="K608" s="102"/>
      <c r="L608" s="102"/>
      <c r="M608" s="3"/>
      <c r="N608" s="3"/>
      <c r="O608" s="3"/>
      <c r="P608" s="3"/>
      <c r="Q608" s="3"/>
    </row>
    <row r="609" spans="3:17">
      <c r="C609" s="120" t="s">
        <v>759</v>
      </c>
      <c r="D609" s="56">
        <v>605</v>
      </c>
      <c r="E609" s="102"/>
      <c r="F609" s="102"/>
      <c r="G609" s="3"/>
      <c r="H609" s="3"/>
      <c r="I609" s="102"/>
      <c r="J609" s="102"/>
      <c r="K609" s="102"/>
      <c r="L609" s="102"/>
      <c r="M609" s="3"/>
      <c r="N609" s="3"/>
      <c r="O609" s="3"/>
      <c r="P609" s="3"/>
      <c r="Q609" s="3"/>
    </row>
    <row r="610" spans="3:17">
      <c r="C610" s="119" t="s">
        <v>760</v>
      </c>
      <c r="D610" s="56">
        <v>606</v>
      </c>
      <c r="E610" s="102"/>
      <c r="F610" s="102"/>
      <c r="G610" s="3"/>
      <c r="H610" s="3"/>
      <c r="I610" s="102"/>
      <c r="J610" s="102"/>
      <c r="K610" s="102"/>
      <c r="L610" s="102"/>
      <c r="M610" s="3"/>
      <c r="N610" s="3"/>
      <c r="O610" s="3"/>
      <c r="P610" s="3"/>
      <c r="Q610" s="3"/>
    </row>
    <row r="611" spans="3:17">
      <c r="C611" s="120" t="s">
        <v>761</v>
      </c>
      <c r="D611" s="56">
        <v>607</v>
      </c>
      <c r="E611" s="102"/>
      <c r="F611" s="102"/>
      <c r="G611" s="3"/>
      <c r="H611" s="3"/>
      <c r="I611" s="102"/>
      <c r="J611" s="102"/>
      <c r="K611" s="102"/>
      <c r="L611" s="102"/>
      <c r="M611" s="3"/>
      <c r="N611" s="3"/>
      <c r="O611" s="3"/>
      <c r="P611" s="3"/>
      <c r="Q611" s="3"/>
    </row>
    <row r="612" spans="3:17">
      <c r="C612" s="120" t="s">
        <v>762</v>
      </c>
      <c r="D612" s="56">
        <v>608</v>
      </c>
      <c r="E612" s="102"/>
      <c r="F612" s="102"/>
      <c r="G612" s="3"/>
      <c r="H612" s="3"/>
      <c r="I612" s="102"/>
      <c r="J612" s="102"/>
      <c r="K612" s="102"/>
      <c r="L612" s="102"/>
      <c r="M612" s="3"/>
      <c r="N612" s="3"/>
      <c r="O612" s="3"/>
      <c r="P612" s="3"/>
      <c r="Q612" s="3"/>
    </row>
    <row r="613" spans="3:17">
      <c r="C613" s="120" t="s">
        <v>763</v>
      </c>
      <c r="D613" s="56">
        <v>609</v>
      </c>
      <c r="E613" s="102"/>
      <c r="F613" s="102"/>
      <c r="G613" s="3"/>
      <c r="H613" s="3"/>
      <c r="I613" s="102"/>
      <c r="J613" s="102"/>
      <c r="K613" s="102"/>
      <c r="L613" s="102"/>
      <c r="M613" s="3"/>
      <c r="N613" s="3"/>
      <c r="O613" s="3"/>
      <c r="P613" s="3"/>
      <c r="Q613" s="3"/>
    </row>
    <row r="614" spans="3:17">
      <c r="C614" s="120" t="s">
        <v>764</v>
      </c>
      <c r="D614" s="56">
        <v>610</v>
      </c>
      <c r="E614" s="102"/>
      <c r="F614" s="102"/>
      <c r="G614" s="3"/>
      <c r="H614" s="3"/>
      <c r="I614" s="102"/>
      <c r="J614" s="102"/>
      <c r="K614" s="102"/>
      <c r="L614" s="102"/>
      <c r="M614" s="3"/>
      <c r="N614" s="3"/>
      <c r="O614" s="3"/>
      <c r="P614" s="3"/>
      <c r="Q614" s="3"/>
    </row>
    <row r="615" spans="3:17">
      <c r="C615" s="119" t="s">
        <v>765</v>
      </c>
      <c r="D615" s="56">
        <v>611</v>
      </c>
      <c r="E615" s="102"/>
      <c r="F615" s="102"/>
      <c r="G615" s="3"/>
      <c r="H615" s="3"/>
      <c r="I615" s="102"/>
      <c r="J615" s="102"/>
      <c r="K615" s="102"/>
      <c r="L615" s="102"/>
      <c r="M615" s="3"/>
      <c r="N615" s="3"/>
      <c r="O615" s="3"/>
      <c r="P615" s="3"/>
      <c r="Q615" s="3"/>
    </row>
    <row r="616" spans="3:17">
      <c r="C616" s="119" t="s">
        <v>766</v>
      </c>
      <c r="D616" s="56">
        <v>612</v>
      </c>
      <c r="E616" s="102"/>
      <c r="F616" s="102"/>
      <c r="G616" s="3"/>
      <c r="H616" s="3"/>
      <c r="I616" s="102"/>
      <c r="J616" s="102"/>
      <c r="K616" s="102"/>
      <c r="L616" s="102"/>
      <c r="M616" s="3"/>
      <c r="N616" s="3"/>
      <c r="O616" s="3"/>
      <c r="P616" s="3"/>
      <c r="Q616" s="3"/>
    </row>
    <row r="617" spans="3:17">
      <c r="C617" s="119" t="s">
        <v>767</v>
      </c>
      <c r="D617" s="56">
        <v>613</v>
      </c>
      <c r="E617" s="102"/>
      <c r="F617" s="102"/>
      <c r="G617" s="3"/>
      <c r="H617" s="3"/>
      <c r="I617" s="102"/>
      <c r="J617" s="102"/>
      <c r="K617" s="102"/>
      <c r="L617" s="102"/>
      <c r="M617" s="3"/>
      <c r="N617" s="3"/>
      <c r="O617" s="3"/>
      <c r="P617" s="3"/>
      <c r="Q617" s="3"/>
    </row>
    <row r="618" spans="3:17">
      <c r="C618" s="120" t="s">
        <v>768</v>
      </c>
      <c r="D618" s="56">
        <v>614</v>
      </c>
      <c r="E618" s="102"/>
      <c r="F618" s="102"/>
      <c r="G618" s="3"/>
      <c r="H618" s="3"/>
      <c r="I618" s="102"/>
      <c r="J618" s="102"/>
      <c r="K618" s="102"/>
      <c r="L618" s="102"/>
      <c r="M618" s="3"/>
      <c r="N618" s="3"/>
      <c r="O618" s="3"/>
      <c r="P618" s="3"/>
      <c r="Q618" s="3"/>
    </row>
    <row r="619" spans="3:17">
      <c r="C619" s="120" t="s">
        <v>769</v>
      </c>
      <c r="D619" s="56">
        <v>615</v>
      </c>
      <c r="E619" s="102"/>
      <c r="F619" s="102"/>
      <c r="G619" s="3"/>
      <c r="H619" s="3"/>
      <c r="I619" s="102"/>
      <c r="J619" s="102"/>
      <c r="K619" s="102"/>
      <c r="L619" s="102"/>
      <c r="M619" s="3"/>
      <c r="N619" s="3"/>
      <c r="O619" s="3"/>
      <c r="P619" s="3"/>
      <c r="Q619" s="3"/>
    </row>
    <row r="620" spans="3:17">
      <c r="C620" s="120" t="s">
        <v>770</v>
      </c>
      <c r="D620" s="56">
        <v>616</v>
      </c>
      <c r="E620" s="102"/>
      <c r="F620" s="102"/>
      <c r="G620" s="3"/>
      <c r="H620" s="3"/>
      <c r="I620" s="102"/>
      <c r="J620" s="102"/>
      <c r="K620" s="102"/>
      <c r="L620" s="102"/>
      <c r="M620" s="3"/>
      <c r="N620" s="3"/>
      <c r="O620" s="3"/>
      <c r="P620" s="3"/>
      <c r="Q620" s="3"/>
    </row>
    <row r="621" spans="3:17">
      <c r="C621" s="120" t="s">
        <v>771</v>
      </c>
      <c r="D621" s="56">
        <v>617</v>
      </c>
      <c r="E621" s="102"/>
      <c r="F621" s="102"/>
      <c r="G621" s="3"/>
      <c r="H621" s="3"/>
      <c r="I621" s="102"/>
      <c r="J621" s="102"/>
      <c r="K621" s="102"/>
      <c r="L621" s="102"/>
      <c r="M621" s="3"/>
      <c r="N621" s="3"/>
      <c r="O621" s="3"/>
      <c r="P621" s="3"/>
      <c r="Q621" s="3"/>
    </row>
    <row r="622" spans="3:17">
      <c r="C622" s="120" t="s">
        <v>772</v>
      </c>
      <c r="D622" s="56">
        <v>618</v>
      </c>
      <c r="E622" s="102"/>
      <c r="F622" s="102"/>
      <c r="G622" s="3"/>
      <c r="H622" s="3"/>
      <c r="I622" s="102"/>
      <c r="J622" s="102"/>
      <c r="K622" s="102"/>
      <c r="L622" s="102"/>
      <c r="M622" s="3"/>
      <c r="N622" s="3"/>
      <c r="O622" s="3"/>
      <c r="P622" s="3"/>
      <c r="Q622" s="3"/>
    </row>
    <row r="623" spans="3:17">
      <c r="C623" s="120" t="s">
        <v>773</v>
      </c>
      <c r="D623" s="56">
        <v>619</v>
      </c>
      <c r="E623" s="102"/>
      <c r="F623" s="102"/>
      <c r="G623" s="3"/>
      <c r="H623" s="3"/>
      <c r="I623" s="102"/>
      <c r="J623" s="102"/>
      <c r="K623" s="102"/>
      <c r="L623" s="102"/>
      <c r="M623" s="3"/>
      <c r="N623" s="3"/>
      <c r="O623" s="3"/>
      <c r="P623" s="3"/>
      <c r="Q623" s="3"/>
    </row>
    <row r="624" spans="3:17">
      <c r="C624" s="120" t="s">
        <v>774</v>
      </c>
      <c r="D624" s="56">
        <v>620</v>
      </c>
      <c r="E624" s="102"/>
      <c r="F624" s="102"/>
      <c r="G624" s="3"/>
      <c r="H624" s="3"/>
      <c r="I624" s="102"/>
      <c r="J624" s="102"/>
      <c r="K624" s="102"/>
      <c r="L624" s="102"/>
      <c r="M624" s="3"/>
      <c r="N624" s="3"/>
      <c r="O624" s="3"/>
      <c r="P624" s="3"/>
      <c r="Q624" s="3"/>
    </row>
    <row r="625" spans="3:17">
      <c r="C625" s="120" t="s">
        <v>775</v>
      </c>
      <c r="D625" s="56">
        <v>621</v>
      </c>
      <c r="E625" s="102"/>
      <c r="F625" s="102"/>
      <c r="G625" s="3"/>
      <c r="H625" s="3"/>
      <c r="I625" s="102"/>
      <c r="J625" s="102"/>
      <c r="K625" s="102"/>
      <c r="L625" s="102"/>
      <c r="M625" s="3"/>
      <c r="N625" s="3"/>
      <c r="O625" s="3"/>
      <c r="P625" s="3"/>
      <c r="Q625" s="3"/>
    </row>
    <row r="626" spans="3:17">
      <c r="C626" s="120" t="s">
        <v>776</v>
      </c>
      <c r="D626" s="56">
        <v>622</v>
      </c>
      <c r="E626" s="102"/>
      <c r="F626" s="102"/>
      <c r="G626" s="3"/>
      <c r="H626" s="3"/>
      <c r="I626" s="102"/>
      <c r="J626" s="102"/>
      <c r="K626" s="102"/>
      <c r="L626" s="102"/>
      <c r="M626" s="3"/>
      <c r="N626" s="3"/>
      <c r="O626" s="3"/>
      <c r="P626" s="3"/>
      <c r="Q626" s="3"/>
    </row>
    <row r="627" spans="3:17">
      <c r="C627" s="119" t="s">
        <v>777</v>
      </c>
      <c r="D627" s="56">
        <v>623</v>
      </c>
      <c r="E627" s="102"/>
      <c r="F627" s="102"/>
      <c r="G627" s="3"/>
      <c r="H627" s="3"/>
      <c r="I627" s="102"/>
      <c r="J627" s="102"/>
      <c r="K627" s="102"/>
      <c r="L627" s="102"/>
      <c r="M627" s="3"/>
      <c r="N627" s="3"/>
      <c r="O627" s="3"/>
      <c r="P627" s="3"/>
      <c r="Q627" s="3"/>
    </row>
    <row r="628" spans="3:17">
      <c r="C628" s="119" t="s">
        <v>778</v>
      </c>
      <c r="D628" s="56">
        <v>624</v>
      </c>
      <c r="E628" s="102"/>
      <c r="F628" s="102"/>
      <c r="G628" s="3"/>
      <c r="H628" s="3"/>
      <c r="I628" s="102"/>
      <c r="J628" s="102"/>
      <c r="K628" s="102"/>
      <c r="L628" s="102"/>
      <c r="M628" s="3"/>
      <c r="N628" s="3"/>
      <c r="O628" s="3"/>
      <c r="P628" s="3"/>
      <c r="Q628" s="3"/>
    </row>
    <row r="629" spans="3:17">
      <c r="C629" s="119" t="s">
        <v>779</v>
      </c>
      <c r="D629" s="56">
        <v>625</v>
      </c>
      <c r="E629" s="102"/>
      <c r="F629" s="102"/>
      <c r="G629" s="3"/>
      <c r="H629" s="3"/>
      <c r="I629" s="102"/>
      <c r="J629" s="102"/>
      <c r="K629" s="102"/>
      <c r="L629" s="102"/>
      <c r="M629" s="3"/>
      <c r="N629" s="3"/>
      <c r="O629" s="3"/>
      <c r="P629" s="3"/>
      <c r="Q629" s="3"/>
    </row>
    <row r="630" spans="3:17">
      <c r="C630" s="119" t="s">
        <v>780</v>
      </c>
      <c r="D630" s="56">
        <v>626</v>
      </c>
      <c r="E630" s="102"/>
      <c r="F630" s="102"/>
      <c r="G630" s="3"/>
      <c r="H630" s="3"/>
      <c r="I630" s="102"/>
      <c r="J630" s="102"/>
      <c r="K630" s="102"/>
      <c r="L630" s="102"/>
      <c r="M630" s="3"/>
      <c r="N630" s="3"/>
      <c r="O630" s="3"/>
      <c r="P630" s="3"/>
      <c r="Q630" s="3"/>
    </row>
    <row r="631" spans="3:17">
      <c r="C631" s="120" t="s">
        <v>781</v>
      </c>
      <c r="D631" s="56">
        <v>627</v>
      </c>
      <c r="E631" s="102"/>
      <c r="F631" s="102"/>
      <c r="G631" s="3"/>
      <c r="H631" s="3"/>
      <c r="I631" s="102"/>
      <c r="J631" s="102"/>
      <c r="K631" s="102"/>
      <c r="L631" s="102"/>
      <c r="M631" s="3"/>
      <c r="N631" s="3"/>
      <c r="O631" s="3"/>
      <c r="P631" s="3"/>
      <c r="Q631" s="3"/>
    </row>
    <row r="632" spans="3:17">
      <c r="C632" s="120" t="s">
        <v>782</v>
      </c>
      <c r="D632" s="56">
        <v>628</v>
      </c>
      <c r="E632" s="102"/>
      <c r="F632" s="102"/>
      <c r="G632" s="3"/>
      <c r="H632" s="3"/>
      <c r="I632" s="102"/>
      <c r="J632" s="102"/>
      <c r="K632" s="102"/>
      <c r="L632" s="102"/>
      <c r="M632" s="3"/>
      <c r="N632" s="3"/>
      <c r="O632" s="3"/>
      <c r="P632" s="3"/>
      <c r="Q632" s="3"/>
    </row>
    <row r="633" spans="3:17">
      <c r="C633" s="120" t="s">
        <v>783</v>
      </c>
      <c r="D633" s="56">
        <v>629</v>
      </c>
      <c r="E633" s="102"/>
      <c r="F633" s="102"/>
      <c r="G633" s="3"/>
      <c r="H633" s="3"/>
      <c r="I633" s="102"/>
      <c r="J633" s="102"/>
      <c r="K633" s="102"/>
      <c r="L633" s="102"/>
      <c r="M633" s="3"/>
      <c r="N633" s="3"/>
      <c r="O633" s="3"/>
      <c r="P633" s="3"/>
      <c r="Q633" s="3"/>
    </row>
    <row r="634" spans="3:17">
      <c r="C634" s="120" t="s">
        <v>784</v>
      </c>
      <c r="D634" s="56">
        <v>630</v>
      </c>
      <c r="E634" s="102"/>
      <c r="F634" s="102"/>
      <c r="G634" s="3"/>
      <c r="H634" s="3"/>
      <c r="I634" s="102"/>
      <c r="J634" s="102"/>
      <c r="K634" s="102"/>
      <c r="L634" s="102"/>
      <c r="M634" s="3"/>
      <c r="N634" s="3"/>
      <c r="O634" s="3"/>
      <c r="P634" s="3"/>
      <c r="Q634" s="3"/>
    </row>
    <row r="635" spans="3:17">
      <c r="C635" s="120" t="s">
        <v>785</v>
      </c>
      <c r="D635" s="56">
        <v>631</v>
      </c>
      <c r="E635" s="102"/>
      <c r="F635" s="102"/>
      <c r="G635" s="3"/>
      <c r="H635" s="3"/>
      <c r="I635" s="102"/>
      <c r="J635" s="102"/>
      <c r="K635" s="102"/>
      <c r="L635" s="102"/>
      <c r="M635" s="3"/>
      <c r="N635" s="3"/>
      <c r="O635" s="3"/>
      <c r="P635" s="3"/>
      <c r="Q635" s="3"/>
    </row>
    <row r="636" spans="3:17">
      <c r="C636" s="120" t="s">
        <v>786</v>
      </c>
      <c r="D636" s="56">
        <v>632</v>
      </c>
      <c r="E636" s="102"/>
      <c r="F636" s="102"/>
      <c r="G636" s="3"/>
      <c r="H636" s="3"/>
      <c r="I636" s="102"/>
      <c r="J636" s="102"/>
      <c r="K636" s="102"/>
      <c r="L636" s="102"/>
      <c r="M636" s="3"/>
      <c r="N636" s="3"/>
      <c r="O636" s="3"/>
      <c r="P636" s="3"/>
      <c r="Q636" s="3"/>
    </row>
    <row r="637" spans="3:17">
      <c r="C637" s="119" t="s">
        <v>787</v>
      </c>
      <c r="D637" s="56">
        <v>633</v>
      </c>
      <c r="E637" s="102"/>
      <c r="F637" s="102"/>
      <c r="G637" s="3"/>
      <c r="H637" s="3"/>
      <c r="I637" s="102"/>
      <c r="J637" s="102"/>
      <c r="K637" s="102"/>
      <c r="L637" s="102"/>
      <c r="M637" s="3"/>
      <c r="N637" s="3"/>
      <c r="O637" s="3"/>
      <c r="P637" s="3"/>
      <c r="Q637" s="3"/>
    </row>
    <row r="638" spans="3:17">
      <c r="C638" s="119" t="s">
        <v>788</v>
      </c>
      <c r="D638" s="56">
        <v>634</v>
      </c>
      <c r="E638" s="102"/>
      <c r="F638" s="102"/>
      <c r="G638" s="3"/>
      <c r="H638" s="3"/>
      <c r="I638" s="102"/>
      <c r="J638" s="102"/>
      <c r="K638" s="102"/>
      <c r="L638" s="102"/>
      <c r="M638" s="3"/>
      <c r="N638" s="3"/>
      <c r="O638" s="3"/>
      <c r="P638" s="3"/>
      <c r="Q638" s="3"/>
    </row>
    <row r="639" spans="3:17">
      <c r="C639" s="119" t="s">
        <v>789</v>
      </c>
      <c r="D639" s="56">
        <v>635</v>
      </c>
      <c r="E639" s="102"/>
      <c r="F639" s="102"/>
      <c r="G639" s="3"/>
      <c r="H639" s="3"/>
      <c r="I639" s="102"/>
      <c r="J639" s="102"/>
      <c r="K639" s="102"/>
      <c r="L639" s="102"/>
      <c r="M639" s="3"/>
      <c r="N639" s="3"/>
      <c r="O639" s="3"/>
      <c r="P639" s="3"/>
      <c r="Q639" s="3"/>
    </row>
    <row r="640" spans="3:17">
      <c r="C640" s="120" t="s">
        <v>790</v>
      </c>
      <c r="D640" s="56">
        <v>636</v>
      </c>
      <c r="E640" s="102"/>
      <c r="F640" s="102"/>
      <c r="G640" s="3"/>
      <c r="H640" s="3"/>
      <c r="I640" s="102"/>
      <c r="J640" s="102"/>
      <c r="K640" s="102"/>
      <c r="L640" s="102"/>
      <c r="M640" s="3"/>
      <c r="N640" s="3"/>
      <c r="O640" s="3"/>
      <c r="P640" s="3"/>
      <c r="Q640" s="3"/>
    </row>
    <row r="641" spans="3:17">
      <c r="C641" s="119" t="s">
        <v>791</v>
      </c>
      <c r="D641" s="56">
        <v>637</v>
      </c>
      <c r="E641" s="102"/>
      <c r="F641" s="102"/>
      <c r="G641" s="3"/>
      <c r="H641" s="3"/>
      <c r="I641" s="102"/>
      <c r="J641" s="102"/>
      <c r="K641" s="102"/>
      <c r="L641" s="102"/>
      <c r="M641" s="3"/>
      <c r="N641" s="3"/>
      <c r="O641" s="3"/>
      <c r="P641" s="3"/>
      <c r="Q641" s="3"/>
    </row>
    <row r="642" spans="3:17">
      <c r="C642" s="120" t="s">
        <v>792</v>
      </c>
      <c r="D642" s="56">
        <v>638</v>
      </c>
      <c r="E642" s="102"/>
      <c r="F642" s="102"/>
      <c r="G642" s="3"/>
      <c r="H642" s="3"/>
      <c r="I642" s="102"/>
      <c r="J642" s="102"/>
      <c r="K642" s="102"/>
      <c r="L642" s="102"/>
      <c r="M642" s="3"/>
      <c r="N642" s="3"/>
      <c r="O642" s="3"/>
      <c r="P642" s="3"/>
      <c r="Q642" s="3"/>
    </row>
    <row r="643" spans="3:17">
      <c r="C643" s="120" t="s">
        <v>793</v>
      </c>
      <c r="D643" s="56">
        <v>639</v>
      </c>
      <c r="E643" s="102"/>
      <c r="F643" s="102"/>
      <c r="G643" s="3"/>
      <c r="H643" s="3"/>
      <c r="I643" s="102"/>
      <c r="J643" s="102"/>
      <c r="K643" s="102"/>
      <c r="L643" s="102"/>
      <c r="M643" s="3"/>
      <c r="N643" s="3"/>
      <c r="O643" s="3"/>
      <c r="P643" s="3"/>
      <c r="Q643" s="3"/>
    </row>
    <row r="644" spans="3:17">
      <c r="C644" s="120" t="s">
        <v>794</v>
      </c>
      <c r="D644" s="56">
        <v>640</v>
      </c>
      <c r="E644" s="102"/>
      <c r="F644" s="102"/>
      <c r="G644" s="3"/>
      <c r="H644" s="3"/>
      <c r="I644" s="102"/>
      <c r="J644" s="102"/>
      <c r="K644" s="102"/>
      <c r="L644" s="102"/>
      <c r="M644" s="3"/>
      <c r="N644" s="3"/>
      <c r="O644" s="3"/>
      <c r="P644" s="3"/>
      <c r="Q644" s="3"/>
    </row>
    <row r="645" spans="3:17">
      <c r="C645" s="120" t="s">
        <v>795</v>
      </c>
      <c r="D645" s="56">
        <v>641</v>
      </c>
      <c r="E645" s="102"/>
      <c r="F645" s="102"/>
      <c r="G645" s="3"/>
      <c r="H645" s="3"/>
      <c r="I645" s="102"/>
      <c r="J645" s="102"/>
      <c r="K645" s="102"/>
      <c r="L645" s="102"/>
      <c r="M645" s="3"/>
      <c r="N645" s="3"/>
      <c r="O645" s="3"/>
      <c r="P645" s="3"/>
      <c r="Q645" s="3"/>
    </row>
    <row r="646" spans="3:17">
      <c r="C646" s="119" t="s">
        <v>796</v>
      </c>
      <c r="D646" s="56">
        <v>642</v>
      </c>
      <c r="E646" s="102"/>
      <c r="F646" s="102"/>
      <c r="G646" s="3"/>
      <c r="H646" s="3"/>
      <c r="I646" s="102"/>
      <c r="J646" s="102"/>
      <c r="K646" s="102"/>
      <c r="L646" s="102"/>
      <c r="M646" s="3"/>
      <c r="N646" s="3"/>
      <c r="O646" s="3"/>
      <c r="P646" s="3"/>
      <c r="Q646" s="3"/>
    </row>
    <row r="647" spans="3:17">
      <c r="C647" s="120" t="s">
        <v>797</v>
      </c>
      <c r="D647" s="56">
        <v>643</v>
      </c>
      <c r="E647" s="102"/>
      <c r="F647" s="102"/>
      <c r="G647" s="3"/>
      <c r="H647" s="3"/>
      <c r="I647" s="102"/>
      <c r="J647" s="102"/>
      <c r="K647" s="102"/>
      <c r="L647" s="102"/>
      <c r="M647" s="3"/>
      <c r="N647" s="3"/>
      <c r="O647" s="3"/>
      <c r="P647" s="3"/>
      <c r="Q647" s="3"/>
    </row>
    <row r="648" spans="3:17">
      <c r="C648" s="119" t="s">
        <v>798</v>
      </c>
      <c r="D648" s="56">
        <v>644</v>
      </c>
      <c r="E648" s="102"/>
      <c r="F648" s="102"/>
      <c r="G648" s="3"/>
      <c r="H648" s="3"/>
      <c r="I648" s="102"/>
      <c r="J648" s="102"/>
      <c r="K648" s="102"/>
      <c r="L648" s="102"/>
      <c r="M648" s="3"/>
      <c r="N648" s="3"/>
      <c r="O648" s="3"/>
      <c r="P648" s="3"/>
      <c r="Q648" s="3"/>
    </row>
    <row r="649" spans="3:17">
      <c r="C649" s="119" t="s">
        <v>799</v>
      </c>
      <c r="D649" s="56">
        <v>645</v>
      </c>
      <c r="E649" s="102"/>
      <c r="F649" s="102"/>
      <c r="G649" s="3"/>
      <c r="H649" s="3"/>
      <c r="I649" s="102"/>
      <c r="J649" s="102"/>
      <c r="K649" s="102"/>
      <c r="L649" s="102"/>
      <c r="M649" s="3"/>
      <c r="N649" s="3"/>
      <c r="O649" s="3"/>
      <c r="P649" s="3"/>
      <c r="Q649" s="3"/>
    </row>
    <row r="650" spans="3:17">
      <c r="C650" s="119" t="s">
        <v>800</v>
      </c>
      <c r="D650" s="56">
        <v>646</v>
      </c>
      <c r="E650" s="102"/>
      <c r="F650" s="102"/>
      <c r="G650" s="3"/>
      <c r="H650" s="3"/>
      <c r="I650" s="102"/>
      <c r="J650" s="102"/>
      <c r="K650" s="102"/>
      <c r="L650" s="102"/>
      <c r="M650" s="3"/>
      <c r="N650" s="3"/>
      <c r="O650" s="3"/>
      <c r="P650" s="3"/>
      <c r="Q650" s="3"/>
    </row>
    <row r="651" spans="3:17">
      <c r="C651" s="119" t="s">
        <v>801</v>
      </c>
      <c r="D651" s="56">
        <v>647</v>
      </c>
      <c r="E651" s="102"/>
      <c r="F651" s="102"/>
      <c r="G651" s="3"/>
      <c r="H651" s="3"/>
      <c r="I651" s="102"/>
      <c r="J651" s="102"/>
      <c r="K651" s="102"/>
      <c r="L651" s="102"/>
      <c r="M651" s="3"/>
      <c r="N651" s="3"/>
      <c r="O651" s="3"/>
      <c r="P651" s="3"/>
      <c r="Q651" s="3"/>
    </row>
    <row r="652" spans="3:17">
      <c r="C652" s="119" t="s">
        <v>802</v>
      </c>
      <c r="D652" s="56">
        <v>648</v>
      </c>
      <c r="E652" s="102"/>
      <c r="F652" s="102"/>
      <c r="G652" s="3"/>
      <c r="H652" s="3"/>
      <c r="I652" s="102"/>
      <c r="J652" s="102"/>
      <c r="K652" s="102"/>
      <c r="L652" s="102"/>
      <c r="M652" s="3"/>
      <c r="N652" s="3"/>
      <c r="O652" s="3"/>
      <c r="P652" s="3"/>
      <c r="Q652" s="3"/>
    </row>
    <row r="653" spans="3:17">
      <c r="C653" s="119" t="s">
        <v>803</v>
      </c>
      <c r="D653" s="56">
        <v>649</v>
      </c>
      <c r="E653" s="102"/>
      <c r="F653" s="102"/>
      <c r="G653" s="3"/>
      <c r="H653" s="3"/>
      <c r="I653" s="102"/>
      <c r="J653" s="102"/>
      <c r="K653" s="102"/>
      <c r="L653" s="102"/>
      <c r="M653" s="3"/>
      <c r="N653" s="3"/>
      <c r="O653" s="3"/>
      <c r="P653" s="3"/>
      <c r="Q653" s="3"/>
    </row>
    <row r="654" spans="3:17">
      <c r="C654" s="119" t="s">
        <v>804</v>
      </c>
      <c r="D654" s="56">
        <v>650</v>
      </c>
      <c r="E654" s="102"/>
      <c r="F654" s="102"/>
      <c r="G654" s="3"/>
      <c r="H654" s="3"/>
      <c r="I654" s="102"/>
      <c r="J654" s="102"/>
      <c r="K654" s="102"/>
      <c r="L654" s="102"/>
      <c r="M654" s="3"/>
      <c r="N654" s="3"/>
      <c r="O654" s="3"/>
      <c r="P654" s="3"/>
      <c r="Q654" s="3"/>
    </row>
    <row r="655" spans="3:17">
      <c r="C655" s="119" t="s">
        <v>805</v>
      </c>
      <c r="D655" s="56">
        <v>651</v>
      </c>
      <c r="E655" s="102"/>
      <c r="F655" s="102"/>
      <c r="G655" s="3"/>
      <c r="H655" s="3"/>
      <c r="I655" s="102"/>
      <c r="J655" s="102"/>
      <c r="K655" s="102"/>
      <c r="L655" s="102"/>
      <c r="M655" s="3"/>
      <c r="N655" s="3"/>
      <c r="O655" s="3"/>
      <c r="P655" s="3"/>
      <c r="Q655" s="3"/>
    </row>
    <row r="656" spans="3:17">
      <c r="C656" s="119" t="s">
        <v>806</v>
      </c>
      <c r="D656" s="56">
        <v>652</v>
      </c>
      <c r="E656" s="102"/>
      <c r="F656" s="102"/>
      <c r="G656" s="3"/>
      <c r="H656" s="3"/>
      <c r="I656" s="102"/>
      <c r="J656" s="102"/>
      <c r="K656" s="102"/>
      <c r="L656" s="102"/>
      <c r="M656" s="3"/>
      <c r="N656" s="3"/>
      <c r="O656" s="3"/>
      <c r="P656" s="3"/>
      <c r="Q656" s="3"/>
    </row>
    <row r="657" spans="3:17">
      <c r="C657" s="119" t="s">
        <v>807</v>
      </c>
      <c r="D657" s="56">
        <v>653</v>
      </c>
      <c r="E657" s="102"/>
      <c r="F657" s="102"/>
      <c r="G657" s="3"/>
      <c r="H657" s="3"/>
      <c r="I657" s="102"/>
      <c r="J657" s="102"/>
      <c r="K657" s="102"/>
      <c r="L657" s="102"/>
      <c r="M657" s="3"/>
      <c r="N657" s="3"/>
      <c r="O657" s="3"/>
      <c r="P657" s="3"/>
      <c r="Q657" s="3"/>
    </row>
    <row r="658" spans="3:17">
      <c r="C658" s="120" t="s">
        <v>808</v>
      </c>
      <c r="D658" s="56">
        <v>654</v>
      </c>
      <c r="E658" s="102"/>
      <c r="F658" s="102"/>
      <c r="G658" s="3"/>
      <c r="H658" s="3"/>
      <c r="I658" s="102"/>
      <c r="J658" s="102"/>
      <c r="K658" s="102"/>
      <c r="L658" s="102"/>
      <c r="M658" s="3"/>
      <c r="N658" s="3"/>
      <c r="O658" s="3"/>
      <c r="P658" s="3"/>
      <c r="Q658" s="3"/>
    </row>
    <row r="659" spans="3:17">
      <c r="C659" s="120" t="s">
        <v>809</v>
      </c>
      <c r="D659" s="56">
        <v>655</v>
      </c>
      <c r="E659" s="102"/>
      <c r="F659" s="102"/>
      <c r="G659" s="3"/>
      <c r="H659" s="3"/>
      <c r="I659" s="102"/>
      <c r="J659" s="102"/>
      <c r="K659" s="102"/>
      <c r="L659" s="102"/>
      <c r="M659" s="3"/>
      <c r="N659" s="3"/>
      <c r="O659" s="3"/>
      <c r="P659" s="3"/>
      <c r="Q659" s="3"/>
    </row>
    <row r="660" spans="3:17">
      <c r="C660" s="119" t="s">
        <v>810</v>
      </c>
      <c r="D660" s="56">
        <v>656</v>
      </c>
      <c r="E660" s="102"/>
      <c r="F660" s="102"/>
      <c r="G660" s="3"/>
      <c r="H660" s="3"/>
      <c r="I660" s="102"/>
      <c r="J660" s="102"/>
      <c r="K660" s="102"/>
      <c r="L660" s="102"/>
      <c r="M660" s="3"/>
      <c r="N660" s="3"/>
      <c r="O660" s="3"/>
      <c r="P660" s="3"/>
      <c r="Q660" s="3"/>
    </row>
    <row r="661" spans="3:17">
      <c r="C661" s="119" t="s">
        <v>811</v>
      </c>
      <c r="D661" s="56">
        <v>657</v>
      </c>
      <c r="E661" s="102"/>
      <c r="F661" s="102"/>
      <c r="G661" s="3"/>
      <c r="H661" s="3"/>
      <c r="I661" s="102"/>
      <c r="J661" s="102"/>
      <c r="K661" s="102"/>
      <c r="L661" s="102"/>
      <c r="M661" s="3"/>
      <c r="N661" s="3"/>
      <c r="O661" s="3"/>
      <c r="P661" s="3"/>
      <c r="Q661" s="3"/>
    </row>
    <row r="662" spans="3:17">
      <c r="C662" s="119" t="s">
        <v>812</v>
      </c>
      <c r="D662" s="56">
        <v>658</v>
      </c>
      <c r="E662" s="102"/>
      <c r="F662" s="102"/>
      <c r="G662" s="3"/>
      <c r="H662" s="3"/>
      <c r="I662" s="102"/>
      <c r="J662" s="102"/>
      <c r="K662" s="102"/>
      <c r="L662" s="102"/>
      <c r="M662" s="3"/>
      <c r="N662" s="3"/>
      <c r="O662" s="3"/>
      <c r="P662" s="3"/>
      <c r="Q662" s="3"/>
    </row>
    <row r="663" spans="3:17">
      <c r="C663" s="120" t="s">
        <v>813</v>
      </c>
      <c r="D663" s="56">
        <v>659</v>
      </c>
      <c r="E663" s="102"/>
      <c r="F663" s="102"/>
      <c r="G663" s="3"/>
      <c r="H663" s="3"/>
      <c r="I663" s="102"/>
      <c r="J663" s="102"/>
      <c r="K663" s="102"/>
      <c r="L663" s="102"/>
      <c r="M663" s="3"/>
      <c r="N663" s="3"/>
      <c r="O663" s="3"/>
      <c r="P663" s="3"/>
      <c r="Q663" s="3"/>
    </row>
    <row r="664" spans="3:17">
      <c r="C664" s="119" t="s">
        <v>814</v>
      </c>
      <c r="D664" s="56">
        <v>660</v>
      </c>
      <c r="E664" s="102"/>
      <c r="F664" s="102"/>
      <c r="G664" s="3"/>
      <c r="H664" s="3"/>
      <c r="I664" s="102"/>
      <c r="J664" s="102"/>
      <c r="K664" s="102"/>
      <c r="L664" s="102"/>
      <c r="M664" s="3"/>
      <c r="N664" s="3"/>
      <c r="O664" s="3"/>
      <c r="P664" s="3"/>
      <c r="Q664" s="3"/>
    </row>
    <row r="665" spans="3:17">
      <c r="C665" s="119" t="s">
        <v>815</v>
      </c>
      <c r="D665" s="56">
        <v>661</v>
      </c>
      <c r="E665" s="102"/>
      <c r="F665" s="102"/>
      <c r="G665" s="3"/>
      <c r="H665" s="3"/>
      <c r="I665" s="102"/>
      <c r="J665" s="102"/>
      <c r="K665" s="102"/>
      <c r="L665" s="102"/>
      <c r="M665" s="3"/>
      <c r="N665" s="3"/>
      <c r="O665" s="3"/>
      <c r="P665" s="3"/>
      <c r="Q665" s="3"/>
    </row>
    <row r="666" spans="3:17">
      <c r="C666" s="119" t="s">
        <v>816</v>
      </c>
      <c r="D666" s="56">
        <v>662</v>
      </c>
      <c r="E666" s="102"/>
      <c r="F666" s="102"/>
      <c r="G666" s="3"/>
      <c r="H666" s="3"/>
      <c r="I666" s="102"/>
      <c r="J666" s="102"/>
      <c r="K666" s="102"/>
      <c r="L666" s="102"/>
      <c r="M666" s="3"/>
      <c r="N666" s="3"/>
      <c r="O666" s="3"/>
      <c r="P666" s="3"/>
      <c r="Q666" s="3"/>
    </row>
    <row r="667" spans="3:17">
      <c r="C667" s="119" t="s">
        <v>817</v>
      </c>
      <c r="D667" s="56">
        <v>663</v>
      </c>
      <c r="E667" s="102"/>
      <c r="F667" s="102"/>
      <c r="G667" s="3"/>
      <c r="H667" s="3"/>
      <c r="I667" s="102"/>
      <c r="J667" s="102"/>
      <c r="K667" s="102"/>
      <c r="L667" s="102"/>
      <c r="M667" s="3"/>
      <c r="N667" s="3"/>
      <c r="O667" s="3"/>
      <c r="P667" s="3"/>
      <c r="Q667" s="3"/>
    </row>
    <row r="668" spans="3:17">
      <c r="C668" s="120" t="s">
        <v>818</v>
      </c>
      <c r="D668" s="56">
        <v>664</v>
      </c>
      <c r="E668" s="102"/>
      <c r="F668" s="102"/>
      <c r="G668" s="3"/>
      <c r="H668" s="3"/>
      <c r="I668" s="102"/>
      <c r="J668" s="102"/>
      <c r="K668" s="102"/>
      <c r="L668" s="102"/>
      <c r="M668" s="3"/>
      <c r="N668" s="3"/>
      <c r="O668" s="3"/>
      <c r="P668" s="3"/>
      <c r="Q668" s="3"/>
    </row>
    <row r="669" spans="3:17">
      <c r="C669" s="120" t="s">
        <v>819</v>
      </c>
      <c r="D669" s="56">
        <v>665</v>
      </c>
      <c r="E669" s="102"/>
      <c r="F669" s="102"/>
      <c r="G669" s="3"/>
      <c r="H669" s="3"/>
      <c r="I669" s="102"/>
      <c r="J669" s="102"/>
      <c r="K669" s="102"/>
      <c r="L669" s="102"/>
      <c r="M669" s="3"/>
      <c r="N669" s="3"/>
      <c r="O669" s="3"/>
      <c r="P669" s="3"/>
      <c r="Q669" s="3"/>
    </row>
    <row r="670" spans="3:17">
      <c r="C670" s="120" t="s">
        <v>820</v>
      </c>
      <c r="D670" s="56">
        <v>666</v>
      </c>
      <c r="E670" s="102"/>
      <c r="F670" s="102"/>
      <c r="G670" s="3"/>
      <c r="H670" s="3"/>
      <c r="I670" s="102"/>
      <c r="J670" s="102"/>
      <c r="K670" s="102"/>
      <c r="L670" s="102"/>
      <c r="M670" s="3"/>
      <c r="N670" s="3"/>
      <c r="O670" s="3"/>
      <c r="P670" s="3"/>
      <c r="Q670" s="3"/>
    </row>
    <row r="671" spans="3:17">
      <c r="C671" s="120" t="s">
        <v>821</v>
      </c>
      <c r="D671" s="56">
        <v>667</v>
      </c>
      <c r="E671" s="102"/>
      <c r="F671" s="102"/>
      <c r="G671" s="3"/>
      <c r="H671" s="3"/>
      <c r="I671" s="102"/>
      <c r="J671" s="102"/>
      <c r="K671" s="102"/>
      <c r="L671" s="102"/>
      <c r="M671" s="3"/>
      <c r="N671" s="3"/>
      <c r="O671" s="3"/>
      <c r="P671" s="3"/>
      <c r="Q671" s="3"/>
    </row>
    <row r="672" spans="3:17">
      <c r="C672" s="120" t="s">
        <v>822</v>
      </c>
      <c r="D672" s="56">
        <v>668</v>
      </c>
      <c r="E672" s="102"/>
      <c r="F672" s="102"/>
      <c r="G672" s="3"/>
      <c r="H672" s="3"/>
      <c r="I672" s="102"/>
      <c r="J672" s="102"/>
      <c r="K672" s="102"/>
      <c r="L672" s="102"/>
      <c r="M672" s="3"/>
      <c r="N672" s="3"/>
      <c r="O672" s="3"/>
      <c r="P672" s="3"/>
      <c r="Q672" s="3"/>
    </row>
    <row r="673" spans="3:17">
      <c r="C673" s="120" t="s">
        <v>823</v>
      </c>
      <c r="D673" s="56">
        <v>669</v>
      </c>
      <c r="E673" s="102"/>
      <c r="F673" s="102"/>
      <c r="G673" s="3"/>
      <c r="H673" s="3"/>
      <c r="I673" s="102"/>
      <c r="J673" s="102"/>
      <c r="K673" s="102"/>
      <c r="L673" s="102"/>
      <c r="M673" s="3"/>
      <c r="N673" s="3"/>
      <c r="O673" s="3"/>
      <c r="P673" s="3"/>
      <c r="Q673" s="3"/>
    </row>
    <row r="674" spans="3:17">
      <c r="C674" s="119" t="s">
        <v>824</v>
      </c>
      <c r="D674" s="56">
        <v>670</v>
      </c>
      <c r="E674" s="102"/>
      <c r="F674" s="102"/>
      <c r="G674" s="3"/>
      <c r="H674" s="3"/>
      <c r="I674" s="102"/>
      <c r="J674" s="102"/>
      <c r="K674" s="102"/>
      <c r="L674" s="102"/>
      <c r="M674" s="3"/>
      <c r="N674" s="3"/>
      <c r="O674" s="3"/>
      <c r="P674" s="3"/>
      <c r="Q674" s="3"/>
    </row>
    <row r="675" spans="3:17">
      <c r="C675" s="119" t="s">
        <v>825</v>
      </c>
      <c r="D675" s="56">
        <v>671</v>
      </c>
      <c r="E675" s="102"/>
      <c r="F675" s="102"/>
      <c r="G675" s="3"/>
      <c r="H675" s="3"/>
      <c r="I675" s="102"/>
      <c r="J675" s="102"/>
      <c r="K675" s="102"/>
      <c r="L675" s="102"/>
      <c r="M675" s="3"/>
      <c r="N675" s="3"/>
      <c r="O675" s="3"/>
      <c r="P675" s="3"/>
      <c r="Q675" s="3"/>
    </row>
    <row r="676" spans="3:17">
      <c r="C676" s="120" t="s">
        <v>826</v>
      </c>
      <c r="D676" s="56">
        <v>672</v>
      </c>
      <c r="E676" s="102"/>
      <c r="F676" s="102"/>
      <c r="G676" s="3"/>
      <c r="H676" s="3"/>
      <c r="I676" s="102"/>
      <c r="J676" s="102"/>
      <c r="K676" s="102"/>
      <c r="L676" s="102"/>
      <c r="M676" s="3"/>
      <c r="N676" s="3"/>
      <c r="O676" s="3"/>
      <c r="P676" s="3"/>
      <c r="Q676" s="3"/>
    </row>
    <row r="677" spans="3:17">
      <c r="C677" s="119" t="s">
        <v>827</v>
      </c>
      <c r="D677" s="56">
        <v>673</v>
      </c>
      <c r="E677" s="102"/>
      <c r="F677" s="102"/>
      <c r="G677" s="3"/>
      <c r="H677" s="3"/>
      <c r="I677" s="102"/>
      <c r="J677" s="102"/>
      <c r="K677" s="102"/>
      <c r="L677" s="102"/>
      <c r="M677" s="3"/>
      <c r="N677" s="3"/>
      <c r="O677" s="3"/>
      <c r="P677" s="3"/>
      <c r="Q677" s="3"/>
    </row>
    <row r="678" spans="3:17">
      <c r="C678" s="120" t="s">
        <v>828</v>
      </c>
      <c r="D678" s="56">
        <v>674</v>
      </c>
      <c r="E678" s="102"/>
      <c r="F678" s="102"/>
      <c r="G678" s="3"/>
      <c r="H678" s="3"/>
      <c r="I678" s="102"/>
      <c r="J678" s="102"/>
      <c r="K678" s="102"/>
      <c r="L678" s="102"/>
      <c r="M678" s="3"/>
      <c r="N678" s="3"/>
      <c r="O678" s="3"/>
      <c r="P678" s="3"/>
      <c r="Q678" s="3"/>
    </row>
    <row r="679" spans="3:17">
      <c r="C679" s="120" t="s">
        <v>829</v>
      </c>
      <c r="D679" s="56">
        <v>675</v>
      </c>
      <c r="E679" s="102"/>
      <c r="F679" s="102"/>
      <c r="G679" s="3"/>
      <c r="H679" s="3"/>
      <c r="I679" s="102"/>
      <c r="J679" s="102"/>
      <c r="K679" s="102"/>
      <c r="L679" s="102"/>
      <c r="M679" s="3"/>
      <c r="N679" s="3"/>
      <c r="O679" s="3"/>
      <c r="P679" s="3"/>
      <c r="Q679" s="3"/>
    </row>
    <row r="680" spans="3:17">
      <c r="C680" s="120" t="s">
        <v>830</v>
      </c>
      <c r="D680" s="56">
        <v>676</v>
      </c>
      <c r="E680" s="102"/>
      <c r="F680" s="102"/>
      <c r="G680" s="3"/>
      <c r="H680" s="3"/>
      <c r="I680" s="102"/>
      <c r="J680" s="102"/>
      <c r="K680" s="102"/>
      <c r="L680" s="102"/>
      <c r="M680" s="3"/>
      <c r="N680" s="3"/>
      <c r="O680" s="3"/>
      <c r="P680" s="3"/>
      <c r="Q680" s="3"/>
    </row>
    <row r="681" spans="3:17">
      <c r="C681" s="120" t="s">
        <v>831</v>
      </c>
      <c r="D681" s="56">
        <v>677</v>
      </c>
      <c r="E681" s="102"/>
      <c r="F681" s="102"/>
      <c r="G681" s="3"/>
      <c r="H681" s="3"/>
      <c r="I681" s="102"/>
      <c r="J681" s="102"/>
      <c r="K681" s="102"/>
      <c r="L681" s="102"/>
      <c r="M681" s="3"/>
      <c r="N681" s="3"/>
      <c r="O681" s="3"/>
      <c r="P681" s="3"/>
      <c r="Q681" s="3"/>
    </row>
    <row r="682" spans="3:17">
      <c r="C682" s="120" t="s">
        <v>832</v>
      </c>
      <c r="D682" s="56">
        <v>678</v>
      </c>
      <c r="E682" s="102"/>
      <c r="F682" s="102"/>
      <c r="G682" s="3"/>
      <c r="H682" s="3"/>
      <c r="I682" s="102"/>
      <c r="J682" s="102"/>
      <c r="K682" s="102"/>
      <c r="L682" s="102"/>
      <c r="M682" s="3"/>
      <c r="N682" s="3"/>
      <c r="O682" s="3"/>
      <c r="P682" s="3"/>
      <c r="Q682" s="3"/>
    </row>
    <row r="683" spans="3:17">
      <c r="C683" s="120" t="s">
        <v>833</v>
      </c>
      <c r="D683" s="56">
        <v>679</v>
      </c>
      <c r="E683" s="102"/>
      <c r="F683" s="102"/>
      <c r="G683" s="3"/>
      <c r="H683" s="3"/>
      <c r="I683" s="102"/>
      <c r="J683" s="102"/>
      <c r="K683" s="102"/>
      <c r="L683" s="102"/>
      <c r="M683" s="3"/>
      <c r="N683" s="3"/>
      <c r="O683" s="3"/>
      <c r="P683" s="3"/>
      <c r="Q683" s="3"/>
    </row>
    <row r="684" spans="3:17">
      <c r="C684" s="119" t="s">
        <v>834</v>
      </c>
      <c r="D684" s="56">
        <v>680</v>
      </c>
      <c r="E684" s="102"/>
      <c r="F684" s="102"/>
      <c r="G684" s="3"/>
      <c r="H684" s="3"/>
      <c r="I684" s="102"/>
      <c r="J684" s="102"/>
      <c r="K684" s="102"/>
      <c r="L684" s="102"/>
      <c r="M684" s="3"/>
      <c r="N684" s="3"/>
      <c r="O684" s="3"/>
      <c r="P684" s="3"/>
      <c r="Q684" s="3"/>
    </row>
    <row r="685" spans="3:17">
      <c r="C685" s="120" t="s">
        <v>835</v>
      </c>
      <c r="D685" s="56">
        <v>681</v>
      </c>
      <c r="E685" s="102"/>
      <c r="F685" s="102"/>
      <c r="G685" s="3"/>
      <c r="H685" s="3"/>
      <c r="I685" s="102"/>
      <c r="J685" s="102"/>
      <c r="K685" s="102"/>
      <c r="L685" s="102"/>
      <c r="M685" s="3"/>
      <c r="N685" s="3"/>
      <c r="O685" s="3"/>
      <c r="P685" s="3"/>
      <c r="Q685" s="3"/>
    </row>
    <row r="686" spans="3:17">
      <c r="C686" s="119" t="s">
        <v>836</v>
      </c>
      <c r="D686" s="56">
        <v>682</v>
      </c>
      <c r="E686" s="102"/>
      <c r="F686" s="102"/>
      <c r="G686" s="3"/>
      <c r="H686" s="3"/>
      <c r="I686" s="102"/>
      <c r="J686" s="102"/>
      <c r="K686" s="102"/>
      <c r="L686" s="102"/>
      <c r="M686" s="3"/>
      <c r="N686" s="3"/>
      <c r="O686" s="3"/>
      <c r="P686" s="3"/>
      <c r="Q686" s="3"/>
    </row>
    <row r="687" spans="3:17">
      <c r="C687" s="119" t="s">
        <v>837</v>
      </c>
      <c r="D687" s="56">
        <v>683</v>
      </c>
      <c r="E687" s="102"/>
      <c r="F687" s="102"/>
      <c r="G687" s="3"/>
      <c r="H687" s="3"/>
      <c r="I687" s="102"/>
      <c r="J687" s="102"/>
      <c r="K687" s="102"/>
      <c r="L687" s="102"/>
      <c r="M687" s="3"/>
      <c r="N687" s="3"/>
      <c r="O687" s="3"/>
      <c r="P687" s="3"/>
      <c r="Q687" s="3"/>
    </row>
    <row r="688" spans="3:17">
      <c r="C688" s="120" t="s">
        <v>838</v>
      </c>
      <c r="D688" s="56">
        <v>684</v>
      </c>
      <c r="E688" s="102"/>
      <c r="F688" s="102"/>
      <c r="G688" s="3"/>
      <c r="H688" s="3"/>
      <c r="I688" s="102"/>
      <c r="J688" s="102"/>
      <c r="K688" s="102"/>
      <c r="L688" s="102"/>
      <c r="M688" s="3"/>
      <c r="N688" s="3"/>
      <c r="O688" s="3"/>
      <c r="P688" s="3"/>
      <c r="Q688" s="3"/>
    </row>
    <row r="689" spans="3:17">
      <c r="C689" s="119" t="s">
        <v>839</v>
      </c>
      <c r="D689" s="56">
        <v>685</v>
      </c>
      <c r="E689" s="102"/>
      <c r="F689" s="102"/>
      <c r="G689" s="3"/>
      <c r="H689" s="3"/>
      <c r="I689" s="102"/>
      <c r="J689" s="102"/>
      <c r="K689" s="102"/>
      <c r="L689" s="102"/>
      <c r="M689" s="3"/>
      <c r="N689" s="3"/>
      <c r="O689" s="3"/>
      <c r="P689" s="3"/>
      <c r="Q689" s="3"/>
    </row>
    <row r="690" spans="3:17">
      <c r="C690" s="120" t="s">
        <v>840</v>
      </c>
      <c r="D690" s="56">
        <v>686</v>
      </c>
      <c r="E690" s="102"/>
      <c r="F690" s="102"/>
      <c r="G690" s="3"/>
      <c r="H690" s="3"/>
      <c r="I690" s="102"/>
      <c r="J690" s="102"/>
      <c r="K690" s="102"/>
      <c r="L690" s="102"/>
      <c r="M690" s="3"/>
      <c r="N690" s="3"/>
      <c r="O690" s="3"/>
      <c r="P690" s="3"/>
      <c r="Q690" s="3"/>
    </row>
    <row r="691" spans="3:17">
      <c r="C691" s="120" t="s">
        <v>841</v>
      </c>
      <c r="D691" s="56">
        <v>687</v>
      </c>
      <c r="E691" s="102"/>
      <c r="F691" s="102"/>
      <c r="G691" s="3"/>
      <c r="H691" s="3"/>
      <c r="I691" s="102"/>
      <c r="J691" s="102"/>
      <c r="K691" s="102"/>
      <c r="L691" s="102"/>
      <c r="M691" s="3"/>
      <c r="N691" s="3"/>
      <c r="O691" s="3"/>
      <c r="P691" s="3"/>
      <c r="Q691" s="3"/>
    </row>
    <row r="692" spans="3:17">
      <c r="C692" s="120" t="s">
        <v>842</v>
      </c>
      <c r="D692" s="56">
        <v>688</v>
      </c>
      <c r="E692" s="102"/>
      <c r="F692" s="102"/>
      <c r="G692" s="3"/>
      <c r="H692" s="3"/>
      <c r="I692" s="102"/>
      <c r="J692" s="102"/>
      <c r="K692" s="102"/>
      <c r="L692" s="102"/>
      <c r="M692" s="3"/>
      <c r="N692" s="3"/>
      <c r="O692" s="3"/>
      <c r="P692" s="3"/>
      <c r="Q692" s="3"/>
    </row>
    <row r="693" spans="3:17">
      <c r="C693" s="120" t="s">
        <v>843</v>
      </c>
      <c r="D693" s="56">
        <v>689</v>
      </c>
      <c r="E693" s="102"/>
      <c r="F693" s="102"/>
      <c r="G693" s="3"/>
      <c r="H693" s="3"/>
      <c r="I693" s="102"/>
      <c r="J693" s="102"/>
      <c r="K693" s="102"/>
      <c r="L693" s="102"/>
      <c r="M693" s="3"/>
      <c r="N693" s="3"/>
      <c r="O693" s="3"/>
      <c r="P693" s="3"/>
      <c r="Q693" s="3"/>
    </row>
    <row r="694" spans="3:17">
      <c r="C694" s="120" t="s">
        <v>844</v>
      </c>
      <c r="D694" s="56">
        <v>690</v>
      </c>
      <c r="E694" s="102"/>
      <c r="F694" s="102"/>
      <c r="G694" s="3"/>
      <c r="H694" s="3"/>
      <c r="I694" s="102"/>
      <c r="J694" s="102"/>
      <c r="K694" s="102"/>
      <c r="L694" s="102"/>
      <c r="M694" s="3"/>
      <c r="N694" s="3"/>
      <c r="O694" s="3"/>
      <c r="P694" s="3"/>
      <c r="Q694" s="3"/>
    </row>
    <row r="695" spans="3:17">
      <c r="C695" s="120" t="s">
        <v>845</v>
      </c>
      <c r="D695" s="56">
        <v>691</v>
      </c>
      <c r="E695" s="102"/>
      <c r="F695" s="102"/>
      <c r="G695" s="3"/>
      <c r="H695" s="3"/>
      <c r="I695" s="102"/>
      <c r="J695" s="102"/>
      <c r="K695" s="102"/>
      <c r="L695" s="102"/>
      <c r="M695" s="3"/>
      <c r="N695" s="3"/>
      <c r="O695" s="3"/>
      <c r="P695" s="3"/>
      <c r="Q695" s="3"/>
    </row>
    <row r="696" spans="3:17">
      <c r="C696" s="120" t="s">
        <v>846</v>
      </c>
      <c r="D696" s="56">
        <v>692</v>
      </c>
      <c r="E696" s="102"/>
      <c r="F696" s="102"/>
      <c r="G696" s="3"/>
      <c r="H696" s="3"/>
      <c r="I696" s="102"/>
      <c r="J696" s="102"/>
      <c r="K696" s="102"/>
      <c r="L696" s="102"/>
      <c r="M696" s="3"/>
      <c r="N696" s="3"/>
      <c r="O696" s="3"/>
      <c r="P696" s="3"/>
      <c r="Q696" s="3"/>
    </row>
    <row r="697" spans="3:17">
      <c r="C697" s="120" t="s">
        <v>847</v>
      </c>
      <c r="D697" s="56">
        <v>693</v>
      </c>
      <c r="E697" s="102"/>
      <c r="F697" s="102"/>
      <c r="G697" s="3"/>
      <c r="H697" s="3"/>
      <c r="I697" s="102"/>
      <c r="J697" s="102"/>
      <c r="K697" s="102"/>
      <c r="L697" s="102"/>
      <c r="M697" s="3"/>
      <c r="N697" s="3"/>
      <c r="O697" s="3"/>
      <c r="P697" s="3"/>
      <c r="Q697" s="3"/>
    </row>
    <row r="698" spans="3:17">
      <c r="C698" s="119" t="s">
        <v>848</v>
      </c>
      <c r="D698" s="56">
        <v>694</v>
      </c>
      <c r="E698" s="102"/>
      <c r="F698" s="102"/>
      <c r="G698" s="3"/>
      <c r="H698" s="3"/>
      <c r="I698" s="102"/>
      <c r="J698" s="102"/>
      <c r="K698" s="102"/>
      <c r="L698" s="102"/>
      <c r="M698" s="3"/>
      <c r="N698" s="3"/>
      <c r="O698" s="3"/>
      <c r="P698" s="3"/>
      <c r="Q698" s="3"/>
    </row>
    <row r="699" spans="3:17">
      <c r="C699" s="119" t="s">
        <v>849</v>
      </c>
      <c r="D699" s="56">
        <v>695</v>
      </c>
      <c r="E699" s="102"/>
      <c r="F699" s="102"/>
      <c r="G699" s="3"/>
      <c r="H699" s="3"/>
      <c r="I699" s="102"/>
      <c r="J699" s="102"/>
      <c r="K699" s="102"/>
      <c r="L699" s="102"/>
      <c r="M699" s="3"/>
      <c r="N699" s="3"/>
      <c r="O699" s="3"/>
      <c r="P699" s="3"/>
      <c r="Q699" s="3"/>
    </row>
    <row r="700" spans="3:17">
      <c r="C700" s="119" t="s">
        <v>850</v>
      </c>
      <c r="D700" s="56">
        <v>696</v>
      </c>
      <c r="E700" s="102"/>
      <c r="F700" s="102"/>
      <c r="G700" s="3"/>
      <c r="H700" s="3"/>
      <c r="I700" s="102"/>
      <c r="J700" s="102"/>
      <c r="K700" s="102"/>
      <c r="L700" s="102"/>
      <c r="M700" s="3"/>
      <c r="N700" s="3"/>
      <c r="O700" s="3"/>
      <c r="P700" s="3"/>
      <c r="Q700" s="3"/>
    </row>
    <row r="701" spans="3:17">
      <c r="C701" s="119" t="s">
        <v>851</v>
      </c>
      <c r="D701" s="56">
        <v>697</v>
      </c>
      <c r="E701" s="102"/>
      <c r="F701" s="102"/>
      <c r="G701" s="3"/>
      <c r="H701" s="3"/>
      <c r="I701" s="102"/>
      <c r="J701" s="102"/>
      <c r="K701" s="102"/>
      <c r="L701" s="102"/>
      <c r="M701" s="3"/>
      <c r="N701" s="3"/>
      <c r="O701" s="3"/>
      <c r="P701" s="3"/>
      <c r="Q701" s="3"/>
    </row>
    <row r="702" spans="3:17">
      <c r="C702" s="119" t="s">
        <v>852</v>
      </c>
      <c r="D702" s="56">
        <v>698</v>
      </c>
      <c r="E702" s="102"/>
      <c r="F702" s="102"/>
      <c r="G702" s="3"/>
      <c r="H702" s="3"/>
      <c r="I702" s="102"/>
      <c r="J702" s="102"/>
      <c r="K702" s="102"/>
      <c r="L702" s="102"/>
      <c r="M702" s="3"/>
      <c r="N702" s="3"/>
      <c r="O702" s="3"/>
      <c r="P702" s="3"/>
      <c r="Q702" s="3"/>
    </row>
    <row r="703" spans="3:17">
      <c r="C703" s="119" t="s">
        <v>853</v>
      </c>
      <c r="D703" s="56">
        <v>699</v>
      </c>
      <c r="E703" s="102"/>
      <c r="F703" s="102"/>
      <c r="G703" s="3"/>
      <c r="H703" s="3"/>
      <c r="I703" s="102"/>
      <c r="J703" s="102"/>
      <c r="K703" s="102"/>
      <c r="L703" s="102"/>
      <c r="M703" s="3"/>
      <c r="N703" s="3"/>
      <c r="O703" s="3"/>
      <c r="P703" s="3"/>
      <c r="Q703" s="3"/>
    </row>
    <row r="704" spans="3:17">
      <c r="C704" s="119" t="s">
        <v>854</v>
      </c>
      <c r="D704" s="56">
        <v>700</v>
      </c>
      <c r="E704" s="102"/>
      <c r="F704" s="102"/>
      <c r="G704" s="3"/>
      <c r="H704" s="3"/>
      <c r="I704" s="102"/>
      <c r="J704" s="102"/>
      <c r="K704" s="102"/>
      <c r="L704" s="102"/>
      <c r="M704" s="3"/>
      <c r="N704" s="3"/>
      <c r="O704" s="3"/>
      <c r="P704" s="3"/>
      <c r="Q704" s="3"/>
    </row>
    <row r="705" spans="3:17">
      <c r="C705" s="119" t="s">
        <v>855</v>
      </c>
      <c r="D705" s="56">
        <v>701</v>
      </c>
      <c r="E705" s="102"/>
      <c r="F705" s="102"/>
      <c r="G705" s="102"/>
      <c r="H705" s="102"/>
      <c r="I705" s="102"/>
      <c r="J705" s="102"/>
      <c r="K705" s="102"/>
      <c r="L705" s="102"/>
      <c r="M705" s="3"/>
      <c r="N705" s="3"/>
      <c r="O705" s="3"/>
      <c r="P705" s="3"/>
      <c r="Q705" s="3"/>
    </row>
    <row r="706" spans="3:17">
      <c r="C706" s="119" t="s">
        <v>856</v>
      </c>
      <c r="D706" s="56">
        <v>702</v>
      </c>
      <c r="E706" s="102"/>
      <c r="F706" s="102"/>
      <c r="G706" s="102"/>
      <c r="H706" s="102"/>
      <c r="I706" s="102"/>
      <c r="J706" s="102"/>
      <c r="K706" s="102"/>
      <c r="L706" s="102"/>
      <c r="M706" s="3"/>
      <c r="N706" s="3"/>
      <c r="O706" s="3"/>
      <c r="P706" s="3"/>
      <c r="Q706" s="3"/>
    </row>
    <row r="707" spans="3:17">
      <c r="C707" s="119" t="s">
        <v>857</v>
      </c>
      <c r="D707" s="56">
        <v>703</v>
      </c>
      <c r="E707" s="102"/>
      <c r="F707" s="102"/>
      <c r="G707" s="102"/>
      <c r="H707" s="102"/>
      <c r="I707" s="102"/>
      <c r="J707" s="102"/>
      <c r="K707" s="102"/>
      <c r="L707" s="102"/>
      <c r="M707" s="3"/>
      <c r="N707" s="3"/>
      <c r="O707" s="3"/>
      <c r="P707" s="3"/>
      <c r="Q707" s="3"/>
    </row>
    <row r="708" spans="3:17">
      <c r="C708" s="119" t="s">
        <v>858</v>
      </c>
      <c r="D708" s="56">
        <v>704</v>
      </c>
      <c r="E708" s="102"/>
      <c r="F708" s="102"/>
      <c r="G708" s="102"/>
      <c r="H708" s="102"/>
      <c r="I708" s="102"/>
      <c r="J708" s="102"/>
      <c r="K708" s="102"/>
      <c r="L708" s="102"/>
      <c r="M708" s="3"/>
      <c r="N708" s="3"/>
      <c r="O708" s="3"/>
      <c r="P708" s="3"/>
      <c r="Q708" s="3"/>
    </row>
    <row r="709" spans="3:17">
      <c r="C709" s="119" t="s">
        <v>859</v>
      </c>
      <c r="D709" s="56">
        <v>705</v>
      </c>
      <c r="E709" s="102"/>
      <c r="F709" s="102"/>
      <c r="G709" s="102"/>
      <c r="H709" s="102"/>
      <c r="I709" s="102"/>
      <c r="J709" s="102"/>
      <c r="K709" s="102"/>
      <c r="L709" s="102"/>
      <c r="M709" s="3"/>
      <c r="N709" s="3"/>
      <c r="O709" s="3"/>
      <c r="P709" s="3"/>
      <c r="Q709" s="3"/>
    </row>
    <row r="710" spans="3:17">
      <c r="C710" s="119" t="s">
        <v>860</v>
      </c>
      <c r="D710" s="56">
        <v>706</v>
      </c>
      <c r="E710" s="102"/>
      <c r="F710" s="102"/>
      <c r="G710" s="102"/>
      <c r="H710" s="102"/>
      <c r="I710" s="102"/>
      <c r="J710" s="102"/>
      <c r="K710" s="102"/>
      <c r="L710" s="102"/>
      <c r="M710" s="3"/>
      <c r="N710" s="3"/>
      <c r="O710" s="3"/>
      <c r="P710" s="3"/>
      <c r="Q710" s="3"/>
    </row>
    <row r="711" spans="3:17">
      <c r="C711" s="119" t="s">
        <v>861</v>
      </c>
      <c r="D711" s="56">
        <v>707</v>
      </c>
      <c r="E711" s="102"/>
      <c r="F711" s="102"/>
      <c r="G711" s="102"/>
      <c r="H711" s="102"/>
      <c r="I711" s="102"/>
      <c r="J711" s="102"/>
      <c r="K711" s="102"/>
      <c r="L711" s="102"/>
      <c r="M711" s="3"/>
      <c r="N711" s="3"/>
      <c r="O711" s="3"/>
      <c r="P711" s="3"/>
      <c r="Q711" s="3"/>
    </row>
    <row r="712" spans="3:17">
      <c r="C712" s="119" t="s">
        <v>862</v>
      </c>
      <c r="D712" s="56">
        <v>708</v>
      </c>
      <c r="E712" s="102"/>
      <c r="F712" s="102"/>
      <c r="G712" s="102"/>
      <c r="H712" s="102"/>
      <c r="I712" s="102"/>
      <c r="J712" s="102"/>
      <c r="K712" s="102"/>
      <c r="L712" s="102"/>
      <c r="M712" s="3"/>
      <c r="N712" s="3"/>
      <c r="O712" s="3"/>
      <c r="P712" s="3"/>
      <c r="Q712" s="3"/>
    </row>
    <row r="713" spans="3:17">
      <c r="C713" s="119" t="s">
        <v>863</v>
      </c>
      <c r="D713" s="56">
        <v>709</v>
      </c>
      <c r="E713" s="102"/>
      <c r="F713" s="102"/>
      <c r="G713" s="102"/>
      <c r="H713" s="102"/>
      <c r="I713" s="102"/>
      <c r="J713" s="102"/>
      <c r="K713" s="102"/>
      <c r="L713" s="102"/>
      <c r="M713" s="3"/>
      <c r="N713" s="3"/>
      <c r="O713" s="3"/>
      <c r="P713" s="3"/>
      <c r="Q713" s="3"/>
    </row>
    <row r="714" spans="3:17">
      <c r="C714" s="119" t="s">
        <v>864</v>
      </c>
      <c r="D714" s="56">
        <v>710</v>
      </c>
      <c r="E714" s="102"/>
      <c r="F714" s="102"/>
      <c r="G714" s="102"/>
      <c r="H714" s="102"/>
      <c r="I714" s="102"/>
      <c r="J714" s="102"/>
      <c r="K714" s="102"/>
      <c r="L714" s="102"/>
      <c r="M714" s="3"/>
      <c r="N714" s="3"/>
      <c r="O714" s="3"/>
      <c r="P714" s="3"/>
      <c r="Q714" s="3"/>
    </row>
    <row r="715" spans="3:17">
      <c r="C715" s="119" t="s">
        <v>865</v>
      </c>
      <c r="D715" s="56">
        <v>711</v>
      </c>
      <c r="E715" s="102"/>
      <c r="F715" s="102"/>
      <c r="G715" s="102"/>
      <c r="H715" s="102"/>
      <c r="I715" s="102"/>
      <c r="J715" s="102"/>
      <c r="K715" s="102"/>
      <c r="L715" s="102"/>
      <c r="M715" s="3"/>
      <c r="N715" s="3"/>
      <c r="O715" s="3"/>
      <c r="P715" s="3"/>
      <c r="Q715" s="3"/>
    </row>
    <row r="716" spans="3:17">
      <c r="C716" s="119" t="s">
        <v>866</v>
      </c>
      <c r="D716" s="56">
        <v>712</v>
      </c>
      <c r="E716" s="102"/>
      <c r="F716" s="102"/>
      <c r="G716" s="102"/>
      <c r="H716" s="102"/>
      <c r="I716" s="102"/>
      <c r="J716" s="102"/>
      <c r="K716" s="102"/>
      <c r="L716" s="102"/>
      <c r="M716" s="3"/>
      <c r="N716" s="3"/>
      <c r="O716" s="3"/>
      <c r="P716" s="3"/>
      <c r="Q716" s="3"/>
    </row>
    <row r="717" spans="3:17">
      <c r="C717" s="120" t="s">
        <v>867</v>
      </c>
      <c r="D717" s="56">
        <v>713</v>
      </c>
      <c r="E717" s="102"/>
      <c r="F717" s="102"/>
      <c r="G717" s="102"/>
      <c r="H717" s="102"/>
      <c r="I717" s="102"/>
      <c r="J717" s="102"/>
      <c r="K717" s="102"/>
      <c r="L717" s="102"/>
      <c r="M717" s="3"/>
      <c r="N717" s="3"/>
      <c r="O717" s="3"/>
      <c r="P717" s="3"/>
      <c r="Q717" s="3"/>
    </row>
    <row r="718" spans="3:17">
      <c r="C718" s="119" t="s">
        <v>868</v>
      </c>
      <c r="D718" s="56">
        <v>714</v>
      </c>
      <c r="E718" s="102"/>
      <c r="F718" s="102"/>
      <c r="G718" s="102"/>
      <c r="H718" s="102"/>
      <c r="I718" s="102"/>
      <c r="J718" s="102"/>
      <c r="K718" s="102"/>
      <c r="L718" s="102"/>
      <c r="M718" s="3"/>
      <c r="N718" s="3"/>
      <c r="O718" s="3"/>
      <c r="P718" s="3"/>
      <c r="Q718" s="3"/>
    </row>
    <row r="719" spans="3:17">
      <c r="C719" s="119" t="s">
        <v>869</v>
      </c>
      <c r="D719" s="56">
        <v>715</v>
      </c>
      <c r="E719" s="102"/>
      <c r="F719" s="102"/>
      <c r="G719" s="102"/>
      <c r="H719" s="102"/>
      <c r="I719" s="102"/>
      <c r="J719" s="102"/>
      <c r="K719" s="102"/>
      <c r="L719" s="102"/>
      <c r="M719" s="3"/>
      <c r="N719" s="3"/>
      <c r="O719" s="3"/>
      <c r="P719" s="3"/>
      <c r="Q719" s="3"/>
    </row>
    <row r="720" spans="3:17">
      <c r="C720" s="120" t="s">
        <v>870</v>
      </c>
      <c r="D720" s="56">
        <v>716</v>
      </c>
      <c r="E720" s="102"/>
      <c r="F720" s="102"/>
      <c r="G720" s="102"/>
      <c r="H720" s="102"/>
      <c r="I720" s="102"/>
      <c r="J720" s="102"/>
      <c r="K720" s="102"/>
      <c r="L720" s="102"/>
      <c r="M720" s="3"/>
      <c r="N720" s="3"/>
      <c r="O720" s="3"/>
      <c r="P720" s="3"/>
      <c r="Q720" s="3"/>
    </row>
    <row r="721" spans="3:17">
      <c r="C721" s="120" t="s">
        <v>871</v>
      </c>
      <c r="D721" s="56">
        <v>717</v>
      </c>
      <c r="E721" s="102"/>
      <c r="F721" s="102"/>
      <c r="G721" s="102"/>
      <c r="H721" s="102"/>
      <c r="I721" s="102"/>
      <c r="J721" s="102"/>
      <c r="K721" s="102"/>
      <c r="L721" s="102"/>
      <c r="M721" s="3"/>
      <c r="N721" s="3"/>
      <c r="O721" s="3"/>
      <c r="P721" s="3"/>
      <c r="Q721" s="3"/>
    </row>
    <row r="722" spans="3:17">
      <c r="C722" s="120" t="s">
        <v>872</v>
      </c>
      <c r="D722" s="56">
        <v>718</v>
      </c>
      <c r="E722" s="102"/>
      <c r="F722" s="102"/>
      <c r="G722" s="102"/>
      <c r="H722" s="102"/>
      <c r="I722" s="102"/>
      <c r="J722" s="102"/>
      <c r="K722" s="102"/>
      <c r="L722" s="102"/>
      <c r="M722" s="3"/>
      <c r="N722" s="3"/>
      <c r="O722" s="3"/>
      <c r="P722" s="3"/>
      <c r="Q722" s="3"/>
    </row>
    <row r="723" spans="3:17">
      <c r="C723" s="120" t="s">
        <v>873</v>
      </c>
      <c r="D723" s="56">
        <v>719</v>
      </c>
      <c r="E723" s="102"/>
      <c r="F723" s="102"/>
      <c r="G723" s="102"/>
      <c r="H723" s="102"/>
      <c r="I723" s="102"/>
      <c r="J723" s="102"/>
      <c r="K723" s="102"/>
      <c r="L723" s="102"/>
      <c r="M723" s="3"/>
      <c r="N723" s="3"/>
      <c r="O723" s="3"/>
      <c r="P723" s="3"/>
      <c r="Q723" s="3"/>
    </row>
    <row r="724" spans="3:17">
      <c r="C724" s="120" t="s">
        <v>874</v>
      </c>
      <c r="D724" s="56">
        <v>720</v>
      </c>
      <c r="E724" s="102"/>
      <c r="F724" s="102"/>
      <c r="G724" s="102"/>
      <c r="H724" s="102"/>
      <c r="I724" s="102"/>
      <c r="J724" s="102"/>
      <c r="K724" s="102"/>
      <c r="L724" s="102"/>
      <c r="M724" s="3"/>
      <c r="N724" s="3"/>
      <c r="O724" s="3"/>
      <c r="P724" s="3"/>
      <c r="Q724" s="3"/>
    </row>
    <row r="725" spans="3:17">
      <c r="C725" s="120" t="s">
        <v>875</v>
      </c>
      <c r="D725" s="56">
        <v>721</v>
      </c>
      <c r="E725" s="102"/>
      <c r="F725" s="102"/>
      <c r="G725" s="102"/>
      <c r="H725" s="102"/>
      <c r="I725" s="102"/>
      <c r="J725" s="102"/>
      <c r="K725" s="102"/>
      <c r="L725" s="102"/>
      <c r="M725" s="3"/>
      <c r="N725" s="3"/>
      <c r="O725" s="3"/>
      <c r="P725" s="3"/>
      <c r="Q725" s="3"/>
    </row>
    <row r="726" spans="3:17">
      <c r="C726" s="119" t="s">
        <v>876</v>
      </c>
      <c r="D726" s="56">
        <v>722</v>
      </c>
      <c r="E726" s="102"/>
      <c r="F726" s="102"/>
      <c r="G726" s="102"/>
      <c r="H726" s="102"/>
      <c r="I726" s="102"/>
      <c r="J726" s="102"/>
      <c r="K726" s="102"/>
      <c r="L726" s="102"/>
      <c r="M726" s="3"/>
      <c r="N726" s="3"/>
      <c r="O726" s="3"/>
      <c r="P726" s="3"/>
      <c r="Q726" s="3"/>
    </row>
    <row r="727" spans="3:17">
      <c r="C727" s="120" t="s">
        <v>877</v>
      </c>
      <c r="D727" s="56">
        <v>723</v>
      </c>
      <c r="E727" s="102"/>
      <c r="F727" s="102"/>
      <c r="G727" s="102"/>
      <c r="H727" s="102"/>
      <c r="I727" s="102"/>
      <c r="J727" s="102"/>
      <c r="K727" s="102"/>
      <c r="L727" s="102"/>
      <c r="M727" s="3"/>
      <c r="N727" s="3"/>
      <c r="O727" s="3"/>
      <c r="P727" s="3"/>
      <c r="Q727" s="3"/>
    </row>
    <row r="728" spans="3:17">
      <c r="C728" s="119" t="s">
        <v>878</v>
      </c>
      <c r="D728" s="56">
        <v>724</v>
      </c>
      <c r="E728" s="102"/>
      <c r="F728" s="102"/>
      <c r="G728" s="102"/>
      <c r="H728" s="102"/>
      <c r="I728" s="102"/>
      <c r="J728" s="102"/>
      <c r="K728" s="102"/>
      <c r="L728" s="102"/>
      <c r="M728" s="3"/>
      <c r="N728" s="3"/>
      <c r="O728" s="3"/>
      <c r="P728" s="3"/>
      <c r="Q728" s="3"/>
    </row>
    <row r="729" spans="3:17">
      <c r="C729" s="120" t="s">
        <v>879</v>
      </c>
      <c r="D729" s="56">
        <v>725</v>
      </c>
      <c r="E729" s="102"/>
      <c r="F729" s="102"/>
      <c r="G729" s="102"/>
      <c r="H729" s="102"/>
      <c r="I729" s="102"/>
      <c r="J729" s="102"/>
      <c r="K729" s="102"/>
      <c r="L729" s="102"/>
      <c r="M729" s="3"/>
      <c r="N729" s="3"/>
      <c r="O729" s="3"/>
      <c r="P729" s="3"/>
      <c r="Q729" s="3"/>
    </row>
    <row r="730" spans="3:17">
      <c r="C730" s="119" t="s">
        <v>880</v>
      </c>
      <c r="D730" s="56">
        <v>726</v>
      </c>
      <c r="E730" s="102"/>
      <c r="F730" s="102"/>
      <c r="G730" s="102"/>
      <c r="H730" s="102"/>
      <c r="I730" s="102"/>
      <c r="J730" s="102"/>
      <c r="K730" s="102"/>
      <c r="L730" s="102"/>
      <c r="M730" s="3"/>
      <c r="N730" s="3"/>
      <c r="O730" s="3"/>
      <c r="P730" s="3"/>
      <c r="Q730" s="3"/>
    </row>
    <row r="731" spans="3:17">
      <c r="C731" s="119" t="s">
        <v>881</v>
      </c>
      <c r="D731" s="56">
        <v>727</v>
      </c>
      <c r="E731" s="102"/>
      <c r="F731" s="102"/>
      <c r="G731" s="102"/>
      <c r="H731" s="102"/>
      <c r="I731" s="102"/>
      <c r="J731" s="102"/>
      <c r="K731" s="102"/>
      <c r="L731" s="102"/>
      <c r="M731" s="3"/>
      <c r="N731" s="3"/>
      <c r="O731" s="3"/>
      <c r="P731" s="3"/>
      <c r="Q731" s="3"/>
    </row>
    <row r="732" spans="3:17">
      <c r="C732" s="119" t="s">
        <v>882</v>
      </c>
      <c r="D732" s="56">
        <v>728</v>
      </c>
      <c r="E732" s="102"/>
      <c r="F732" s="102"/>
      <c r="G732" s="102"/>
      <c r="H732" s="102"/>
      <c r="I732" s="102"/>
      <c r="J732" s="102"/>
      <c r="K732" s="102"/>
      <c r="L732" s="102"/>
      <c r="M732" s="3"/>
      <c r="N732" s="3"/>
      <c r="O732" s="3"/>
      <c r="P732" s="3"/>
      <c r="Q732" s="3"/>
    </row>
    <row r="733" spans="3:17">
      <c r="C733" s="120" t="s">
        <v>883</v>
      </c>
      <c r="D733" s="56">
        <v>729</v>
      </c>
      <c r="E733" s="102"/>
      <c r="F733" s="102"/>
      <c r="G733" s="102"/>
      <c r="H733" s="102"/>
      <c r="I733" s="102"/>
      <c r="J733" s="102"/>
      <c r="K733" s="102"/>
      <c r="L733" s="102"/>
      <c r="M733" s="3"/>
      <c r="N733" s="3"/>
      <c r="O733" s="3"/>
      <c r="P733" s="3"/>
      <c r="Q733" s="3"/>
    </row>
    <row r="734" spans="3:17">
      <c r="C734" s="120" t="s">
        <v>884</v>
      </c>
      <c r="D734" s="56">
        <v>730</v>
      </c>
      <c r="E734" s="102"/>
      <c r="F734" s="102"/>
      <c r="G734" s="102"/>
      <c r="H734" s="102"/>
      <c r="I734" s="102"/>
      <c r="J734" s="102"/>
      <c r="K734" s="102"/>
      <c r="L734" s="102"/>
      <c r="M734" s="3"/>
      <c r="N734" s="3"/>
      <c r="O734" s="3"/>
      <c r="P734" s="3"/>
      <c r="Q734" s="3"/>
    </row>
    <row r="735" spans="3:17">
      <c r="C735" s="120" t="s">
        <v>885</v>
      </c>
      <c r="D735" s="56">
        <v>731</v>
      </c>
      <c r="E735" s="102"/>
      <c r="F735" s="102"/>
      <c r="G735" s="102"/>
      <c r="H735" s="102"/>
      <c r="I735" s="102"/>
      <c r="J735" s="102"/>
      <c r="K735" s="102"/>
      <c r="L735" s="102"/>
      <c r="M735" s="3"/>
      <c r="N735" s="3"/>
      <c r="O735" s="3"/>
      <c r="P735" s="3"/>
      <c r="Q735" s="3"/>
    </row>
    <row r="736" spans="3:17">
      <c r="C736" s="119" t="s">
        <v>886</v>
      </c>
      <c r="D736" s="56">
        <v>732</v>
      </c>
      <c r="E736" s="102"/>
      <c r="F736" s="102"/>
      <c r="G736" s="102"/>
      <c r="H736" s="102"/>
      <c r="I736" s="102"/>
      <c r="J736" s="102"/>
      <c r="K736" s="102"/>
      <c r="L736" s="102"/>
      <c r="M736" s="3"/>
      <c r="N736" s="3"/>
      <c r="O736" s="3"/>
      <c r="P736" s="3"/>
      <c r="Q736" s="3"/>
    </row>
    <row r="737" spans="3:17">
      <c r="C737" s="119" t="s">
        <v>887</v>
      </c>
      <c r="D737" s="56">
        <v>733</v>
      </c>
      <c r="E737" s="102"/>
      <c r="F737" s="102"/>
      <c r="G737" s="102"/>
      <c r="H737" s="102"/>
      <c r="I737" s="102"/>
      <c r="J737" s="102"/>
      <c r="K737" s="102"/>
      <c r="L737" s="102"/>
      <c r="M737" s="3"/>
      <c r="N737" s="3"/>
      <c r="O737" s="3"/>
      <c r="P737" s="3"/>
      <c r="Q737" s="3"/>
    </row>
    <row r="738" spans="3:17">
      <c r="C738" s="119" t="s">
        <v>888</v>
      </c>
      <c r="D738" s="56">
        <v>734</v>
      </c>
      <c r="E738" s="102"/>
      <c r="F738" s="102"/>
      <c r="G738" s="102"/>
      <c r="H738" s="102"/>
      <c r="I738" s="102"/>
      <c r="J738" s="102"/>
      <c r="K738" s="102"/>
      <c r="L738" s="102"/>
      <c r="M738" s="3"/>
      <c r="N738" s="3"/>
      <c r="O738" s="3"/>
      <c r="P738" s="3"/>
      <c r="Q738" s="3"/>
    </row>
    <row r="739" spans="3:17">
      <c r="C739" s="119" t="s">
        <v>889</v>
      </c>
      <c r="D739" s="56">
        <v>735</v>
      </c>
      <c r="E739" s="102"/>
      <c r="F739" s="102"/>
      <c r="G739" s="102"/>
      <c r="H739" s="102"/>
      <c r="I739" s="102"/>
      <c r="J739" s="102"/>
      <c r="K739" s="102"/>
      <c r="L739" s="102"/>
      <c r="M739" s="3"/>
      <c r="N739" s="3"/>
      <c r="O739" s="3"/>
      <c r="P739" s="3"/>
      <c r="Q739" s="3"/>
    </row>
    <row r="740" spans="3:17">
      <c r="C740" s="120" t="s">
        <v>890</v>
      </c>
      <c r="D740" s="56">
        <v>736</v>
      </c>
      <c r="E740" s="102"/>
      <c r="F740" s="102"/>
      <c r="G740" s="102"/>
      <c r="H740" s="102"/>
      <c r="I740" s="102"/>
      <c r="J740" s="102"/>
      <c r="K740" s="102"/>
      <c r="L740" s="102"/>
      <c r="M740" s="3"/>
      <c r="N740" s="3"/>
      <c r="O740" s="3"/>
      <c r="P740" s="3"/>
      <c r="Q740" s="3"/>
    </row>
    <row r="741" spans="3:17">
      <c r="C741" s="120" t="s">
        <v>891</v>
      </c>
      <c r="D741" s="56">
        <v>737</v>
      </c>
      <c r="E741" s="102"/>
      <c r="F741" s="102"/>
      <c r="G741" s="102"/>
      <c r="H741" s="102"/>
      <c r="I741" s="102"/>
      <c r="J741" s="102"/>
      <c r="K741" s="102"/>
      <c r="L741" s="102"/>
      <c r="M741" s="3"/>
      <c r="N741" s="3"/>
      <c r="O741" s="3"/>
      <c r="P741" s="3"/>
      <c r="Q741" s="3"/>
    </row>
    <row r="742" spans="3:17">
      <c r="C742" s="120" t="s">
        <v>1239</v>
      </c>
      <c r="D742" s="56">
        <v>738</v>
      </c>
      <c r="E742" s="102"/>
      <c r="F742" s="102"/>
      <c r="G742" s="102"/>
      <c r="H742" s="102"/>
      <c r="I742" s="102"/>
      <c r="J742" s="102"/>
      <c r="K742" s="102"/>
      <c r="L742" s="102"/>
      <c r="M742" s="3"/>
      <c r="N742" s="3"/>
      <c r="O742" s="3"/>
      <c r="P742" s="3"/>
      <c r="Q742" s="3"/>
    </row>
    <row r="743" spans="3:17">
      <c r="C743" s="119" t="s">
        <v>892</v>
      </c>
      <c r="D743" s="56">
        <v>739</v>
      </c>
      <c r="E743" s="102"/>
      <c r="F743" s="102"/>
      <c r="G743" s="102"/>
      <c r="H743" s="102"/>
      <c r="I743" s="102"/>
      <c r="J743" s="102"/>
      <c r="K743" s="102"/>
      <c r="L743" s="102"/>
      <c r="M743" s="3"/>
      <c r="N743" s="3"/>
      <c r="O743" s="3"/>
      <c r="P743" s="3"/>
      <c r="Q743" s="3"/>
    </row>
    <row r="744" spans="3:17">
      <c r="C744" s="120" t="s">
        <v>893</v>
      </c>
      <c r="D744" s="56">
        <v>740</v>
      </c>
      <c r="E744" s="102"/>
      <c r="F744" s="102"/>
      <c r="G744" s="102"/>
      <c r="H744" s="102"/>
      <c r="I744" s="102"/>
      <c r="J744" s="102"/>
      <c r="K744" s="102"/>
      <c r="L744" s="102"/>
      <c r="M744" s="3"/>
      <c r="N744" s="3"/>
      <c r="O744" s="3"/>
      <c r="P744" s="3"/>
      <c r="Q744" s="3"/>
    </row>
    <row r="745" spans="3:17">
      <c r="C745" s="120" t="s">
        <v>894</v>
      </c>
      <c r="D745" s="56">
        <v>741</v>
      </c>
      <c r="E745" s="102"/>
      <c r="F745" s="102"/>
      <c r="G745" s="102"/>
      <c r="H745" s="102"/>
      <c r="I745" s="102"/>
      <c r="J745" s="102"/>
      <c r="K745" s="102"/>
      <c r="L745" s="102"/>
      <c r="M745" s="3"/>
      <c r="N745" s="3"/>
      <c r="O745" s="3"/>
      <c r="P745" s="3"/>
      <c r="Q745" s="3"/>
    </row>
    <row r="746" spans="3:17">
      <c r="C746" s="120" t="s">
        <v>895</v>
      </c>
      <c r="D746" s="56">
        <v>742</v>
      </c>
      <c r="E746" s="102"/>
      <c r="F746" s="102"/>
      <c r="G746" s="102"/>
      <c r="H746" s="102"/>
      <c r="I746" s="102"/>
      <c r="J746" s="102"/>
      <c r="K746" s="102"/>
      <c r="L746" s="102"/>
      <c r="M746" s="3"/>
      <c r="N746" s="3"/>
      <c r="O746" s="3"/>
      <c r="P746" s="3"/>
      <c r="Q746" s="3"/>
    </row>
    <row r="747" spans="3:17">
      <c r="C747" s="120" t="s">
        <v>896</v>
      </c>
      <c r="D747" s="56">
        <v>743</v>
      </c>
      <c r="E747" s="102"/>
      <c r="F747" s="102"/>
      <c r="G747" s="102"/>
      <c r="H747" s="102"/>
      <c r="I747" s="102"/>
      <c r="J747" s="102"/>
      <c r="K747" s="102"/>
      <c r="L747" s="102"/>
      <c r="M747" s="3"/>
      <c r="N747" s="3"/>
      <c r="O747" s="3"/>
      <c r="P747" s="3"/>
      <c r="Q747" s="3"/>
    </row>
    <row r="748" spans="3:17">
      <c r="C748" s="120" t="s">
        <v>897</v>
      </c>
      <c r="D748" s="56">
        <v>744</v>
      </c>
      <c r="E748" s="102"/>
      <c r="F748" s="102"/>
      <c r="G748" s="102"/>
      <c r="H748" s="102"/>
      <c r="I748" s="102"/>
      <c r="J748" s="102"/>
      <c r="K748" s="102"/>
      <c r="L748" s="102"/>
      <c r="M748" s="3"/>
      <c r="N748" s="3"/>
      <c r="O748" s="3"/>
      <c r="P748" s="3"/>
      <c r="Q748" s="3"/>
    </row>
    <row r="749" spans="3:17">
      <c r="C749" s="120" t="s">
        <v>898</v>
      </c>
      <c r="D749" s="56">
        <v>745</v>
      </c>
      <c r="E749" s="102"/>
      <c r="F749" s="102"/>
      <c r="G749" s="102"/>
      <c r="H749" s="102"/>
      <c r="I749" s="102"/>
      <c r="J749" s="102"/>
      <c r="K749" s="102"/>
      <c r="L749" s="102"/>
      <c r="M749" s="3"/>
      <c r="N749" s="3"/>
      <c r="O749" s="3"/>
      <c r="P749" s="3"/>
      <c r="Q749" s="3"/>
    </row>
    <row r="750" spans="3:17">
      <c r="C750" s="120" t="s">
        <v>899</v>
      </c>
      <c r="D750" s="56">
        <v>746</v>
      </c>
      <c r="E750" s="102"/>
      <c r="F750" s="102"/>
      <c r="G750" s="102"/>
      <c r="H750" s="102"/>
      <c r="I750" s="102"/>
      <c r="J750" s="102"/>
      <c r="K750" s="102"/>
      <c r="L750" s="102"/>
      <c r="M750" s="3"/>
      <c r="N750" s="3"/>
      <c r="O750" s="3"/>
      <c r="P750" s="3"/>
      <c r="Q750" s="3"/>
    </row>
    <row r="751" spans="3:17">
      <c r="C751" s="120" t="s">
        <v>900</v>
      </c>
      <c r="D751" s="56">
        <v>747</v>
      </c>
      <c r="E751" s="102"/>
      <c r="F751" s="102"/>
      <c r="G751" s="102"/>
      <c r="H751" s="102"/>
      <c r="I751" s="102"/>
      <c r="J751" s="102"/>
      <c r="K751" s="102"/>
      <c r="L751" s="102"/>
      <c r="M751" s="3"/>
      <c r="N751" s="3"/>
      <c r="O751" s="3"/>
      <c r="P751" s="3"/>
      <c r="Q751" s="3"/>
    </row>
    <row r="752" spans="3:17">
      <c r="C752" s="120" t="s">
        <v>901</v>
      </c>
      <c r="D752" s="56">
        <v>748</v>
      </c>
      <c r="E752" s="102"/>
      <c r="F752" s="102"/>
      <c r="G752" s="102"/>
      <c r="H752" s="102"/>
      <c r="I752" s="102"/>
      <c r="J752" s="102"/>
      <c r="K752" s="102"/>
      <c r="L752" s="102"/>
      <c r="M752" s="3"/>
      <c r="N752" s="3"/>
      <c r="O752" s="3"/>
      <c r="P752" s="3"/>
      <c r="Q752" s="3"/>
    </row>
    <row r="753" spans="3:17">
      <c r="C753" s="120" t="s">
        <v>902</v>
      </c>
      <c r="D753" s="56">
        <v>749</v>
      </c>
      <c r="E753" s="102"/>
      <c r="F753" s="102"/>
      <c r="G753" s="102"/>
      <c r="H753" s="102"/>
      <c r="I753" s="102"/>
      <c r="J753" s="102"/>
      <c r="K753" s="102"/>
      <c r="L753" s="102"/>
      <c r="M753" s="3"/>
      <c r="N753" s="3"/>
      <c r="O753" s="3"/>
      <c r="P753" s="3"/>
      <c r="Q753" s="3"/>
    </row>
    <row r="754" spans="3:17">
      <c r="C754" s="120" t="s">
        <v>903</v>
      </c>
      <c r="D754" s="56">
        <v>750</v>
      </c>
      <c r="E754" s="102"/>
      <c r="F754" s="102"/>
      <c r="G754" s="102"/>
      <c r="H754" s="102"/>
      <c r="I754" s="102"/>
      <c r="J754" s="102"/>
      <c r="K754" s="102"/>
      <c r="L754" s="102"/>
      <c r="M754" s="3"/>
      <c r="N754" s="3"/>
      <c r="O754" s="3"/>
      <c r="P754" s="3"/>
      <c r="Q754" s="3"/>
    </row>
    <row r="755" spans="3:17">
      <c r="C755" s="120" t="s">
        <v>904</v>
      </c>
      <c r="D755" s="56">
        <v>751</v>
      </c>
      <c r="E755" s="102"/>
      <c r="F755" s="102"/>
      <c r="G755" s="102"/>
      <c r="H755" s="102"/>
      <c r="I755" s="102"/>
      <c r="J755" s="102"/>
      <c r="K755" s="102"/>
      <c r="L755" s="102"/>
      <c r="M755" s="3"/>
      <c r="N755" s="3"/>
      <c r="O755" s="3"/>
      <c r="P755" s="3"/>
      <c r="Q755" s="3"/>
    </row>
    <row r="756" spans="3:17">
      <c r="C756" s="120" t="s">
        <v>905</v>
      </c>
      <c r="D756" s="56">
        <v>752</v>
      </c>
      <c r="E756" s="102"/>
      <c r="F756" s="102"/>
      <c r="G756" s="102"/>
      <c r="H756" s="102"/>
      <c r="I756" s="102"/>
      <c r="J756" s="102"/>
      <c r="K756" s="102"/>
      <c r="L756" s="102"/>
      <c r="M756" s="3"/>
      <c r="N756" s="3"/>
      <c r="O756" s="3"/>
      <c r="P756" s="3"/>
      <c r="Q756" s="3"/>
    </row>
    <row r="757" spans="3:17">
      <c r="C757" s="120" t="s">
        <v>906</v>
      </c>
      <c r="D757" s="56">
        <v>753</v>
      </c>
      <c r="E757" s="102"/>
      <c r="F757" s="102"/>
      <c r="G757" s="102"/>
      <c r="H757" s="102"/>
      <c r="I757" s="102"/>
      <c r="J757" s="102"/>
      <c r="K757" s="102"/>
      <c r="L757" s="102"/>
      <c r="M757" s="3"/>
      <c r="N757" s="3"/>
      <c r="O757" s="3"/>
      <c r="P757" s="3"/>
      <c r="Q757" s="3"/>
    </row>
    <row r="758" spans="3:17">
      <c r="C758" s="120" t="s">
        <v>907</v>
      </c>
      <c r="D758" s="56">
        <v>754</v>
      </c>
      <c r="E758" s="102"/>
      <c r="F758" s="102"/>
      <c r="G758" s="102"/>
      <c r="H758" s="102"/>
      <c r="I758" s="102"/>
      <c r="J758" s="102"/>
      <c r="K758" s="102"/>
      <c r="L758" s="102"/>
      <c r="M758" s="3"/>
      <c r="N758" s="3"/>
      <c r="O758" s="3"/>
      <c r="P758" s="3"/>
      <c r="Q758" s="3"/>
    </row>
    <row r="759" spans="3:17">
      <c r="C759" s="120" t="s">
        <v>908</v>
      </c>
      <c r="D759" s="56">
        <v>755</v>
      </c>
      <c r="E759" s="102"/>
      <c r="F759" s="102"/>
      <c r="G759" s="102"/>
      <c r="H759" s="102"/>
      <c r="I759" s="102"/>
      <c r="J759" s="102"/>
      <c r="K759" s="102"/>
      <c r="L759" s="102"/>
      <c r="M759" s="3"/>
      <c r="N759" s="3"/>
      <c r="O759" s="3"/>
      <c r="P759" s="3"/>
      <c r="Q759" s="3"/>
    </row>
    <row r="760" spans="3:17">
      <c r="C760" s="120" t="s">
        <v>909</v>
      </c>
      <c r="D760" s="56">
        <v>756</v>
      </c>
      <c r="E760" s="102"/>
      <c r="F760" s="102"/>
      <c r="G760" s="102"/>
      <c r="H760" s="102"/>
      <c r="I760" s="102"/>
      <c r="J760" s="102"/>
      <c r="K760" s="102"/>
      <c r="L760" s="102"/>
      <c r="M760" s="3"/>
      <c r="N760" s="3"/>
      <c r="O760" s="3"/>
      <c r="P760" s="3"/>
      <c r="Q760" s="3"/>
    </row>
    <row r="761" spans="3:17">
      <c r="C761" s="120" t="s">
        <v>910</v>
      </c>
      <c r="D761" s="56">
        <v>757</v>
      </c>
      <c r="E761" s="102"/>
      <c r="F761" s="102"/>
      <c r="G761" s="102"/>
      <c r="H761" s="102"/>
      <c r="I761" s="102"/>
      <c r="J761" s="102"/>
      <c r="K761" s="102"/>
      <c r="L761" s="102"/>
      <c r="M761" s="3"/>
      <c r="N761" s="3"/>
      <c r="O761" s="3"/>
      <c r="P761" s="3"/>
      <c r="Q761" s="3"/>
    </row>
    <row r="762" spans="3:17">
      <c r="C762" s="120" t="s">
        <v>911</v>
      </c>
      <c r="D762" s="56">
        <v>758</v>
      </c>
      <c r="E762" s="102"/>
      <c r="F762" s="102"/>
      <c r="G762" s="102"/>
      <c r="H762" s="102"/>
      <c r="I762" s="102"/>
      <c r="J762" s="102"/>
      <c r="K762" s="102"/>
      <c r="L762" s="102"/>
      <c r="M762" s="3"/>
      <c r="N762" s="3"/>
      <c r="O762" s="3"/>
      <c r="P762" s="3"/>
      <c r="Q762" s="3"/>
    </row>
    <row r="763" spans="3:17">
      <c r="C763" s="120" t="s">
        <v>912</v>
      </c>
      <c r="D763" s="56">
        <v>759</v>
      </c>
      <c r="E763" s="102"/>
      <c r="F763" s="102"/>
      <c r="G763" s="102"/>
      <c r="H763" s="102"/>
      <c r="I763" s="102"/>
      <c r="J763" s="102"/>
      <c r="K763" s="102"/>
      <c r="L763" s="102"/>
      <c r="M763" s="3"/>
      <c r="N763" s="3"/>
      <c r="O763" s="3"/>
      <c r="P763" s="3"/>
      <c r="Q763" s="3"/>
    </row>
    <row r="764" spans="3:17">
      <c r="C764" s="120" t="s">
        <v>913</v>
      </c>
      <c r="D764" s="56">
        <v>760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3:17">
      <c r="C765" s="120" t="s">
        <v>914</v>
      </c>
      <c r="D765" s="56">
        <v>761</v>
      </c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3:17">
      <c r="C766" s="120" t="s">
        <v>915</v>
      </c>
      <c r="D766" s="56">
        <v>762</v>
      </c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3:17">
      <c r="C767" s="120" t="s">
        <v>916</v>
      </c>
      <c r="D767" s="56">
        <v>763</v>
      </c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3:17">
      <c r="C768" s="120" t="s">
        <v>917</v>
      </c>
      <c r="D768" s="56">
        <v>764</v>
      </c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3:17">
      <c r="C769" s="120" t="s">
        <v>918</v>
      </c>
      <c r="D769" s="56">
        <v>765</v>
      </c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3:17">
      <c r="C770" s="120" t="s">
        <v>919</v>
      </c>
      <c r="D770" s="56">
        <v>766</v>
      </c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3:17">
      <c r="C771" s="120" t="s">
        <v>920</v>
      </c>
      <c r="D771" s="56">
        <v>767</v>
      </c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3:17">
      <c r="C772" s="120" t="s">
        <v>921</v>
      </c>
      <c r="D772" s="56">
        <v>768</v>
      </c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3:17">
      <c r="C773" s="120" t="s">
        <v>922</v>
      </c>
      <c r="D773" s="56">
        <v>769</v>
      </c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3:17">
      <c r="C774" s="120" t="s">
        <v>923</v>
      </c>
      <c r="D774" s="56">
        <v>770</v>
      </c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3:17">
      <c r="C775" s="120" t="s">
        <v>924</v>
      </c>
      <c r="D775" s="56">
        <v>771</v>
      </c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3:17">
      <c r="C776" s="120" t="s">
        <v>925</v>
      </c>
      <c r="D776" s="56">
        <v>772</v>
      </c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3:17">
      <c r="C777" s="120" t="s">
        <v>926</v>
      </c>
      <c r="D777" s="56">
        <v>773</v>
      </c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3:17">
      <c r="C778" s="120" t="s">
        <v>927</v>
      </c>
      <c r="D778" s="56">
        <v>774</v>
      </c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3:17">
      <c r="C779" s="120" t="s">
        <v>928</v>
      </c>
      <c r="D779" s="56">
        <v>775</v>
      </c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3:17">
      <c r="C780" s="120" t="s">
        <v>929</v>
      </c>
      <c r="D780" s="56">
        <v>776</v>
      </c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3:17">
      <c r="C781" s="120" t="s">
        <v>930</v>
      </c>
      <c r="D781" s="56">
        <v>777</v>
      </c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3:17">
      <c r="C782" s="120" t="s">
        <v>931</v>
      </c>
      <c r="D782" s="56">
        <v>778</v>
      </c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3:17">
      <c r="C783" s="120" t="s">
        <v>932</v>
      </c>
      <c r="D783" s="56">
        <v>779</v>
      </c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3:17">
      <c r="C784" s="120" t="s">
        <v>933</v>
      </c>
      <c r="D784" s="56">
        <v>780</v>
      </c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3:17">
      <c r="C785" s="120" t="s">
        <v>934</v>
      </c>
      <c r="D785" s="56">
        <v>781</v>
      </c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3:17">
      <c r="C786" s="120" t="s">
        <v>935</v>
      </c>
      <c r="D786" s="56">
        <v>782</v>
      </c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3:17">
      <c r="C787" s="120" t="s">
        <v>936</v>
      </c>
      <c r="D787" s="56">
        <v>783</v>
      </c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3:17">
      <c r="C788" s="120" t="s">
        <v>937</v>
      </c>
      <c r="D788" s="56">
        <v>784</v>
      </c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3:17">
      <c r="C789" s="120" t="s">
        <v>938</v>
      </c>
      <c r="D789" s="56">
        <v>785</v>
      </c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3:17">
      <c r="C790" s="120" t="s">
        <v>939</v>
      </c>
      <c r="D790" s="56">
        <v>786</v>
      </c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3:17">
      <c r="C791" s="120" t="s">
        <v>940</v>
      </c>
      <c r="D791" s="56">
        <v>787</v>
      </c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3:17">
      <c r="C792" s="120" t="s">
        <v>941</v>
      </c>
      <c r="D792" s="56">
        <v>788</v>
      </c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3:17">
      <c r="C793" s="120" t="s">
        <v>942</v>
      </c>
      <c r="D793" s="56">
        <v>789</v>
      </c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3:17">
      <c r="C794" s="120" t="s">
        <v>943</v>
      </c>
      <c r="D794" s="56">
        <v>790</v>
      </c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3:17">
      <c r="C795" s="120" t="s">
        <v>944</v>
      </c>
      <c r="D795" s="56">
        <v>791</v>
      </c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3:17">
      <c r="C796" s="120" t="s">
        <v>945</v>
      </c>
      <c r="D796" s="56">
        <v>792</v>
      </c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3:17">
      <c r="C797" s="120" t="s">
        <v>946</v>
      </c>
      <c r="D797" s="56">
        <v>793</v>
      </c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3:17">
      <c r="C798" s="120" t="s">
        <v>947</v>
      </c>
      <c r="D798" s="56">
        <v>794</v>
      </c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3:17">
      <c r="C799" s="120" t="s">
        <v>948</v>
      </c>
      <c r="D799" s="56">
        <v>795</v>
      </c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3:17">
      <c r="C800" s="120" t="s">
        <v>949</v>
      </c>
      <c r="D800" s="56">
        <v>796</v>
      </c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3:17">
      <c r="C801" s="120" t="s">
        <v>950</v>
      </c>
      <c r="D801" s="56">
        <v>797</v>
      </c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3:17">
      <c r="C802" s="120" t="s">
        <v>951</v>
      </c>
      <c r="D802" s="56">
        <v>798</v>
      </c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3:17">
      <c r="C803" s="120" t="s">
        <v>952</v>
      </c>
      <c r="D803" s="56">
        <v>799</v>
      </c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3:17">
      <c r="C804" s="120" t="s">
        <v>953</v>
      </c>
      <c r="D804" s="56">
        <v>800</v>
      </c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3:17">
      <c r="C805" s="120" t="s">
        <v>954</v>
      </c>
      <c r="D805" s="56">
        <v>801</v>
      </c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3:17">
      <c r="C806" s="120" t="s">
        <v>955</v>
      </c>
      <c r="D806" s="56">
        <v>802</v>
      </c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3:17">
      <c r="C807" s="120" t="s">
        <v>956</v>
      </c>
      <c r="D807" s="56">
        <v>803</v>
      </c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3:17">
      <c r="C808" s="120" t="s">
        <v>957</v>
      </c>
      <c r="D808" s="56">
        <v>804</v>
      </c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3:17">
      <c r="C809" s="120" t="s">
        <v>958</v>
      </c>
      <c r="D809" s="56">
        <v>805</v>
      </c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3:17">
      <c r="C810" s="120" t="s">
        <v>959</v>
      </c>
      <c r="D810" s="56">
        <v>806</v>
      </c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3:17">
      <c r="C811" s="120" t="s">
        <v>960</v>
      </c>
      <c r="D811" s="56">
        <v>807</v>
      </c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3:17">
      <c r="C812" s="120" t="s">
        <v>961</v>
      </c>
      <c r="D812" s="56">
        <v>808</v>
      </c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3:17">
      <c r="C813" s="120" t="s">
        <v>962</v>
      </c>
      <c r="D813" s="56">
        <v>809</v>
      </c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3:17">
      <c r="C814" s="120" t="s">
        <v>963</v>
      </c>
      <c r="D814" s="56">
        <v>810</v>
      </c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3:17">
      <c r="C815" s="120" t="s">
        <v>964</v>
      </c>
      <c r="D815" s="56">
        <v>811</v>
      </c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3:17">
      <c r="C816" s="120" t="s">
        <v>965</v>
      </c>
      <c r="D816" s="56">
        <v>812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3:17">
      <c r="C817" s="120" t="s">
        <v>966</v>
      </c>
      <c r="D817" s="56">
        <v>813</v>
      </c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3:17">
      <c r="C818" s="120" t="s">
        <v>967</v>
      </c>
      <c r="D818" s="56">
        <v>814</v>
      </c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3:17">
      <c r="C819" s="120" t="s">
        <v>968</v>
      </c>
      <c r="D819" s="56">
        <v>815</v>
      </c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3:17">
      <c r="C820" s="120" t="s">
        <v>969</v>
      </c>
      <c r="D820" s="56">
        <v>816</v>
      </c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3:17">
      <c r="C821" s="120" t="s">
        <v>970</v>
      </c>
      <c r="D821" s="56">
        <v>817</v>
      </c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3:17">
      <c r="C822" s="120" t="s">
        <v>971</v>
      </c>
      <c r="D822" s="56">
        <v>818</v>
      </c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3:17">
      <c r="C823" s="120" t="s">
        <v>972</v>
      </c>
      <c r="D823" s="56">
        <v>819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3:17">
      <c r="C824" s="120" t="s">
        <v>973</v>
      </c>
      <c r="D824" s="56">
        <v>820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3:17">
      <c r="C825" s="120" t="s">
        <v>974</v>
      </c>
      <c r="D825" s="56">
        <v>821</v>
      </c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3:17">
      <c r="C826" s="120" t="s">
        <v>975</v>
      </c>
      <c r="D826" s="56">
        <v>822</v>
      </c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3:17">
      <c r="C827" s="120" t="s">
        <v>976</v>
      </c>
      <c r="D827" s="56">
        <v>823</v>
      </c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3:17">
      <c r="C828" s="120" t="s">
        <v>977</v>
      </c>
      <c r="D828" s="56">
        <v>824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3:17">
      <c r="C829" s="120" t="s">
        <v>978</v>
      </c>
      <c r="D829" s="56">
        <v>825</v>
      </c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3:17">
      <c r="C830" s="120" t="s">
        <v>979</v>
      </c>
      <c r="D830" s="56">
        <v>826</v>
      </c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3:17">
      <c r="C831" s="120" t="s">
        <v>980</v>
      </c>
      <c r="D831" s="56">
        <v>827</v>
      </c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3:17">
      <c r="C832" s="120" t="s">
        <v>981</v>
      </c>
      <c r="D832" s="56">
        <v>828</v>
      </c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3:17">
      <c r="C833" s="120" t="s">
        <v>982</v>
      </c>
      <c r="D833" s="56">
        <v>829</v>
      </c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3:17">
      <c r="C834" s="120" t="s">
        <v>983</v>
      </c>
      <c r="D834" s="56">
        <v>830</v>
      </c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3:17">
      <c r="C835" s="120" t="s">
        <v>984</v>
      </c>
      <c r="D835" s="56">
        <v>831</v>
      </c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3:17">
      <c r="C836" s="120" t="s">
        <v>985</v>
      </c>
      <c r="D836" s="56">
        <v>832</v>
      </c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3:17">
      <c r="C837" s="120" t="s">
        <v>986</v>
      </c>
      <c r="D837" s="56">
        <v>833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3:17">
      <c r="C838" s="120" t="s">
        <v>987</v>
      </c>
      <c r="D838" s="56">
        <v>834</v>
      </c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3:17">
      <c r="C839" s="120" t="s">
        <v>988</v>
      </c>
      <c r="D839" s="56">
        <v>835</v>
      </c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3:17">
      <c r="C840" s="120" t="s">
        <v>989</v>
      </c>
      <c r="D840" s="56">
        <v>836</v>
      </c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3:17">
      <c r="C841" s="120" t="s">
        <v>990</v>
      </c>
      <c r="D841" s="56">
        <v>837</v>
      </c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3:17">
      <c r="C842" s="120" t="s">
        <v>991</v>
      </c>
      <c r="D842" s="56">
        <v>838</v>
      </c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3:17">
      <c r="C843" s="120" t="s">
        <v>992</v>
      </c>
      <c r="D843" s="56">
        <v>839</v>
      </c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3:17">
      <c r="C844" s="120" t="s">
        <v>993</v>
      </c>
      <c r="D844" s="56">
        <v>840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3:17">
      <c r="C845" s="120" t="s">
        <v>994</v>
      </c>
      <c r="D845" s="56">
        <v>841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3:17">
      <c r="C846" s="120" t="s">
        <v>995</v>
      </c>
      <c r="D846" s="56">
        <v>842</v>
      </c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3:17">
      <c r="C847" s="120" t="s">
        <v>996</v>
      </c>
      <c r="D847" s="56">
        <v>843</v>
      </c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3:17">
      <c r="C848" s="120" t="s">
        <v>997</v>
      </c>
      <c r="D848" s="56">
        <v>844</v>
      </c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3:17">
      <c r="C849" s="120" t="s">
        <v>998</v>
      </c>
      <c r="D849" s="56">
        <v>845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3:17">
      <c r="C850" s="120" t="s">
        <v>999</v>
      </c>
      <c r="D850" s="56">
        <v>846</v>
      </c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3:17">
      <c r="C851" s="120" t="s">
        <v>1000</v>
      </c>
      <c r="D851" s="56">
        <v>847</v>
      </c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3:17">
      <c r="C852" s="120" t="s">
        <v>1001</v>
      </c>
      <c r="D852" s="56">
        <v>848</v>
      </c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3:17">
      <c r="C853" s="120" t="s">
        <v>1002</v>
      </c>
      <c r="D853" s="56">
        <v>849</v>
      </c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3:17">
      <c r="C854" s="120" t="s">
        <v>1003</v>
      </c>
      <c r="D854" s="56">
        <v>850</v>
      </c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3:17">
      <c r="C855" s="120" t="s">
        <v>1004</v>
      </c>
      <c r="D855" s="56">
        <v>851</v>
      </c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3:17">
      <c r="C856" s="120" t="s">
        <v>1005</v>
      </c>
      <c r="D856" s="56">
        <v>852</v>
      </c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3:17">
      <c r="C857" s="120" t="s">
        <v>1006</v>
      </c>
      <c r="D857" s="56">
        <v>853</v>
      </c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3:17">
      <c r="C858" s="120" t="s">
        <v>1007</v>
      </c>
      <c r="D858" s="56">
        <v>854</v>
      </c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3:17">
      <c r="C859" s="120" t="s">
        <v>1008</v>
      </c>
      <c r="D859" s="56">
        <v>855</v>
      </c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3:17">
      <c r="C860" s="120" t="s">
        <v>1009</v>
      </c>
      <c r="D860" s="56">
        <v>856</v>
      </c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3:17">
      <c r="C861" s="120" t="s">
        <v>1010</v>
      </c>
      <c r="D861" s="56">
        <v>857</v>
      </c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3:17">
      <c r="C862" s="120" t="s">
        <v>1011</v>
      </c>
      <c r="D862" s="56">
        <v>858</v>
      </c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3:17">
      <c r="C863" s="120" t="s">
        <v>1012</v>
      </c>
      <c r="D863" s="56">
        <v>859</v>
      </c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3:17">
      <c r="C864" s="120" t="s">
        <v>1013</v>
      </c>
      <c r="D864" s="56">
        <v>860</v>
      </c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3:17">
      <c r="C865" s="120" t="s">
        <v>1014</v>
      </c>
      <c r="D865" s="56">
        <v>861</v>
      </c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3:17">
      <c r="C866" s="120" t="s">
        <v>1015</v>
      </c>
      <c r="D866" s="56">
        <v>862</v>
      </c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3:17">
      <c r="C867" s="120" t="s">
        <v>1016</v>
      </c>
      <c r="D867" s="56">
        <v>863</v>
      </c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3:17">
      <c r="C868" s="120" t="s">
        <v>1017</v>
      </c>
      <c r="D868" s="56">
        <v>864</v>
      </c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3:17">
      <c r="C869" s="120" t="s">
        <v>1018</v>
      </c>
      <c r="D869" s="56">
        <v>865</v>
      </c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3:17">
      <c r="C870" s="120" t="s">
        <v>1019</v>
      </c>
      <c r="D870" s="56">
        <v>866</v>
      </c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3:17">
      <c r="C871" s="120" t="s">
        <v>1020</v>
      </c>
      <c r="D871" s="56">
        <v>867</v>
      </c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3:17">
      <c r="C872" s="120" t="s">
        <v>1021</v>
      </c>
      <c r="D872" s="56">
        <v>868</v>
      </c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3:17">
      <c r="C873" s="120" t="s">
        <v>1022</v>
      </c>
      <c r="D873" s="56">
        <v>869</v>
      </c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3:17">
      <c r="C874" s="120" t="s">
        <v>1023</v>
      </c>
      <c r="D874" s="56">
        <v>870</v>
      </c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3:17">
      <c r="C875" s="120" t="s">
        <v>1024</v>
      </c>
      <c r="D875" s="56">
        <v>871</v>
      </c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3:17">
      <c r="C876" s="120" t="s">
        <v>1025</v>
      </c>
      <c r="D876" s="56">
        <v>872</v>
      </c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3:17">
      <c r="C877" s="120" t="s">
        <v>1026</v>
      </c>
      <c r="D877" s="56">
        <v>873</v>
      </c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3:17">
      <c r="C878" s="119" t="s">
        <v>1027</v>
      </c>
      <c r="D878" s="56">
        <v>874</v>
      </c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3:17">
      <c r="C879" s="119" t="s">
        <v>1028</v>
      </c>
      <c r="D879" s="56">
        <v>875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3:17">
      <c r="C880" s="120" t="s">
        <v>1029</v>
      </c>
      <c r="D880" s="56">
        <v>876</v>
      </c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3:17">
      <c r="C881" s="119" t="s">
        <v>1030</v>
      </c>
      <c r="D881" s="56">
        <v>877</v>
      </c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3:17">
      <c r="C882" s="119" t="s">
        <v>1031</v>
      </c>
      <c r="D882" s="56">
        <v>878</v>
      </c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3:17">
      <c r="C883" s="120" t="s">
        <v>1032</v>
      </c>
      <c r="D883" s="56">
        <v>879</v>
      </c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3:17">
      <c r="C884" s="120" t="s">
        <v>1033</v>
      </c>
      <c r="D884" s="56">
        <v>880</v>
      </c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3:17">
      <c r="C885" s="119" t="s">
        <v>1034</v>
      </c>
      <c r="D885" s="56">
        <v>881</v>
      </c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3:17">
      <c r="C886" s="120" t="s">
        <v>1035</v>
      </c>
      <c r="D886" s="56">
        <v>882</v>
      </c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3:17">
      <c r="C887" s="119" t="s">
        <v>1036</v>
      </c>
      <c r="D887" s="56">
        <v>883</v>
      </c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3:17">
      <c r="C888" s="120" t="s">
        <v>1037</v>
      </c>
      <c r="D888" s="56">
        <v>884</v>
      </c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3:17">
      <c r="C889" s="119" t="s">
        <v>1038</v>
      </c>
      <c r="D889" s="56">
        <v>885</v>
      </c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3:17">
      <c r="C890" s="120" t="s">
        <v>1039</v>
      </c>
      <c r="D890" s="56">
        <v>886</v>
      </c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3:17">
      <c r="C891" s="120" t="s">
        <v>1040</v>
      </c>
      <c r="D891" s="56">
        <v>887</v>
      </c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3:17">
      <c r="C892" s="120" t="s">
        <v>1041</v>
      </c>
      <c r="D892" s="56">
        <v>888</v>
      </c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3:17">
      <c r="C893" s="120" t="s">
        <v>1042</v>
      </c>
      <c r="D893" s="56">
        <v>889</v>
      </c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3:17">
      <c r="C894" s="120" t="s">
        <v>1043</v>
      </c>
      <c r="D894" s="56">
        <v>890</v>
      </c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3:17">
      <c r="C895" s="119" t="s">
        <v>1044</v>
      </c>
      <c r="D895" s="56">
        <v>891</v>
      </c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3:17">
      <c r="C896" s="119" t="s">
        <v>1045</v>
      </c>
      <c r="D896" s="56">
        <v>892</v>
      </c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3:17">
      <c r="C897" s="120" t="s">
        <v>1046</v>
      </c>
      <c r="D897" s="56">
        <v>893</v>
      </c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3:17">
      <c r="C898" s="120" t="s">
        <v>1047</v>
      </c>
      <c r="D898" s="56">
        <v>894</v>
      </c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3:17">
      <c r="C899" s="120" t="s">
        <v>1048</v>
      </c>
      <c r="D899" s="56">
        <v>895</v>
      </c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3:17">
      <c r="C900" s="119" t="s">
        <v>1049</v>
      </c>
      <c r="D900" s="56">
        <v>896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3:17">
      <c r="C901" s="120" t="s">
        <v>1050</v>
      </c>
      <c r="D901" s="56">
        <v>897</v>
      </c>
      <c r="E901" s="102"/>
      <c r="F901" s="10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3:17">
      <c r="C902" s="119" t="s">
        <v>1051</v>
      </c>
      <c r="D902" s="56">
        <v>898</v>
      </c>
      <c r="E902" s="102"/>
      <c r="F902" s="10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3:17">
      <c r="C903" s="119" t="s">
        <v>1052</v>
      </c>
      <c r="D903" s="56">
        <v>899</v>
      </c>
      <c r="E903" s="102"/>
      <c r="F903" s="10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3:17">
      <c r="C904" s="119" t="s">
        <v>1053</v>
      </c>
      <c r="D904" s="56">
        <v>900</v>
      </c>
      <c r="E904" s="102"/>
      <c r="F904" s="10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3:17">
      <c r="C905" s="120" t="s">
        <v>1054</v>
      </c>
      <c r="D905" s="56">
        <v>901</v>
      </c>
      <c r="E905" s="102"/>
      <c r="F905" s="10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3:17">
      <c r="C906" s="120" t="s">
        <v>1055</v>
      </c>
      <c r="D906" s="56">
        <v>902</v>
      </c>
      <c r="E906" s="102"/>
      <c r="F906" s="10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3:17">
      <c r="C907" s="119" t="s">
        <v>1056</v>
      </c>
      <c r="D907" s="56">
        <v>903</v>
      </c>
      <c r="E907" s="102"/>
      <c r="F907" s="10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3:17">
      <c r="C908" s="120" t="s">
        <v>1057</v>
      </c>
      <c r="D908" s="56">
        <v>904</v>
      </c>
      <c r="E908" s="102"/>
      <c r="F908" s="10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3:17">
      <c r="C909" s="119" t="s">
        <v>1058</v>
      </c>
      <c r="D909" s="56">
        <v>905</v>
      </c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3:17">
      <c r="C910" s="120" t="s">
        <v>1059</v>
      </c>
      <c r="D910" s="56">
        <v>906</v>
      </c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3:17">
      <c r="C911" s="120" t="s">
        <v>1060</v>
      </c>
      <c r="D911" s="56">
        <v>907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3:17">
      <c r="C912" s="120" t="s">
        <v>1061</v>
      </c>
      <c r="D912" s="56">
        <v>908</v>
      </c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3:17">
      <c r="C913" s="120" t="s">
        <v>1062</v>
      </c>
      <c r="D913" s="56">
        <v>909</v>
      </c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3:17">
      <c r="C914" s="120" t="s">
        <v>1063</v>
      </c>
      <c r="D914" s="56">
        <v>910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3:17">
      <c r="C915" s="120" t="s">
        <v>1064</v>
      </c>
      <c r="D915" s="56">
        <v>911</v>
      </c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3:17">
      <c r="C916" s="120" t="s">
        <v>1065</v>
      </c>
      <c r="D916" s="56">
        <v>912</v>
      </c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3:17">
      <c r="C917" s="120" t="s">
        <v>1066</v>
      </c>
      <c r="D917" s="56">
        <v>913</v>
      </c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3:17">
      <c r="C918" s="120" t="s">
        <v>1067</v>
      </c>
      <c r="D918" s="56">
        <v>914</v>
      </c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3:17">
      <c r="C919" s="120" t="s">
        <v>1068</v>
      </c>
      <c r="D919" s="56">
        <v>915</v>
      </c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3:17">
      <c r="C920" s="120" t="s">
        <v>1069</v>
      </c>
      <c r="D920" s="56">
        <v>916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3:17">
      <c r="C921" s="120" t="s">
        <v>1070</v>
      </c>
      <c r="D921" s="56">
        <v>917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3:17">
      <c r="C922" s="119" t="s">
        <v>1071</v>
      </c>
      <c r="D922" s="56">
        <v>918</v>
      </c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3:17">
      <c r="C923" s="120" t="s">
        <v>1072</v>
      </c>
      <c r="D923" s="56">
        <v>919</v>
      </c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3:17">
      <c r="C924" s="119" t="s">
        <v>1073</v>
      </c>
      <c r="D924" s="56">
        <v>920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3:17">
      <c r="C925" s="120" t="s">
        <v>1074</v>
      </c>
      <c r="D925" s="56">
        <v>921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3:17">
      <c r="C926" s="119" t="s">
        <v>1075</v>
      </c>
      <c r="D926" s="56">
        <v>922</v>
      </c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3:17">
      <c r="C927" s="119" t="s">
        <v>1076</v>
      </c>
      <c r="D927" s="56">
        <v>923</v>
      </c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3:17">
      <c r="C928" s="120" t="s">
        <v>1077</v>
      </c>
      <c r="D928" s="56">
        <v>924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3:17">
      <c r="C929" s="119" t="s">
        <v>1078</v>
      </c>
      <c r="D929" s="56">
        <v>925</v>
      </c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3:17">
      <c r="C930" s="120" t="s">
        <v>1079</v>
      </c>
      <c r="D930" s="56">
        <v>926</v>
      </c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3:17">
      <c r="C931" s="119" t="s">
        <v>1080</v>
      </c>
      <c r="D931" s="56">
        <v>927</v>
      </c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3:17">
      <c r="C932" s="120" t="s">
        <v>1081</v>
      </c>
      <c r="D932" s="56">
        <v>928</v>
      </c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3:17">
      <c r="C933" s="120" t="s">
        <v>1082</v>
      </c>
      <c r="D933" s="56">
        <v>929</v>
      </c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3:17">
      <c r="C934" s="120" t="s">
        <v>1083</v>
      </c>
      <c r="D934" s="56">
        <v>930</v>
      </c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3:17">
      <c r="C935" s="119" t="s">
        <v>1084</v>
      </c>
      <c r="D935" s="56">
        <v>931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3:17">
      <c r="C936" s="120" t="s">
        <v>1085</v>
      </c>
      <c r="D936" s="56">
        <v>932</v>
      </c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3:17">
      <c r="C937" s="120" t="s">
        <v>1086</v>
      </c>
      <c r="D937" s="56">
        <v>933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3:17">
      <c r="C938" s="120" t="s">
        <v>1087</v>
      </c>
      <c r="D938" s="56">
        <v>934</v>
      </c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3:17">
      <c r="C939" s="120" t="s">
        <v>1088</v>
      </c>
      <c r="D939" s="56">
        <v>935</v>
      </c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3:17">
      <c r="C940" s="119" t="s">
        <v>1089</v>
      </c>
      <c r="D940" s="56">
        <v>936</v>
      </c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3:17">
      <c r="C941" s="120" t="s">
        <v>1090</v>
      </c>
      <c r="D941" s="56">
        <v>937</v>
      </c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3:17">
      <c r="C942" s="120" t="s">
        <v>1091</v>
      </c>
      <c r="D942" s="56">
        <v>938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3:17">
      <c r="C943" s="120" t="s">
        <v>1092</v>
      </c>
      <c r="D943" s="56">
        <v>939</v>
      </c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3:17">
      <c r="C944" s="119" t="s">
        <v>1093</v>
      </c>
      <c r="D944" s="56">
        <v>940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3:17">
      <c r="C945" s="119" t="s">
        <v>1094</v>
      </c>
      <c r="D945" s="56">
        <v>941</v>
      </c>
      <c r="E945" s="102"/>
      <c r="F945" s="10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3:17">
      <c r="C946" s="119" t="s">
        <v>1095</v>
      </c>
      <c r="D946" s="56">
        <v>942</v>
      </c>
      <c r="E946" s="102"/>
      <c r="F946" s="10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3:17">
      <c r="C947" s="120" t="s">
        <v>1096</v>
      </c>
      <c r="D947" s="56">
        <v>943</v>
      </c>
      <c r="E947" s="102"/>
      <c r="F947" s="10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3:17">
      <c r="C948" s="119" t="s">
        <v>1097</v>
      </c>
      <c r="D948" s="56">
        <v>944</v>
      </c>
      <c r="E948" s="102"/>
      <c r="F948" s="10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3:17">
      <c r="C949" s="120" t="s">
        <v>1098</v>
      </c>
      <c r="D949" s="56">
        <v>945</v>
      </c>
      <c r="E949" s="102"/>
      <c r="F949" s="10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3:17">
      <c r="C950" s="120" t="s">
        <v>1099</v>
      </c>
      <c r="D950" s="56">
        <v>946</v>
      </c>
      <c r="E950" s="102"/>
      <c r="F950" s="10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3:17">
      <c r="C951" s="119" t="s">
        <v>1100</v>
      </c>
      <c r="D951" s="56">
        <v>947</v>
      </c>
      <c r="E951" s="102"/>
      <c r="F951" s="10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3:17">
      <c r="C952" s="119" t="s">
        <v>1101</v>
      </c>
      <c r="D952" s="56">
        <v>948</v>
      </c>
      <c r="E952" s="102"/>
      <c r="F952" s="10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3:17">
      <c r="C953" s="120" t="s">
        <v>1102</v>
      </c>
      <c r="D953" s="56">
        <v>949</v>
      </c>
      <c r="E953" s="102"/>
      <c r="F953" s="10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3:17">
      <c r="C954" s="120" t="s">
        <v>1103</v>
      </c>
      <c r="D954" s="56">
        <v>950</v>
      </c>
      <c r="E954" s="102"/>
      <c r="F954" s="10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3:17">
      <c r="C955" s="120" t="s">
        <v>1104</v>
      </c>
      <c r="D955" s="56">
        <v>951</v>
      </c>
      <c r="E955" s="102"/>
      <c r="F955" s="10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3:17">
      <c r="C956" s="119" t="s">
        <v>1105</v>
      </c>
      <c r="D956" s="56">
        <v>952</v>
      </c>
      <c r="E956" s="102"/>
      <c r="F956" s="10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3:17">
      <c r="C957" s="119" t="s">
        <v>1106</v>
      </c>
      <c r="D957" s="56">
        <v>953</v>
      </c>
      <c r="E957" s="102"/>
      <c r="F957" s="10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3:17">
      <c r="C958" s="119" t="s">
        <v>1107</v>
      </c>
      <c r="D958" s="56">
        <v>954</v>
      </c>
      <c r="E958" s="102"/>
      <c r="F958" s="10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3:17">
      <c r="C959" s="119" t="s">
        <v>1108</v>
      </c>
      <c r="D959" s="56">
        <v>955</v>
      </c>
      <c r="E959" s="102"/>
      <c r="F959" s="10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3:17">
      <c r="C960" s="119" t="s">
        <v>1109</v>
      </c>
      <c r="D960" s="56">
        <v>956</v>
      </c>
      <c r="E960" s="102"/>
      <c r="F960" s="10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3:17">
      <c r="C961" s="120" t="s">
        <v>1110</v>
      </c>
      <c r="D961" s="56">
        <v>957</v>
      </c>
      <c r="E961" s="102"/>
      <c r="F961" s="10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3:17">
      <c r="C962" s="119" t="s">
        <v>1111</v>
      </c>
      <c r="D962" s="56">
        <v>958</v>
      </c>
      <c r="E962" s="102"/>
      <c r="F962" s="10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3:17">
      <c r="C963" s="119" t="s">
        <v>1112</v>
      </c>
      <c r="D963" s="56">
        <v>959</v>
      </c>
      <c r="E963" s="102"/>
      <c r="F963" s="10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3:17">
      <c r="C964" s="119" t="s">
        <v>1113</v>
      </c>
      <c r="D964" s="56">
        <v>960</v>
      </c>
      <c r="E964" s="102"/>
      <c r="F964" s="10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3:17">
      <c r="C965" s="119" t="s">
        <v>1114</v>
      </c>
      <c r="D965" s="56">
        <v>961</v>
      </c>
      <c r="E965" s="102"/>
      <c r="F965" s="10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3:17">
      <c r="C966" s="119" t="s">
        <v>1115</v>
      </c>
      <c r="D966" s="56">
        <v>962</v>
      </c>
      <c r="E966" s="102"/>
      <c r="F966" s="10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3:17">
      <c r="C967" s="119" t="s">
        <v>1116</v>
      </c>
      <c r="D967" s="56">
        <v>963</v>
      </c>
      <c r="E967" s="102"/>
      <c r="F967" s="10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3:17">
      <c r="C968" s="120" t="s">
        <v>1117</v>
      </c>
      <c r="D968" s="56">
        <v>964</v>
      </c>
      <c r="E968" s="102"/>
      <c r="F968" s="10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3:17">
      <c r="C969" s="119" t="s">
        <v>1118</v>
      </c>
      <c r="D969" s="56">
        <v>965</v>
      </c>
      <c r="E969" s="102"/>
      <c r="F969" s="10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3:17">
      <c r="C970" s="119" t="s">
        <v>1119</v>
      </c>
      <c r="D970" s="56">
        <v>966</v>
      </c>
      <c r="E970" s="102"/>
      <c r="F970" s="10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3:17">
      <c r="C971" s="120" t="s">
        <v>1120</v>
      </c>
      <c r="D971" s="56">
        <v>967</v>
      </c>
      <c r="E971" s="102"/>
      <c r="F971" s="10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3:17">
      <c r="C972" s="119" t="s">
        <v>1121</v>
      </c>
      <c r="D972" s="56">
        <v>968</v>
      </c>
      <c r="E972" s="102"/>
      <c r="F972" s="10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3:17">
      <c r="C973" s="119" t="s">
        <v>1122</v>
      </c>
      <c r="D973" s="56">
        <v>969</v>
      </c>
      <c r="E973" s="102"/>
      <c r="F973" s="10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3:17">
      <c r="C974" s="120" t="s">
        <v>1123</v>
      </c>
      <c r="D974" s="56">
        <v>970</v>
      </c>
      <c r="E974" s="102"/>
      <c r="F974" s="10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3:17">
      <c r="C975" s="120" t="s">
        <v>1124</v>
      </c>
      <c r="D975" s="56">
        <v>971</v>
      </c>
      <c r="E975" s="102"/>
      <c r="F975" s="10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3:17">
      <c r="C976" s="119" t="s">
        <v>1125</v>
      </c>
      <c r="D976" s="56">
        <v>972</v>
      </c>
      <c r="E976" s="102"/>
      <c r="F976" s="10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3:17">
      <c r="C977" s="119" t="s">
        <v>1126</v>
      </c>
      <c r="D977" s="56">
        <v>973</v>
      </c>
      <c r="E977" s="102"/>
      <c r="F977" s="10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3:17">
      <c r="C978" s="120" t="s">
        <v>1127</v>
      </c>
      <c r="D978" s="56">
        <v>974</v>
      </c>
      <c r="E978" s="102"/>
      <c r="F978" s="10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3:17">
      <c r="C979" s="120" t="s">
        <v>1128</v>
      </c>
      <c r="D979" s="56">
        <v>975</v>
      </c>
      <c r="E979" s="102"/>
      <c r="F979" s="10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3:17">
      <c r="C980" s="119" t="s">
        <v>1129</v>
      </c>
      <c r="D980" s="56">
        <v>976</v>
      </c>
      <c r="E980" s="102"/>
      <c r="F980" s="10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3:17">
      <c r="C981" s="119" t="s">
        <v>1130</v>
      </c>
      <c r="D981" s="56">
        <v>977</v>
      </c>
      <c r="E981" s="102"/>
      <c r="F981" s="10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3:17">
      <c r="C982" s="120" t="s">
        <v>1131</v>
      </c>
      <c r="D982" s="56">
        <v>978</v>
      </c>
      <c r="E982" s="102"/>
      <c r="F982" s="10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3:17">
      <c r="C983" s="120" t="s">
        <v>1132</v>
      </c>
      <c r="D983" s="56">
        <v>979</v>
      </c>
      <c r="E983" s="102"/>
      <c r="F983" s="10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3:17">
      <c r="C984" s="119" t="s">
        <v>1133</v>
      </c>
      <c r="D984" s="56">
        <v>980</v>
      </c>
      <c r="E984" s="102"/>
      <c r="F984" s="10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3:17">
      <c r="C985" s="119" t="s">
        <v>1134</v>
      </c>
      <c r="D985" s="56">
        <v>981</v>
      </c>
      <c r="E985" s="102"/>
      <c r="F985" s="10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3:17">
      <c r="C986" s="120" t="s">
        <v>1135</v>
      </c>
      <c r="D986" s="56">
        <v>982</v>
      </c>
      <c r="E986" s="102"/>
      <c r="F986" s="10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3:17">
      <c r="C987" s="119" t="s">
        <v>1136</v>
      </c>
      <c r="D987" s="56">
        <v>983</v>
      </c>
      <c r="E987" s="102"/>
      <c r="F987" s="10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3:17">
      <c r="C988" s="120" t="s">
        <v>1137</v>
      </c>
      <c r="D988" s="56">
        <v>984</v>
      </c>
      <c r="E988" s="102"/>
      <c r="F988" s="10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3:17">
      <c r="C989" s="119" t="s">
        <v>1138</v>
      </c>
      <c r="D989" s="56">
        <v>985</v>
      </c>
      <c r="E989" s="102"/>
      <c r="F989" s="10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3:17">
      <c r="C990" s="119" t="s">
        <v>1139</v>
      </c>
      <c r="D990" s="56">
        <v>986</v>
      </c>
      <c r="E990" s="102"/>
      <c r="F990" s="10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3:17">
      <c r="C991" s="119" t="s">
        <v>1140</v>
      </c>
      <c r="D991" s="56">
        <v>987</v>
      </c>
      <c r="E991" s="102"/>
      <c r="F991" s="10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3:17">
      <c r="C992" s="119" t="s">
        <v>1141</v>
      </c>
      <c r="D992" s="56">
        <v>988</v>
      </c>
      <c r="E992" s="102"/>
      <c r="F992" s="10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3:17">
      <c r="C993" s="119" t="s">
        <v>1142</v>
      </c>
      <c r="D993" s="56">
        <v>989</v>
      </c>
      <c r="E993" s="102"/>
      <c r="F993" s="10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3:17">
      <c r="C994" s="119" t="s">
        <v>1143</v>
      </c>
      <c r="D994" s="56">
        <v>990</v>
      </c>
      <c r="E994" s="102"/>
      <c r="F994" s="10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3:17">
      <c r="C995" s="120" t="s">
        <v>1144</v>
      </c>
      <c r="D995" s="56">
        <v>991</v>
      </c>
      <c r="E995" s="102"/>
      <c r="F995" s="10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3:17">
      <c r="C996" s="119" t="s">
        <v>1145</v>
      </c>
      <c r="D996" s="56">
        <v>992</v>
      </c>
      <c r="E996" s="102"/>
      <c r="F996" s="10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3:17">
      <c r="C997" s="120" t="s">
        <v>1146</v>
      </c>
      <c r="D997" s="56">
        <v>993</v>
      </c>
      <c r="E997" s="102"/>
      <c r="F997" s="10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3:17">
      <c r="C998" s="119" t="s">
        <v>1147</v>
      </c>
      <c r="D998" s="56">
        <v>994</v>
      </c>
      <c r="E998" s="102"/>
      <c r="F998" s="10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3:17">
      <c r="C999" s="119" t="s">
        <v>1148</v>
      </c>
      <c r="D999" s="56">
        <v>995</v>
      </c>
      <c r="E999" s="102"/>
      <c r="F999" s="10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3:17">
      <c r="C1000" s="119" t="s">
        <v>1149</v>
      </c>
      <c r="D1000" s="56">
        <v>996</v>
      </c>
      <c r="E1000" s="102"/>
      <c r="F1000" s="10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spans="3:17">
      <c r="C1001" s="119" t="s">
        <v>1150</v>
      </c>
      <c r="D1001" s="56">
        <v>997</v>
      </c>
      <c r="E1001" s="102"/>
      <c r="F1001" s="102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  <row r="1002" spans="3:17">
      <c r="C1002" s="119" t="s">
        <v>1151</v>
      </c>
      <c r="D1002" s="56">
        <v>998</v>
      </c>
      <c r="E1002" s="102"/>
      <c r="F1002" s="102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</row>
    <row r="1003" spans="3:17">
      <c r="C1003" s="120" t="s">
        <v>1152</v>
      </c>
      <c r="D1003" s="56">
        <v>999</v>
      </c>
      <c r="E1003" s="102"/>
      <c r="F1003" s="102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</row>
    <row r="1004" spans="3:17">
      <c r="C1004" s="119" t="s">
        <v>1153</v>
      </c>
      <c r="D1004" s="56">
        <v>1000</v>
      </c>
      <c r="E1004" s="102"/>
      <c r="F1004" s="102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</row>
    <row r="1005" spans="3:17">
      <c r="C1005" s="120" t="s">
        <v>1154</v>
      </c>
      <c r="D1005" s="56">
        <v>1001</v>
      </c>
      <c r="E1005" s="102"/>
      <c r="F1005" s="102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</row>
    <row r="1006" spans="3:17">
      <c r="C1006" s="120" t="s">
        <v>1155</v>
      </c>
      <c r="D1006" s="56">
        <v>1002</v>
      </c>
      <c r="E1006" s="102"/>
      <c r="F1006" s="102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</row>
    <row r="1007" spans="3:17">
      <c r="C1007" s="119" t="s">
        <v>1156</v>
      </c>
      <c r="D1007" s="56">
        <v>1003</v>
      </c>
      <c r="E1007" s="102"/>
      <c r="F1007" s="102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</row>
    <row r="1008" spans="3:17">
      <c r="C1008" s="119" t="s">
        <v>1157</v>
      </c>
      <c r="D1008" s="56">
        <v>1004</v>
      </c>
      <c r="E1008" s="102"/>
      <c r="F1008" s="102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</row>
    <row r="1009" spans="3:17">
      <c r="C1009" s="119" t="s">
        <v>1158</v>
      </c>
      <c r="D1009" s="56">
        <v>1005</v>
      </c>
      <c r="E1009" s="102"/>
      <c r="F1009" s="102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</row>
    <row r="1010" spans="3:17">
      <c r="C1010" s="119" t="s">
        <v>1159</v>
      </c>
      <c r="D1010" s="56">
        <v>1006</v>
      </c>
      <c r="E1010" s="102"/>
      <c r="F1010" s="102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</row>
    <row r="1011" spans="3:17">
      <c r="C1011" s="119" t="s">
        <v>1160</v>
      </c>
      <c r="D1011" s="56">
        <v>1007</v>
      </c>
      <c r="E1011" s="102"/>
      <c r="F1011" s="102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</row>
    <row r="1012" spans="3:17">
      <c r="C1012" s="119" t="s">
        <v>1161</v>
      </c>
      <c r="D1012" s="56">
        <v>1008</v>
      </c>
      <c r="E1012" s="102"/>
      <c r="F1012" s="102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</row>
    <row r="1013" spans="3:17">
      <c r="C1013" s="120" t="s">
        <v>1162</v>
      </c>
      <c r="D1013" s="56">
        <v>1009</v>
      </c>
      <c r="E1013" s="102"/>
      <c r="F1013" s="102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</row>
    <row r="1014" spans="3:17">
      <c r="C1014" s="119" t="s">
        <v>1163</v>
      </c>
      <c r="D1014" s="56">
        <v>1010</v>
      </c>
      <c r="E1014" s="102"/>
      <c r="F1014" s="102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</row>
    <row r="1015" spans="3:17">
      <c r="C1015" s="119" t="s">
        <v>1164</v>
      </c>
      <c r="D1015" s="56">
        <v>1011</v>
      </c>
      <c r="E1015" s="102"/>
      <c r="F1015" s="102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</row>
    <row r="1016" spans="3:17">
      <c r="C1016" s="119" t="s">
        <v>1165</v>
      </c>
      <c r="D1016" s="56">
        <v>1012</v>
      </c>
      <c r="E1016" s="102"/>
      <c r="F1016" s="102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</row>
    <row r="1017" spans="3:17">
      <c r="C1017" s="119" t="s">
        <v>1166</v>
      </c>
      <c r="D1017" s="56">
        <v>1013</v>
      </c>
      <c r="E1017" s="102"/>
      <c r="F1017" s="102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</row>
    <row r="1018" spans="3:17">
      <c r="C1018" s="119" t="s">
        <v>1167</v>
      </c>
      <c r="D1018" s="56">
        <v>1014</v>
      </c>
      <c r="E1018" s="102"/>
      <c r="F1018" s="102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</row>
    <row r="1019" spans="3:17">
      <c r="C1019" s="120" t="s">
        <v>1168</v>
      </c>
      <c r="D1019" s="56">
        <v>1015</v>
      </c>
      <c r="E1019" s="102"/>
      <c r="F1019" s="102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</row>
    <row r="1020" spans="3:17">
      <c r="C1020" s="119" t="s">
        <v>1169</v>
      </c>
      <c r="D1020" s="56">
        <v>1016</v>
      </c>
      <c r="E1020" s="102"/>
      <c r="F1020" s="102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</row>
    <row r="1021" spans="3:17">
      <c r="C1021" s="120" t="s">
        <v>1170</v>
      </c>
      <c r="D1021" s="56">
        <v>1017</v>
      </c>
      <c r="E1021" s="102"/>
      <c r="F1021" s="102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</row>
    <row r="1022" spans="3:17">
      <c r="C1022" s="120" t="s">
        <v>1171</v>
      </c>
      <c r="D1022" s="56">
        <v>1018</v>
      </c>
      <c r="E1022" s="102"/>
      <c r="F1022" s="102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</row>
    <row r="1023" spans="3:17">
      <c r="C1023" s="119" t="s">
        <v>1172</v>
      </c>
      <c r="D1023" s="56">
        <v>1019</v>
      </c>
      <c r="E1023" s="102"/>
      <c r="F1023" s="102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</row>
    <row r="1024" spans="3:17">
      <c r="C1024" s="119" t="s">
        <v>1240</v>
      </c>
      <c r="D1024" s="56">
        <v>1020</v>
      </c>
      <c r="E1024" s="102"/>
      <c r="F1024" s="102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</row>
    <row r="1025" spans="3:17">
      <c r="C1025" s="120" t="s">
        <v>1173</v>
      </c>
      <c r="D1025" s="56">
        <v>1021</v>
      </c>
      <c r="E1025" s="102"/>
      <c r="F1025" s="102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</row>
    <row r="1026" spans="3:17">
      <c r="C1026" s="120" t="s">
        <v>1174</v>
      </c>
      <c r="D1026" s="56">
        <v>1022</v>
      </c>
      <c r="E1026" s="102"/>
      <c r="F1026" s="102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</row>
    <row r="1027" spans="3:17">
      <c r="C1027" s="120" t="s">
        <v>1241</v>
      </c>
      <c r="D1027" s="56">
        <v>1023</v>
      </c>
      <c r="E1027" s="102"/>
      <c r="F1027" s="102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</row>
    <row r="1028" spans="3:17">
      <c r="C1028" s="119" t="s">
        <v>1242</v>
      </c>
      <c r="D1028" s="56">
        <v>1024</v>
      </c>
      <c r="E1028" s="102"/>
      <c r="F1028" s="102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</row>
    <row r="1029" spans="3:17">
      <c r="C1029" s="119" t="s">
        <v>1243</v>
      </c>
      <c r="D1029" s="56">
        <v>1025</v>
      </c>
      <c r="E1029" s="102"/>
      <c r="F1029" s="102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</row>
    <row r="1030" spans="3:17">
      <c r="C1030" s="119" t="s">
        <v>1244</v>
      </c>
      <c r="D1030" s="56">
        <v>1026</v>
      </c>
      <c r="E1030" s="102"/>
      <c r="F1030" s="102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</row>
    <row r="1031" spans="3:17">
      <c r="C1031" s="119" t="s">
        <v>1245</v>
      </c>
      <c r="D1031" s="56">
        <v>1027</v>
      </c>
      <c r="E1031" s="102"/>
      <c r="F1031" s="102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</row>
    <row r="1032" spans="3:17">
      <c r="C1032" s="119" t="s">
        <v>1175</v>
      </c>
      <c r="D1032" s="56">
        <v>1028</v>
      </c>
      <c r="E1032" s="102"/>
      <c r="F1032" s="102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</row>
    <row r="1033" spans="3:17">
      <c r="C1033" s="119" t="s">
        <v>1176</v>
      </c>
      <c r="D1033" s="56">
        <v>1029</v>
      </c>
      <c r="E1033" s="102"/>
      <c r="F1033" s="102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</row>
    <row r="1034" spans="3:17">
      <c r="C1034" s="119" t="s">
        <v>1177</v>
      </c>
      <c r="D1034" s="56">
        <v>1030</v>
      </c>
      <c r="E1034" s="102"/>
      <c r="F1034" s="102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</row>
    <row r="1035" spans="3:17">
      <c r="C1035" s="119" t="s">
        <v>1246</v>
      </c>
      <c r="D1035" s="56">
        <v>1031</v>
      </c>
      <c r="E1035" s="102"/>
      <c r="F1035" s="102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</row>
    <row r="1036" spans="3:17">
      <c r="C1036" s="119" t="s">
        <v>1247</v>
      </c>
      <c r="D1036" s="56">
        <v>1032</v>
      </c>
      <c r="E1036" s="102"/>
      <c r="F1036" s="102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</row>
    <row r="1037" spans="3:17">
      <c r="C1037" s="119" t="s">
        <v>1248</v>
      </c>
      <c r="D1037" s="56">
        <v>1033</v>
      </c>
      <c r="E1037" s="102"/>
      <c r="F1037" s="102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</row>
    <row r="1038" spans="3:17">
      <c r="E1038" s="102"/>
      <c r="F1038" s="102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</row>
    <row r="1039" spans="3:17">
      <c r="E1039" s="102"/>
      <c r="F1039" s="102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</row>
    <row r="1040" spans="3:17">
      <c r="E1040" s="102"/>
      <c r="F1040" s="102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</row>
    <row r="1041" spans="5:17">
      <c r="E1041" s="102"/>
      <c r="F1041" s="102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</row>
    <row r="1042" spans="5:17">
      <c r="E1042" s="102"/>
      <c r="F1042" s="102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</row>
    <row r="1043" spans="5:17">
      <c r="E1043" s="102"/>
      <c r="F1043" s="102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</row>
    <row r="1044" spans="5:17">
      <c r="E1044" s="102"/>
      <c r="F1044" s="102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</row>
    <row r="1045" spans="5:17">
      <c r="E1045" s="102"/>
      <c r="F1045" s="102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</row>
    <row r="1046" spans="5:17">
      <c r="E1046" s="102"/>
      <c r="F1046" s="102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</row>
    <row r="1047" spans="5:17">
      <c r="E1047" s="102"/>
      <c r="F1047" s="102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</row>
    <row r="1048" spans="5:17">
      <c r="E1048" s="102"/>
      <c r="F1048" s="102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</row>
    <row r="1049" spans="5:17">
      <c r="E1049" s="102"/>
      <c r="F1049" s="102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</row>
    <row r="1050" spans="5:17">
      <c r="E1050" s="102"/>
      <c r="F1050" s="102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</row>
    <row r="1051" spans="5:17">
      <c r="E1051" s="102"/>
      <c r="F1051" s="102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</row>
    <row r="1052" spans="5:17">
      <c r="E1052" s="102"/>
      <c r="F1052" s="102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</row>
    <row r="1053" spans="5:17">
      <c r="E1053" s="102"/>
      <c r="F1053" s="102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</row>
    <row r="1054" spans="5:17">
      <c r="E1054" s="102"/>
      <c r="F1054" s="102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</row>
    <row r="1055" spans="5:17">
      <c r="E1055" s="102"/>
      <c r="F1055" s="102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</row>
    <row r="1056" spans="5:17">
      <c r="E1056" s="102"/>
      <c r="F1056" s="102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</row>
    <row r="1057" spans="5:17">
      <c r="E1057" s="102"/>
      <c r="F1057" s="102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</row>
    <row r="1058" spans="5:17">
      <c r="E1058" s="102"/>
      <c r="F1058" s="102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</row>
    <row r="1059" spans="5:17">
      <c r="E1059" s="102"/>
      <c r="F1059" s="102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</row>
    <row r="1060" spans="5:17">
      <c r="E1060" s="102"/>
      <c r="F1060" s="102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</row>
    <row r="1061" spans="5:17">
      <c r="E1061" s="102"/>
      <c r="F1061" s="102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</row>
    <row r="1062" spans="5:17">
      <c r="E1062" s="102"/>
      <c r="F1062" s="102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</row>
    <row r="1063" spans="5:17">
      <c r="E1063" s="102"/>
      <c r="F1063" s="102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</row>
    <row r="1064" spans="5:17">
      <c r="E1064" s="102"/>
      <c r="F1064" s="102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</row>
    <row r="1065" spans="5:17">
      <c r="E1065" s="102"/>
      <c r="F1065" s="102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</row>
    <row r="1066" spans="5:17">
      <c r="E1066" s="102"/>
      <c r="F1066" s="102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</row>
    <row r="1067" spans="5:17">
      <c r="E1067" s="102"/>
      <c r="F1067" s="102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</row>
    <row r="1068" spans="5:17">
      <c r="E1068" s="102"/>
      <c r="F1068" s="102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</row>
    <row r="1069" spans="5:17">
      <c r="E1069" s="102"/>
      <c r="F1069" s="102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</row>
    <row r="1070" spans="5:17">
      <c r="E1070" s="102"/>
      <c r="F1070" s="102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</row>
    <row r="1071" spans="5:17">
      <c r="E1071" s="102"/>
      <c r="F1071" s="102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</row>
    <row r="1072" spans="5:17">
      <c r="E1072" s="102"/>
      <c r="F1072" s="102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</row>
    <row r="1073" spans="5:17">
      <c r="E1073" s="102"/>
      <c r="F1073" s="102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</row>
    <row r="1074" spans="5:17">
      <c r="E1074" s="102"/>
      <c r="F1074" s="102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</row>
    <row r="1075" spans="5:17">
      <c r="E1075" s="102"/>
      <c r="F1075" s="102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</row>
    <row r="1076" spans="5:17">
      <c r="E1076" s="102"/>
      <c r="F1076" s="102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</row>
    <row r="1077" spans="5:17">
      <c r="E1077" s="102"/>
      <c r="F1077" s="102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</row>
    <row r="1078" spans="5:17">
      <c r="E1078" s="102"/>
      <c r="F1078" s="102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</row>
    <row r="1079" spans="5:17">
      <c r="E1079" s="102"/>
      <c r="F1079" s="102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</row>
    <row r="1080" spans="5:17">
      <c r="E1080" s="102"/>
      <c r="F1080" s="102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</row>
    <row r="1081" spans="5:17">
      <c r="E1081" s="102"/>
      <c r="F1081" s="102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</row>
    <row r="1082" spans="5:17">
      <c r="E1082" s="102"/>
      <c r="F1082" s="102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</row>
    <row r="1083" spans="5:17">
      <c r="E1083" s="102"/>
      <c r="F1083" s="102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</row>
    <row r="1084" spans="5:17">
      <c r="E1084" s="102"/>
      <c r="F1084" s="102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</row>
    <row r="1085" spans="5:17">
      <c r="E1085" s="102"/>
      <c r="F1085" s="102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</row>
    <row r="1086" spans="5:17">
      <c r="E1086" s="102"/>
      <c r="F1086" s="102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</row>
    <row r="1087" spans="5:17">
      <c r="E1087" s="102"/>
      <c r="F1087" s="102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</row>
    <row r="1088" spans="5:17">
      <c r="E1088" s="102"/>
      <c r="F1088" s="102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</row>
    <row r="1089" spans="5:17">
      <c r="E1089" s="102"/>
      <c r="F1089" s="102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</row>
    <row r="1090" spans="5:17">
      <c r="E1090" s="102"/>
      <c r="F1090" s="102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</row>
    <row r="1091" spans="5:17">
      <c r="E1091" s="102"/>
      <c r="F1091" s="102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</row>
    <row r="1092" spans="5:17">
      <c r="E1092" s="102"/>
      <c r="F1092" s="102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</row>
    <row r="1093" spans="5:17">
      <c r="E1093" s="102"/>
      <c r="F1093" s="102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</row>
    <row r="1094" spans="5:17">
      <c r="E1094" s="102"/>
      <c r="F1094" s="102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</row>
    <row r="1095" spans="5:17">
      <c r="E1095" s="102"/>
      <c r="F1095" s="102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</row>
    <row r="1096" spans="5:17">
      <c r="E1096" s="102"/>
      <c r="F1096" s="102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</row>
    <row r="1097" spans="5:17">
      <c r="E1097" s="102"/>
      <c r="F1097" s="102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</row>
    <row r="1098" spans="5:17">
      <c r="E1098" s="102"/>
      <c r="F1098" s="102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</row>
    <row r="1099" spans="5:17">
      <c r="E1099" s="102"/>
      <c r="F1099" s="102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</row>
    <row r="1100" spans="5:17">
      <c r="E1100" s="102"/>
      <c r="F1100" s="102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</row>
    <row r="1101" spans="5:17">
      <c r="E1101" s="102"/>
      <c r="F1101" s="102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</row>
    <row r="1102" spans="5:17">
      <c r="E1102" s="102"/>
      <c r="F1102" s="102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</row>
    <row r="1103" spans="5:17">
      <c r="E1103" s="102"/>
      <c r="F1103" s="102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</row>
    <row r="1104" spans="5:17">
      <c r="E1104" s="102"/>
      <c r="F1104" s="102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</row>
    <row r="1105" spans="5:17">
      <c r="E1105" s="102"/>
      <c r="F1105" s="102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</row>
    <row r="1106" spans="5:17">
      <c r="E1106" s="102"/>
      <c r="F1106" s="102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</row>
    <row r="1107" spans="5:17">
      <c r="E1107" s="102"/>
      <c r="F1107" s="102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</row>
    <row r="1108" spans="5:17">
      <c r="E1108" s="102"/>
      <c r="F1108" s="102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</row>
    <row r="1109" spans="5:17">
      <c r="E1109" s="102"/>
      <c r="F1109" s="102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</row>
    <row r="1110" spans="5:17">
      <c r="E1110" s="102"/>
      <c r="F1110" s="102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</row>
    <row r="1111" spans="5:17">
      <c r="E1111" s="102"/>
      <c r="F1111" s="102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</row>
    <row r="1112" spans="5:17">
      <c r="E1112" s="102"/>
      <c r="F1112" s="102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</row>
    <row r="1113" spans="5:17">
      <c r="E1113" s="102"/>
      <c r="F1113" s="102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</row>
    <row r="1114" spans="5:17">
      <c r="E1114" s="102"/>
      <c r="F1114" s="102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</row>
    <row r="1115" spans="5:17">
      <c r="E1115" s="102"/>
      <c r="F1115" s="102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</row>
    <row r="1116" spans="5:17">
      <c r="E1116" s="102"/>
      <c r="F1116" s="102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</row>
    <row r="1117" spans="5:17">
      <c r="E1117" s="102"/>
      <c r="F1117" s="102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</row>
    <row r="1118" spans="5:17">
      <c r="E1118" s="102"/>
      <c r="F1118" s="102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</row>
    <row r="1119" spans="5:17">
      <c r="E1119" s="102"/>
      <c r="F1119" s="102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</row>
    <row r="1120" spans="5:17">
      <c r="E1120" s="102"/>
      <c r="F1120" s="102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</row>
    <row r="1121" spans="5:17">
      <c r="E1121" s="102"/>
      <c r="F1121" s="102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</row>
    <row r="1122" spans="5:17">
      <c r="E1122" s="102"/>
      <c r="F1122" s="102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</row>
    <row r="1123" spans="5:17">
      <c r="E1123" s="102"/>
      <c r="F1123" s="102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</row>
    <row r="1124" spans="5:17">
      <c r="E1124" s="102"/>
      <c r="F1124" s="102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</row>
    <row r="1125" spans="5:17">
      <c r="E1125" s="102"/>
      <c r="F1125" s="102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</row>
    <row r="1126" spans="5:17">
      <c r="E1126" s="102"/>
      <c r="F1126" s="102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</row>
    <row r="1127" spans="5:17">
      <c r="E1127" s="102"/>
      <c r="F1127" s="102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</row>
    <row r="1128" spans="5:17">
      <c r="E1128" s="102"/>
      <c r="F1128" s="102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</row>
    <row r="1129" spans="5:17">
      <c r="E1129" s="102"/>
      <c r="F1129" s="102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</row>
    <row r="1130" spans="5:17">
      <c r="E1130" s="102"/>
      <c r="F1130" s="102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</row>
    <row r="1131" spans="5:17">
      <c r="E1131" s="102"/>
      <c r="F1131" s="102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</row>
    <row r="1132" spans="5:17">
      <c r="E1132" s="102"/>
      <c r="F1132" s="102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</row>
    <row r="1133" spans="5:17">
      <c r="E1133" s="102"/>
      <c r="F1133" s="102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</row>
    <row r="1134" spans="5:17">
      <c r="E1134" s="102"/>
      <c r="F1134" s="102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</row>
    <row r="1135" spans="5:17">
      <c r="E1135" s="102"/>
      <c r="F1135" s="102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</row>
    <row r="1136" spans="5:17">
      <c r="E1136" s="102"/>
      <c r="F1136" s="102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</row>
    <row r="1137" spans="5:17">
      <c r="E1137" s="102"/>
      <c r="F1137" s="102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</row>
    <row r="1138" spans="5:17">
      <c r="E1138" s="102"/>
      <c r="F1138" s="102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</row>
    <row r="1139" spans="5:17">
      <c r="E1139" s="102"/>
      <c r="F1139" s="102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</row>
    <row r="1140" spans="5:17">
      <c r="E1140" s="102"/>
      <c r="F1140" s="102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</row>
    <row r="1141" spans="5:17">
      <c r="E1141" s="102"/>
      <c r="F1141" s="102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</row>
    <row r="1142" spans="5:17">
      <c r="E1142" s="102"/>
      <c r="F1142" s="102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</row>
    <row r="1143" spans="5:17">
      <c r="E1143" s="102"/>
      <c r="F1143" s="102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</row>
    <row r="1144" spans="5:17">
      <c r="E1144" s="102"/>
      <c r="F1144" s="102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</row>
    <row r="1145" spans="5:17">
      <c r="E1145" s="102"/>
      <c r="F1145" s="102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</row>
    <row r="1146" spans="5:17">
      <c r="E1146" s="102"/>
      <c r="F1146" s="102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</row>
    <row r="1147" spans="5:17">
      <c r="E1147" s="102"/>
      <c r="F1147" s="102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</row>
    <row r="1148" spans="5:17">
      <c r="E1148" s="102"/>
      <c r="F1148" s="102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</row>
    <row r="1149" spans="5:17">
      <c r="E1149" s="102"/>
      <c r="F1149" s="102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</row>
    <row r="1150" spans="5:17">
      <c r="E1150" s="102"/>
      <c r="F1150" s="102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</row>
    <row r="1151" spans="5:17">
      <c r="E1151" s="102"/>
      <c r="F1151" s="102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</row>
    <row r="1152" spans="5:17">
      <c r="E1152" s="102"/>
      <c r="F1152" s="102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</row>
    <row r="1153" spans="5:17">
      <c r="E1153" s="102"/>
      <c r="F1153" s="102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</row>
    <row r="1154" spans="5:17">
      <c r="E1154" s="102"/>
      <c r="F1154" s="102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</row>
    <row r="1155" spans="5:17">
      <c r="E1155" s="102"/>
      <c r="F1155" s="102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</row>
    <row r="1156" spans="5:17">
      <c r="E1156" s="102"/>
      <c r="F1156" s="102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</row>
    <row r="1157" spans="5:17">
      <c r="E1157" s="102"/>
      <c r="F1157" s="102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</row>
    <row r="1158" spans="5:17">
      <c r="E1158" s="102"/>
      <c r="F1158" s="102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</row>
    <row r="1159" spans="5:17">
      <c r="E1159" s="102"/>
      <c r="F1159" s="102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</row>
    <row r="1160" spans="5:17">
      <c r="E1160" s="102"/>
      <c r="F1160" s="102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</row>
    <row r="1161" spans="5:17">
      <c r="E1161" s="102"/>
      <c r="F1161" s="102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</row>
    <row r="1162" spans="5:17">
      <c r="E1162" s="102"/>
      <c r="F1162" s="102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</row>
    <row r="1163" spans="5:17">
      <c r="E1163" s="102"/>
      <c r="F1163" s="102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</row>
    <row r="1164" spans="5:17">
      <c r="E1164" s="102"/>
      <c r="F1164" s="102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</row>
    <row r="1165" spans="5:17">
      <c r="E1165" s="102"/>
      <c r="F1165" s="102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</row>
    <row r="1166" spans="5:17">
      <c r="E1166" s="102"/>
      <c r="F1166" s="102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</row>
    <row r="1167" spans="5:17">
      <c r="E1167" s="102"/>
      <c r="F1167" s="102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</row>
    <row r="1168" spans="5:17">
      <c r="E1168" s="102"/>
      <c r="F1168" s="102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</row>
    <row r="1169" spans="5:17">
      <c r="E1169" s="102"/>
      <c r="F1169" s="102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</row>
    <row r="1170" spans="5:17">
      <c r="E1170" s="102"/>
      <c r="F1170" s="102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</row>
    <row r="1171" spans="5:17">
      <c r="E1171" s="102"/>
      <c r="F1171" s="102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</row>
    <row r="1172" spans="5:17">
      <c r="E1172" s="102"/>
      <c r="F1172" s="102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</row>
    <row r="1173" spans="5:17">
      <c r="E1173" s="102"/>
      <c r="F1173" s="102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</row>
    <row r="1174" spans="5:17">
      <c r="E1174" s="102"/>
      <c r="F1174" s="102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</row>
    <row r="1175" spans="5:17">
      <c r="E1175" s="102"/>
      <c r="F1175" s="102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</row>
    <row r="1176" spans="5:17">
      <c r="E1176" s="102"/>
      <c r="F1176" s="102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</row>
    <row r="1177" spans="5:17">
      <c r="E1177" s="102"/>
      <c r="F1177" s="102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</row>
    <row r="1178" spans="5:17">
      <c r="E1178" s="102"/>
      <c r="F1178" s="102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</row>
    <row r="1179" spans="5:17">
      <c r="E1179" s="102"/>
      <c r="F1179" s="102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</row>
    <row r="1180" spans="5:17">
      <c r="E1180" s="102"/>
      <c r="F1180" s="102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</row>
    <row r="1181" spans="5:17">
      <c r="E1181" s="102"/>
      <c r="F1181" s="102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</row>
    <row r="1182" spans="5:17">
      <c r="E1182" s="102"/>
      <c r="F1182" s="102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</row>
    <row r="1183" spans="5:17">
      <c r="E1183" s="102"/>
      <c r="F1183" s="102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</row>
    <row r="1184" spans="5:17">
      <c r="E1184" s="102"/>
      <c r="F1184" s="102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</row>
    <row r="1185" spans="5:17">
      <c r="E1185" s="102"/>
      <c r="F1185" s="102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</row>
    <row r="1186" spans="5:17">
      <c r="E1186" s="102"/>
      <c r="F1186" s="102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</row>
    <row r="1187" spans="5:17">
      <c r="E1187" s="102"/>
      <c r="F1187" s="102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</row>
    <row r="1188" spans="5:17">
      <c r="E1188" s="102"/>
      <c r="F1188" s="102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</row>
    <row r="1189" spans="5:17">
      <c r="E1189" s="102"/>
      <c r="F1189" s="102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</row>
    <row r="1190" spans="5:17">
      <c r="E1190" s="102"/>
      <c r="F1190" s="102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</row>
    <row r="1191" spans="5:17">
      <c r="E1191" s="102"/>
      <c r="F1191" s="102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</row>
    <row r="1192" spans="5:17">
      <c r="E1192" s="102"/>
      <c r="F1192" s="102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</row>
    <row r="1193" spans="5:17">
      <c r="E1193" s="102"/>
      <c r="F1193" s="102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</row>
    <row r="1194" spans="5:17">
      <c r="E1194" s="102"/>
      <c r="F1194" s="102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</row>
    <row r="1195" spans="5:17">
      <c r="E1195" s="102"/>
      <c r="F1195" s="102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</row>
    <row r="1196" spans="5:17">
      <c r="E1196" s="102"/>
      <c r="F1196" s="102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</row>
    <row r="1197" spans="5:17">
      <c r="E1197" s="102"/>
      <c r="F1197" s="102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</row>
    <row r="1198" spans="5:17">
      <c r="E1198" s="102"/>
      <c r="F1198" s="102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</row>
    <row r="1199" spans="5:17">
      <c r="E1199" s="102"/>
      <c r="F1199" s="102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</row>
    <row r="1200" spans="5:17">
      <c r="E1200" s="102"/>
      <c r="F1200" s="102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</row>
    <row r="1201" spans="5:17">
      <c r="E1201" s="102"/>
      <c r="F1201" s="102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</row>
    <row r="1202" spans="5:17">
      <c r="E1202" s="102"/>
      <c r="F1202" s="102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</row>
    <row r="1203" spans="5:17">
      <c r="E1203" s="102"/>
      <c r="F1203" s="102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</row>
    <row r="1204" spans="5:17">
      <c r="E1204" s="102"/>
      <c r="F1204" s="102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</row>
    <row r="1205" spans="5:17">
      <c r="E1205" s="102"/>
      <c r="F1205" s="102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</row>
    <row r="1206" spans="5:17">
      <c r="E1206" s="102"/>
      <c r="F1206" s="102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</row>
    <row r="1207" spans="5:17">
      <c r="E1207" s="102"/>
      <c r="F1207" s="102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</row>
    <row r="1208" spans="5:17">
      <c r="E1208" s="102"/>
      <c r="F1208" s="102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</row>
    <row r="1209" spans="5:17">
      <c r="E1209" s="102"/>
      <c r="F1209" s="102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</row>
    <row r="1210" spans="5:17">
      <c r="E1210" s="102"/>
      <c r="F1210" s="102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</row>
    <row r="1211" spans="5:17">
      <c r="E1211" s="102"/>
      <c r="F1211" s="102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</row>
    <row r="1212" spans="5:17">
      <c r="E1212" s="102"/>
      <c r="F1212" s="102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</row>
    <row r="1213" spans="5:17">
      <c r="E1213" s="102"/>
      <c r="F1213" s="102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</row>
    <row r="1214" spans="5:17">
      <c r="E1214" s="102"/>
      <c r="F1214" s="102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</row>
    <row r="1215" spans="5:17">
      <c r="E1215" s="102"/>
      <c r="F1215" s="102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</row>
    <row r="1216" spans="5:17">
      <c r="E1216" s="102"/>
      <c r="F1216" s="102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</row>
    <row r="1217" spans="5:17">
      <c r="E1217" s="102"/>
      <c r="F1217" s="102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</row>
    <row r="1218" spans="5:17">
      <c r="E1218" s="102"/>
      <c r="F1218" s="102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</row>
    <row r="1219" spans="5:17">
      <c r="E1219" s="102"/>
      <c r="F1219" s="102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</row>
    <row r="1220" spans="5:17">
      <c r="E1220" s="102"/>
      <c r="F1220" s="102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</row>
    <row r="1221" spans="5:17">
      <c r="E1221" s="102"/>
      <c r="F1221" s="102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</row>
    <row r="1222" spans="5:17">
      <c r="E1222" s="102"/>
      <c r="F1222" s="102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</row>
    <row r="1223" spans="5:17">
      <c r="E1223" s="102"/>
      <c r="F1223" s="102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</row>
    <row r="1224" spans="5:17">
      <c r="E1224" s="102"/>
      <c r="F1224" s="102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</row>
    <row r="1225" spans="5:17">
      <c r="E1225" s="102"/>
      <c r="F1225" s="102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</row>
    <row r="1226" spans="5:17">
      <c r="E1226" s="102"/>
      <c r="F1226" s="102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</row>
    <row r="1227" spans="5:17">
      <c r="E1227" s="102"/>
      <c r="F1227" s="102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</row>
    <row r="1228" spans="5:17">
      <c r="E1228" s="102"/>
      <c r="F1228" s="102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</row>
    <row r="1229" spans="5:17">
      <c r="E1229" s="102"/>
      <c r="F1229" s="102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</row>
    <row r="1230" spans="5:17">
      <c r="E1230" s="102"/>
      <c r="F1230" s="102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</row>
    <row r="1231" spans="5:17">
      <c r="E1231" s="102"/>
      <c r="F1231" s="102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</row>
    <row r="1232" spans="5:17">
      <c r="E1232" s="102"/>
      <c r="F1232" s="102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</row>
    <row r="1233" spans="5:17">
      <c r="E1233" s="102"/>
      <c r="F1233" s="102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</row>
    <row r="1234" spans="5:17">
      <c r="E1234" s="102"/>
      <c r="F1234" s="102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</row>
    <row r="1235" spans="5:17">
      <c r="E1235" s="102"/>
      <c r="F1235" s="102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</row>
    <row r="1236" spans="5:17">
      <c r="E1236" s="102"/>
      <c r="F1236" s="102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</row>
    <row r="1237" spans="5:17">
      <c r="E1237" s="102"/>
      <c r="F1237" s="102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</row>
    <row r="1238" spans="5:17">
      <c r="E1238" s="102"/>
      <c r="F1238" s="102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</row>
    <row r="1239" spans="5:17">
      <c r="E1239" s="102"/>
      <c r="F1239" s="102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</row>
    <row r="1240" spans="5:17">
      <c r="E1240" s="102"/>
      <c r="F1240" s="102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</row>
    <row r="1241" spans="5:17">
      <c r="E1241" s="102"/>
      <c r="F1241" s="102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</row>
    <row r="1242" spans="5:17">
      <c r="E1242" s="102"/>
      <c r="F1242" s="102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</row>
    <row r="1243" spans="5:17">
      <c r="E1243" s="102"/>
      <c r="F1243" s="102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</row>
    <row r="1244" spans="5:17">
      <c r="E1244" s="102"/>
      <c r="F1244" s="102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</row>
    <row r="1245" spans="5:17">
      <c r="E1245" s="102"/>
      <c r="F1245" s="102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</row>
    <row r="1246" spans="5:17">
      <c r="E1246" s="102"/>
      <c r="F1246" s="102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</row>
    <row r="1247" spans="5:17">
      <c r="E1247" s="102"/>
      <c r="F1247" s="102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</row>
    <row r="1248" spans="5:17">
      <c r="E1248" s="102"/>
      <c r="F1248" s="102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</row>
    <row r="1249" spans="5:17">
      <c r="E1249" s="102"/>
      <c r="F1249" s="102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</row>
    <row r="1250" spans="5:17">
      <c r="E1250" s="102"/>
      <c r="F1250" s="102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</row>
    <row r="1251" spans="5:17">
      <c r="E1251" s="102"/>
      <c r="F1251" s="102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</row>
    <row r="1252" spans="5:17">
      <c r="E1252" s="102"/>
      <c r="F1252" s="102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</row>
    <row r="1253" spans="5:17">
      <c r="E1253" s="102"/>
      <c r="F1253" s="102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</row>
    <row r="1254" spans="5:17">
      <c r="E1254" s="102"/>
      <c r="F1254" s="102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</row>
    <row r="1255" spans="5:17">
      <c r="E1255" s="102"/>
      <c r="F1255" s="102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</row>
    <row r="1256" spans="5:17">
      <c r="E1256" s="102"/>
      <c r="F1256" s="102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</row>
    <row r="1257" spans="5:17">
      <c r="E1257" s="102"/>
      <c r="F1257" s="102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</row>
    <row r="1258" spans="5:17">
      <c r="E1258" s="102"/>
      <c r="F1258" s="102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</row>
    <row r="1259" spans="5:17">
      <c r="E1259" s="102"/>
      <c r="F1259" s="102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</row>
    <row r="1260" spans="5:17">
      <c r="E1260" s="102"/>
      <c r="F1260" s="102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</row>
    <row r="1261" spans="5:17">
      <c r="E1261" s="102"/>
      <c r="F1261" s="102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</row>
    <row r="1262" spans="5:17">
      <c r="E1262" s="102"/>
      <c r="F1262" s="102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</row>
    <row r="1263" spans="5:17">
      <c r="E1263" s="102"/>
      <c r="F1263" s="102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</row>
    <row r="1264" spans="5:17">
      <c r="E1264" s="102"/>
      <c r="F1264" s="102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</row>
    <row r="1265" spans="5:17">
      <c r="E1265" s="102"/>
      <c r="F1265" s="102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</row>
    <row r="1266" spans="5:17">
      <c r="E1266" s="102"/>
      <c r="F1266" s="102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</row>
    <row r="1267" spans="5:17">
      <c r="E1267" s="102"/>
      <c r="F1267" s="102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</row>
    <row r="1268" spans="5:17">
      <c r="E1268" s="102"/>
      <c r="F1268" s="102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</row>
    <row r="1269" spans="5:17">
      <c r="E1269" s="102"/>
      <c r="F1269" s="102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</row>
    <row r="1270" spans="5:17">
      <c r="E1270" s="102"/>
      <c r="F1270" s="102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</row>
    <row r="1271" spans="5:17">
      <c r="E1271" s="102"/>
      <c r="F1271" s="102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</row>
    <row r="1272" spans="5:17">
      <c r="E1272" s="102"/>
      <c r="F1272" s="102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</row>
    <row r="1273" spans="5:17">
      <c r="E1273" s="102"/>
      <c r="F1273" s="102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</row>
    <row r="1274" spans="5:17">
      <c r="E1274" s="102"/>
      <c r="F1274" s="102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</row>
    <row r="1275" spans="5:17">
      <c r="E1275" s="102"/>
      <c r="F1275" s="102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</row>
    <row r="1276" spans="5:17">
      <c r="E1276" s="102"/>
      <c r="F1276" s="102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</row>
    <row r="1277" spans="5:17">
      <c r="E1277" s="102"/>
      <c r="F1277" s="102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</row>
    <row r="1278" spans="5:17">
      <c r="E1278" s="102"/>
      <c r="F1278" s="102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</row>
    <row r="1279" spans="5:17">
      <c r="E1279" s="102"/>
      <c r="F1279" s="102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</row>
    <row r="1280" spans="5:17">
      <c r="E1280" s="102"/>
      <c r="F1280" s="102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</row>
    <row r="1281" spans="5:17">
      <c r="E1281" s="102"/>
      <c r="F1281" s="102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</row>
    <row r="1282" spans="5:17">
      <c r="E1282" s="102"/>
      <c r="F1282" s="102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</row>
    <row r="1283" spans="5:17">
      <c r="E1283" s="102"/>
      <c r="F1283" s="102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</row>
    <row r="1284" spans="5:17">
      <c r="E1284" s="102"/>
      <c r="F1284" s="102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</row>
    <row r="1285" spans="5:17">
      <c r="E1285" s="102"/>
      <c r="F1285" s="102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</row>
    <row r="1286" spans="5:17">
      <c r="E1286" s="102"/>
      <c r="F1286" s="102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</row>
    <row r="1287" spans="5:17">
      <c r="E1287" s="102"/>
      <c r="F1287" s="102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</row>
    <row r="1288" spans="5:17">
      <c r="E1288" s="102"/>
      <c r="F1288" s="102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</row>
    <row r="1289" spans="5:17">
      <c r="E1289" s="102"/>
      <c r="F1289" s="102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</row>
    <row r="1290" spans="5:17">
      <c r="E1290" s="102"/>
      <c r="F1290" s="102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</row>
    <row r="1291" spans="5:17">
      <c r="E1291" s="102"/>
      <c r="F1291" s="102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</row>
    <row r="1292" spans="5:17">
      <c r="E1292" s="102"/>
      <c r="F1292" s="102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</row>
    <row r="1293" spans="5:17">
      <c r="E1293" s="102"/>
      <c r="F1293" s="102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</row>
    <row r="1294" spans="5:17">
      <c r="E1294" s="102"/>
      <c r="F1294" s="102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</row>
    <row r="1295" spans="5:17">
      <c r="E1295" s="102"/>
      <c r="F1295" s="102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</row>
    <row r="1296" spans="5:17">
      <c r="E1296" s="102"/>
      <c r="F1296" s="102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</row>
    <row r="1297" spans="5:17">
      <c r="E1297" s="102"/>
      <c r="F1297" s="102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</row>
    <row r="1298" spans="5:17">
      <c r="E1298" s="102"/>
      <c r="F1298" s="102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</row>
    <row r="1299" spans="5:17">
      <c r="E1299" s="102"/>
      <c r="F1299" s="102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</row>
    <row r="1300" spans="5:17">
      <c r="E1300" s="102"/>
      <c r="F1300" s="102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</row>
    <row r="1301" spans="5:17">
      <c r="E1301" s="102"/>
      <c r="F1301" s="102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</row>
    <row r="1302" spans="5:17">
      <c r="E1302" s="102"/>
      <c r="F1302" s="102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</row>
    <row r="1303" spans="5:17">
      <c r="E1303" s="102"/>
      <c r="F1303" s="102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</row>
    <row r="1304" spans="5:17">
      <c r="E1304" s="102"/>
      <c r="F1304" s="102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</row>
    <row r="1305" spans="5:17">
      <c r="E1305" s="102"/>
      <c r="F1305" s="102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</row>
    <row r="1306" spans="5:17">
      <c r="E1306" s="102"/>
      <c r="F1306" s="102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</row>
    <row r="1307" spans="5:17">
      <c r="E1307" s="102"/>
      <c r="F1307" s="102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</row>
    <row r="1308" spans="5:17">
      <c r="E1308" s="102"/>
      <c r="F1308" s="102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</row>
    <row r="1309" spans="5:17">
      <c r="E1309" s="102"/>
      <c r="F1309" s="102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</row>
    <row r="1310" spans="5:17">
      <c r="E1310" s="102"/>
      <c r="F1310" s="102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</row>
    <row r="1311" spans="5:17">
      <c r="E1311" s="102"/>
      <c r="F1311" s="102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</row>
    <row r="1312" spans="5:17">
      <c r="E1312" s="102"/>
      <c r="F1312" s="102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</row>
    <row r="1313" spans="5:17">
      <c r="E1313" s="102"/>
      <c r="F1313" s="102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</row>
    <row r="1314" spans="5:17">
      <c r="E1314" s="102"/>
      <c r="F1314" s="102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</row>
    <row r="1315" spans="5:17">
      <c r="E1315" s="102"/>
      <c r="F1315" s="102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</row>
    <row r="1316" spans="5:17">
      <c r="E1316" s="102"/>
      <c r="F1316" s="102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</row>
    <row r="1317" spans="5:17">
      <c r="E1317" s="102"/>
      <c r="F1317" s="102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</row>
    <row r="1318" spans="5:17">
      <c r="E1318" s="102"/>
      <c r="F1318" s="102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</row>
    <row r="1319" spans="5:17">
      <c r="E1319" s="102"/>
      <c r="F1319" s="102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</row>
    <row r="1320" spans="5:17">
      <c r="E1320" s="102"/>
      <c r="F1320" s="102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</row>
    <row r="1321" spans="5:17">
      <c r="E1321" s="102"/>
      <c r="F1321" s="102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</row>
    <row r="1322" spans="5:17">
      <c r="E1322" s="102"/>
      <c r="F1322" s="102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</row>
    <row r="1323" spans="5:17">
      <c r="E1323" s="102"/>
      <c r="F1323" s="102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</row>
    <row r="1324" spans="5:17">
      <c r="E1324" s="102"/>
      <c r="F1324" s="102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</row>
    <row r="1325" spans="5:17">
      <c r="E1325" s="102"/>
      <c r="F1325" s="102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</row>
    <row r="1326" spans="5:17">
      <c r="E1326" s="102"/>
      <c r="F1326" s="102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</row>
    <row r="1327" spans="5:17">
      <c r="E1327" s="102"/>
      <c r="F1327" s="102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</row>
    <row r="1328" spans="5:17">
      <c r="E1328" s="102"/>
      <c r="F1328" s="102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</row>
    <row r="1329" spans="5:17">
      <c r="E1329" s="102"/>
      <c r="F1329" s="102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</row>
    <row r="1330" spans="5:17">
      <c r="E1330" s="102"/>
      <c r="F1330" s="102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</row>
    <row r="1331" spans="5:17">
      <c r="E1331" s="102"/>
      <c r="F1331" s="102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</row>
    <row r="1332" spans="5:17">
      <c r="E1332" s="102"/>
      <c r="F1332" s="102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</row>
    <row r="1333" spans="5:17">
      <c r="E1333" s="102"/>
      <c r="F1333" s="102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</row>
    <row r="1334" spans="5:17">
      <c r="E1334" s="102"/>
      <c r="F1334" s="102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</row>
    <row r="1335" spans="5:17">
      <c r="E1335" s="102"/>
      <c r="F1335" s="102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</row>
    <row r="1336" spans="5:17">
      <c r="E1336" s="102"/>
      <c r="F1336" s="102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</row>
    <row r="1337" spans="5:17">
      <c r="E1337" s="102"/>
      <c r="F1337" s="102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</row>
    <row r="1338" spans="5:17">
      <c r="E1338" s="102"/>
      <c r="F1338" s="102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</row>
    <row r="1339" spans="5:17">
      <c r="E1339" s="102"/>
      <c r="F1339" s="102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</row>
    <row r="1340" spans="5:17">
      <c r="E1340" s="102"/>
      <c r="F1340" s="102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</row>
    <row r="1341" spans="5:17">
      <c r="E1341" s="102"/>
      <c r="F1341" s="102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</row>
    <row r="1342" spans="5:17">
      <c r="E1342" s="102"/>
      <c r="F1342" s="102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</row>
    <row r="1343" spans="5:17">
      <c r="E1343" s="102"/>
      <c r="F1343" s="102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</row>
    <row r="1344" spans="5:17">
      <c r="E1344" s="102"/>
      <c r="F1344" s="102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</row>
    <row r="1345" spans="5:17">
      <c r="E1345" s="102"/>
      <c r="F1345" s="102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</row>
    <row r="1346" spans="5:17">
      <c r="E1346" s="102"/>
      <c r="F1346" s="102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</row>
    <row r="1347" spans="5:17">
      <c r="E1347" s="102"/>
      <c r="F1347" s="102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</row>
    <row r="1348" spans="5:17">
      <c r="E1348" s="102"/>
      <c r="F1348" s="102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</row>
    <row r="1349" spans="5:17">
      <c r="E1349" s="102"/>
      <c r="F1349" s="102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</row>
    <row r="1350" spans="5:17">
      <c r="E1350" s="102"/>
      <c r="F1350" s="102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</row>
    <row r="1351" spans="5:17">
      <c r="E1351" s="102"/>
      <c r="F1351" s="102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</row>
    <row r="1352" spans="5:17">
      <c r="E1352" s="102"/>
      <c r="F1352" s="102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</row>
    <row r="1353" spans="5:17">
      <c r="E1353" s="102"/>
      <c r="F1353" s="102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</row>
    <row r="1354" spans="5:17">
      <c r="E1354" s="102"/>
      <c r="F1354" s="102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</row>
  </sheetData>
  <mergeCells count="1">
    <mergeCell ref="A1:E1"/>
  </mergeCells>
  <phoneticPr fontId="1" type="noConversion"/>
  <pageMargins left="0.7" right="0.7" top="0.75" bottom="0.75" header="0.3" footer="0.3"/>
  <pageSetup paperSize="9" scale="95" orientation="portrait" horizontalDpi="4294967295" verticalDpi="4294967295" r:id="rId1"/>
  <rowBreaks count="2" manualBreakCount="2">
    <brk id="946" max="4" man="1"/>
    <brk id="9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E1:AV11"/>
  <sheetViews>
    <sheetView view="pageBreakPreview" topLeftCell="H4" zoomScale="60" zoomScaleNormal="85" workbookViewId="0">
      <selection activeCell="X57" sqref="X57"/>
    </sheetView>
  </sheetViews>
  <sheetFormatPr defaultRowHeight="13.5"/>
  <cols>
    <col min="1" max="4" width="0" style="1" hidden="1" customWidth="1"/>
    <col min="5" max="5" width="10.625" style="1" customWidth="1"/>
    <col min="6" max="6" width="21.625" style="326" bestFit="1" customWidth="1"/>
    <col min="7" max="7" width="16.125" style="326" bestFit="1" customWidth="1"/>
    <col min="8" max="8" width="7.375" style="326" bestFit="1" customWidth="1"/>
    <col min="9" max="9" width="8.625" style="326" bestFit="1" customWidth="1"/>
    <col min="10" max="10" width="21.125" style="326" bestFit="1" customWidth="1"/>
    <col min="11" max="12" width="8.625" style="326" bestFit="1" customWidth="1"/>
    <col min="13" max="14" width="7" style="326" bestFit="1" customWidth="1"/>
    <col min="15" max="15" width="8.625" style="326" customWidth="1"/>
    <col min="16" max="17" width="7" style="326" bestFit="1" customWidth="1"/>
    <col min="18" max="18" width="16.625" style="326" bestFit="1" customWidth="1"/>
    <col min="19" max="19" width="21" style="326" bestFit="1" customWidth="1"/>
    <col min="20" max="20" width="9.625" style="1" customWidth="1"/>
    <col min="21" max="22" width="7.625" style="1" customWidth="1"/>
    <col min="23" max="25" width="6.125" style="1" customWidth="1"/>
    <col min="26" max="26" width="6.625" style="1" customWidth="1"/>
    <col min="27" max="27" width="9.625" style="1" customWidth="1"/>
    <col min="28" max="28" width="6.625" style="1" customWidth="1"/>
    <col min="29" max="29" width="10" style="1" bestFit="1" customWidth="1"/>
    <col min="30" max="30" width="9" style="1"/>
    <col min="31" max="31" width="11" style="1" customWidth="1"/>
    <col min="32" max="16384" width="9" style="1"/>
  </cols>
  <sheetData>
    <row r="1" spans="5:48" ht="13.5" hidden="1" customHeight="1"/>
    <row r="2" spans="5:48" ht="13.5" hidden="1" customHeight="1"/>
    <row r="3" spans="5:48" ht="3" hidden="1" customHeight="1"/>
    <row r="4" spans="5:48">
      <c r="E4" s="523" t="s">
        <v>1553</v>
      </c>
      <c r="F4" s="520" t="s">
        <v>1554</v>
      </c>
      <c r="G4" s="521"/>
      <c r="H4" s="521"/>
      <c r="I4" s="521"/>
      <c r="J4" s="521"/>
      <c r="K4" s="521"/>
      <c r="L4" s="521"/>
      <c r="M4" s="521"/>
      <c r="N4" s="521"/>
      <c r="O4" s="521"/>
      <c r="P4" s="522"/>
      <c r="Q4" s="520" t="s">
        <v>1555</v>
      </c>
      <c r="R4" s="521"/>
      <c r="S4" s="522"/>
      <c r="T4" s="520" t="s">
        <v>1639</v>
      </c>
      <c r="U4" s="521"/>
      <c r="V4" s="521"/>
      <c r="W4" s="521"/>
      <c r="X4" s="521"/>
      <c r="Y4" s="522"/>
      <c r="Z4" s="520" t="s">
        <v>1556</v>
      </c>
      <c r="AA4" s="521"/>
      <c r="AB4" s="522"/>
      <c r="AC4" s="520" t="s">
        <v>1557</v>
      </c>
      <c r="AD4" s="521"/>
      <c r="AE4" s="521"/>
      <c r="AF4" s="521"/>
      <c r="AG4" s="522"/>
      <c r="AH4" s="520" t="s">
        <v>1558</v>
      </c>
      <c r="AI4" s="521"/>
      <c r="AJ4" s="521"/>
      <c r="AK4" s="521"/>
      <c r="AL4" s="522"/>
      <c r="AM4" s="520" t="s">
        <v>1559</v>
      </c>
      <c r="AN4" s="521"/>
      <c r="AO4" s="521"/>
      <c r="AP4" s="521"/>
      <c r="AQ4" s="522"/>
      <c r="AR4" s="520" t="s">
        <v>1560</v>
      </c>
      <c r="AS4" s="521"/>
      <c r="AT4" s="521"/>
      <c r="AU4" s="521"/>
      <c r="AV4" s="522"/>
    </row>
    <row r="5" spans="5:48" ht="54">
      <c r="E5" s="524"/>
      <c r="F5" s="385" t="s">
        <v>0</v>
      </c>
      <c r="G5" s="385" t="s">
        <v>1561</v>
      </c>
      <c r="H5" s="385" t="s">
        <v>1638</v>
      </c>
      <c r="I5" s="195" t="s">
        <v>1640</v>
      </c>
      <c r="J5" s="197" t="s">
        <v>1562</v>
      </c>
      <c r="K5" s="385" t="s">
        <v>1563</v>
      </c>
      <c r="L5" s="385" t="s">
        <v>1564</v>
      </c>
      <c r="M5" s="385" t="s">
        <v>1565</v>
      </c>
      <c r="N5" s="385" t="s">
        <v>1566</v>
      </c>
      <c r="O5" s="385" t="s">
        <v>1567</v>
      </c>
      <c r="P5" s="385" t="s">
        <v>1568</v>
      </c>
      <c r="Q5" s="385" t="s">
        <v>1569</v>
      </c>
      <c r="R5" s="385" t="s">
        <v>1</v>
      </c>
      <c r="S5" s="385" t="s">
        <v>2</v>
      </c>
      <c r="T5" s="186" t="s">
        <v>1570</v>
      </c>
      <c r="U5" s="186" t="s">
        <v>1571</v>
      </c>
      <c r="V5" s="186" t="s">
        <v>1572</v>
      </c>
      <c r="W5" s="186" t="s">
        <v>1573</v>
      </c>
      <c r="X5" s="186" t="s">
        <v>1574</v>
      </c>
      <c r="Y5" s="186" t="s">
        <v>1575</v>
      </c>
      <c r="Z5" s="186" t="s">
        <v>1576</v>
      </c>
      <c r="AA5" s="186" t="s">
        <v>1577</v>
      </c>
      <c r="AB5" s="186" t="s">
        <v>1578</v>
      </c>
      <c r="AC5" s="186" t="s">
        <v>1579</v>
      </c>
      <c r="AD5" s="186" t="s">
        <v>1580</v>
      </c>
      <c r="AE5" s="186" t="s">
        <v>1581</v>
      </c>
      <c r="AF5" s="186" t="s">
        <v>1582</v>
      </c>
      <c r="AG5" s="186" t="s">
        <v>1583</v>
      </c>
      <c r="AH5" s="186" t="s">
        <v>1579</v>
      </c>
      <c r="AI5" s="186" t="s">
        <v>1580</v>
      </c>
      <c r="AJ5" s="186" t="s">
        <v>1581</v>
      </c>
      <c r="AK5" s="186" t="s">
        <v>1582</v>
      </c>
      <c r="AL5" s="186" t="s">
        <v>1583</v>
      </c>
      <c r="AM5" s="186" t="s">
        <v>1579</v>
      </c>
      <c r="AN5" s="186" t="s">
        <v>1580</v>
      </c>
      <c r="AO5" s="186" t="s">
        <v>1581</v>
      </c>
      <c r="AP5" s="186" t="s">
        <v>1582</v>
      </c>
      <c r="AQ5" s="186" t="s">
        <v>1583</v>
      </c>
      <c r="AR5" s="186" t="s">
        <v>1579</v>
      </c>
      <c r="AS5" s="186" t="s">
        <v>1580</v>
      </c>
      <c r="AT5" s="186" t="s">
        <v>1581</v>
      </c>
      <c r="AU5" s="186" t="s">
        <v>1582</v>
      </c>
      <c r="AV5" s="186" t="s">
        <v>1583</v>
      </c>
    </row>
    <row r="6" spans="5:48" hidden="1"/>
    <row r="7" spans="5:48" hidden="1"/>
    <row r="8" spans="5:48" hidden="1"/>
    <row r="9" spans="5:48" hidden="1"/>
    <row r="10" spans="5:48" hidden="1"/>
    <row r="11" spans="5:48" ht="40.5">
      <c r="E11" s="10">
        <v>42993</v>
      </c>
      <c r="F11" s="239" t="s">
        <v>2622</v>
      </c>
      <c r="G11" s="239" t="s">
        <v>180</v>
      </c>
      <c r="H11" s="208" t="s">
        <v>1591</v>
      </c>
      <c r="I11" s="209" t="s">
        <v>1636</v>
      </c>
      <c r="J11" s="118" t="s">
        <v>2623</v>
      </c>
      <c r="K11" s="6">
        <v>60000</v>
      </c>
      <c r="L11" s="210">
        <v>30000</v>
      </c>
      <c r="M11" s="240">
        <v>8</v>
      </c>
      <c r="N11" s="240">
        <v>4</v>
      </c>
      <c r="O11" s="240" t="s">
        <v>4</v>
      </c>
      <c r="P11" s="376">
        <v>0.15</v>
      </c>
      <c r="Q11" s="8">
        <v>7.0000000000000007E-2</v>
      </c>
      <c r="R11" s="239" t="s">
        <v>2611</v>
      </c>
      <c r="S11" s="239" t="s">
        <v>2612</v>
      </c>
      <c r="T11" s="5" t="s">
        <v>2610</v>
      </c>
      <c r="U11" s="239" t="s">
        <v>2609</v>
      </c>
      <c r="V11" s="6">
        <v>3000</v>
      </c>
      <c r="W11" s="9">
        <v>0</v>
      </c>
      <c r="X11" s="7">
        <v>3</v>
      </c>
      <c r="Y11" s="7">
        <v>1</v>
      </c>
      <c r="Z11" s="7" t="s">
        <v>2613</v>
      </c>
      <c r="AA11" s="7" t="s">
        <v>2614</v>
      </c>
      <c r="AB11" s="7" t="s">
        <v>2615</v>
      </c>
      <c r="AC11" s="23" t="s">
        <v>2624</v>
      </c>
      <c r="AD11" s="7"/>
      <c r="AE11" s="7"/>
      <c r="AF11" s="163"/>
      <c r="AG11" s="163"/>
      <c r="AH11" s="23" t="s">
        <v>2624</v>
      </c>
      <c r="AI11" s="7"/>
      <c r="AJ11" s="7"/>
      <c r="AK11" s="164"/>
      <c r="AL11" s="164"/>
      <c r="AM11" s="23" t="s">
        <v>2624</v>
      </c>
      <c r="AN11" s="7"/>
      <c r="AO11" s="7"/>
      <c r="AP11" s="163"/>
      <c r="AQ11" s="163"/>
      <c r="AR11" s="23" t="s">
        <v>2624</v>
      </c>
      <c r="AS11" s="7"/>
      <c r="AT11" s="7"/>
      <c r="AU11" s="163"/>
      <c r="AV11" s="163"/>
    </row>
  </sheetData>
  <mergeCells count="9">
    <mergeCell ref="AR4:AV4"/>
    <mergeCell ref="AM4:AQ4"/>
    <mergeCell ref="AH4:AL4"/>
    <mergeCell ref="AC4:AG4"/>
    <mergeCell ref="E4:E5"/>
    <mergeCell ref="F4:P4"/>
    <mergeCell ref="Q4:S4"/>
    <mergeCell ref="T4:Y4"/>
    <mergeCell ref="Z4:AB4"/>
  </mergeCells>
  <phoneticPr fontId="1" type="noConversion"/>
  <dataValidations count="12">
    <dataValidation type="list" allowBlank="1" showInputMessage="1" showErrorMessage="1" sqref="AE11 AJ11 AO11 AT11">
      <formula1>공동투자약정_상대방_유형</formula1>
    </dataValidation>
    <dataValidation type="list" allowBlank="1" showInputMessage="1" showErrorMessage="1" sqref="AG11 AL11 AQ11 AV11">
      <formula1>여부</formula1>
    </dataValidation>
    <dataValidation type="list" allowBlank="1" showInputMessage="1" showErrorMessage="1" error="숫자로 입력" sqref="L11">
      <formula1>KDB출자_요청액</formula1>
    </dataValidation>
    <dataValidation allowBlank="1" showInputMessage="1" showErrorMessage="1" error="숫자로 입력" sqref="U11"/>
    <dataValidation type="decimal" allowBlank="1" showInputMessage="1" showErrorMessage="1" error="숫자로 입력" sqref="V11:W11">
      <formula1>0</formula1>
      <formula2>1000000</formula2>
    </dataValidation>
    <dataValidation type="decimal" allowBlank="1" showInputMessage="1" showErrorMessage="1" error="%로 입력" sqref="Q11">
      <formula1>0</formula1>
      <formula2>99.9</formula2>
    </dataValidation>
    <dataValidation type="whole" allowBlank="1" showInputMessage="1" showErrorMessage="1" error="숫자로 입력" sqref="K11">
      <formula1>0</formula1>
      <formula2>9000000</formula2>
    </dataValidation>
    <dataValidation type="decimal" allowBlank="1" showInputMessage="1" showErrorMessage="1" error="숫자로 입력" sqref="M11:N11">
      <formula1>0.1</formula1>
      <formula2>99</formula2>
    </dataValidation>
    <dataValidation type="list" allowBlank="1" showInputMessage="1" showErrorMessage="1" sqref="O11">
      <formula1>납입방식</formula1>
    </dataValidation>
    <dataValidation type="list" allowBlank="1" showInputMessage="1" showErrorMessage="1" sqref="H11">
      <formula1>신청리그</formula1>
    </dataValidation>
    <dataValidation type="list" allowBlank="1" showInputMessage="1" showErrorMessage="1" error="목록에서 선택" sqref="G11">
      <formula1>펀드법적유형</formula1>
    </dataValidation>
    <dataValidation type="list" allowBlank="1" showInputMessage="1" showErrorMessage="1" sqref="I11">
      <formula1>신청분야</formula1>
    </dataValidation>
  </dataValidations>
  <pageMargins left="0.7" right="0.7" top="0.75" bottom="0.75" header="0.3" footer="0.3"/>
  <pageSetup paperSize="9" orientation="landscape" horizontalDpi="4294967295" verticalDpi="4294967295" r:id="rId1"/>
  <colBreaks count="2" manualBreakCount="2">
    <brk id="19" max="1048575" man="1"/>
    <brk id="2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E1:K21"/>
  <sheetViews>
    <sheetView view="pageBreakPreview" topLeftCell="E4" zoomScale="60" zoomScaleNormal="100" workbookViewId="0">
      <selection activeCell="O65" sqref="O65"/>
    </sheetView>
  </sheetViews>
  <sheetFormatPr defaultRowHeight="16.5"/>
  <cols>
    <col min="1" max="4" width="0" hidden="1" customWidth="1"/>
    <col min="5" max="5" width="13.25" bestFit="1" customWidth="1"/>
    <col min="6" max="6" width="22" bestFit="1" customWidth="1"/>
    <col min="7" max="7" width="12.25" bestFit="1" customWidth="1"/>
    <col min="8" max="8" width="14.125" bestFit="1" customWidth="1"/>
    <col min="9" max="9" width="16.125" bestFit="1" customWidth="1"/>
    <col min="10" max="10" width="18" bestFit="1" customWidth="1"/>
    <col min="11" max="11" width="5.375" bestFit="1" customWidth="1"/>
  </cols>
  <sheetData>
    <row r="1" spans="5:11" hidden="1"/>
    <row r="2" spans="5:11" hidden="1"/>
    <row r="3" spans="5:11" hidden="1"/>
    <row r="4" spans="5:11">
      <c r="E4" s="198" t="s">
        <v>5</v>
      </c>
      <c r="F4" s="198" t="s">
        <v>6</v>
      </c>
      <c r="G4" s="198" t="s">
        <v>1584</v>
      </c>
      <c r="H4" s="198" t="s">
        <v>1585</v>
      </c>
      <c r="I4" s="198" t="s">
        <v>1586</v>
      </c>
      <c r="J4" s="198" t="s">
        <v>1587</v>
      </c>
      <c r="K4" s="198" t="s">
        <v>7</v>
      </c>
    </row>
    <row r="5" spans="5:11" hidden="1">
      <c r="E5" s="12"/>
      <c r="F5" s="12"/>
      <c r="G5" s="12"/>
      <c r="H5" s="12"/>
      <c r="I5" s="12"/>
      <c r="J5" s="12"/>
      <c r="K5" s="12"/>
    </row>
    <row r="6" spans="5:11" hidden="1">
      <c r="E6" s="12"/>
      <c r="F6" s="12"/>
      <c r="G6" s="12"/>
      <c r="H6" s="12"/>
      <c r="I6" s="12"/>
      <c r="J6" s="12"/>
      <c r="K6" s="12"/>
    </row>
    <row r="7" spans="5:11" hidden="1">
      <c r="E7" s="12"/>
      <c r="F7" s="12"/>
      <c r="G7" s="12"/>
      <c r="H7" s="12"/>
      <c r="I7" s="12"/>
      <c r="J7" s="12"/>
      <c r="K7" s="12"/>
    </row>
    <row r="8" spans="5:11" hidden="1">
      <c r="E8" s="12"/>
      <c r="F8" s="12"/>
      <c r="G8" s="12"/>
      <c r="H8" s="12"/>
      <c r="I8" s="12"/>
      <c r="J8" s="12"/>
      <c r="K8" s="12"/>
    </row>
    <row r="9" spans="5:11" hidden="1">
      <c r="E9" s="12"/>
      <c r="F9" s="12"/>
      <c r="G9" s="12"/>
      <c r="H9" s="12"/>
      <c r="I9" s="12"/>
      <c r="J9" s="12"/>
      <c r="K9" s="12"/>
    </row>
    <row r="10" spans="5:11" hidden="1">
      <c r="E10" s="12"/>
      <c r="F10" s="12"/>
      <c r="G10" s="12"/>
      <c r="H10" s="12"/>
      <c r="I10" s="12"/>
      <c r="J10" s="12"/>
      <c r="K10" s="12"/>
    </row>
    <row r="11" spans="5:11">
      <c r="E11" s="13" t="s">
        <v>8</v>
      </c>
      <c r="F11" s="13" t="s">
        <v>20</v>
      </c>
      <c r="G11" s="14" t="s">
        <v>9</v>
      </c>
      <c r="H11" s="147">
        <f>'1.1 제안펀드'!$L$11</f>
        <v>30000</v>
      </c>
      <c r="I11" s="16">
        <v>0</v>
      </c>
      <c r="J11" s="17">
        <f>IF(OR(ISBLANK(I11),0),"",'1.1 제안펀드'!$K$11*I11)</f>
        <v>0</v>
      </c>
      <c r="K11" s="14"/>
    </row>
    <row r="12" spans="5:11">
      <c r="E12" s="13" t="s">
        <v>10</v>
      </c>
      <c r="F12" s="13" t="s">
        <v>2625</v>
      </c>
      <c r="G12" s="14" t="s">
        <v>11</v>
      </c>
      <c r="H12" s="15">
        <v>3000</v>
      </c>
      <c r="I12" s="377">
        <v>0</v>
      </c>
      <c r="J12" s="17">
        <f>IF(OR(ISBLANK(I12),0),"",'1.1 제안펀드'!$K$11*I12)</f>
        <v>0</v>
      </c>
      <c r="K12" s="14"/>
    </row>
    <row r="13" spans="5:11" hidden="1">
      <c r="E13" s="13"/>
      <c r="F13" s="13"/>
      <c r="G13" s="14"/>
      <c r="H13" s="15"/>
      <c r="I13" s="16"/>
      <c r="J13" s="17" t="str">
        <f>IF(OR(ISBLANK(I13),0),"",'1.1 제안펀드'!$K$11*I13)</f>
        <v/>
      </c>
      <c r="K13" s="14"/>
    </row>
    <row r="14" spans="5:11" hidden="1">
      <c r="E14" s="13"/>
      <c r="F14" s="13"/>
      <c r="G14" s="14"/>
      <c r="H14" s="15"/>
      <c r="I14" s="16"/>
      <c r="J14" s="17" t="str">
        <f>IF(OR(ISBLANK(I14),0),"",'1.1 제안펀드'!$K$11*I14)</f>
        <v/>
      </c>
      <c r="K14" s="14"/>
    </row>
    <row r="15" spans="5:11" hidden="1">
      <c r="E15" s="13"/>
      <c r="F15" s="13"/>
      <c r="G15" s="14"/>
      <c r="H15" s="15"/>
      <c r="I15" s="16"/>
      <c r="J15" s="17" t="str">
        <f>IF(OR(ISBLANK(I15),0),"",'1.1 제안펀드'!$K$11*I15)</f>
        <v/>
      </c>
      <c r="K15" s="14"/>
    </row>
    <row r="16" spans="5:11" hidden="1">
      <c r="E16" s="13"/>
      <c r="F16" s="13"/>
      <c r="G16" s="14"/>
      <c r="H16" s="15"/>
      <c r="I16" s="16"/>
      <c r="J16" s="17" t="str">
        <f>IF(OR(ISBLANK(I16),0),"",'1.1 제안펀드'!$K$11*I16)</f>
        <v/>
      </c>
      <c r="K16" s="14"/>
    </row>
    <row r="17" spans="5:11" hidden="1">
      <c r="E17" s="13"/>
      <c r="F17" s="13"/>
      <c r="G17" s="14"/>
      <c r="H17" s="15"/>
      <c r="I17" s="16"/>
      <c r="J17" s="17" t="str">
        <f>IF(OR(ISBLANK(I17),0),"",'1.1 제안펀드'!$K$11*I17)</f>
        <v/>
      </c>
      <c r="K17" s="14"/>
    </row>
    <row r="18" spans="5:11" hidden="1">
      <c r="E18" s="13"/>
      <c r="F18" s="13"/>
      <c r="G18" s="14"/>
      <c r="H18" s="15"/>
      <c r="I18" s="16"/>
      <c r="J18" s="17" t="str">
        <f>IF(OR(ISBLANK(I18),0),"",'1.1 제안펀드'!$K$11*I18)</f>
        <v/>
      </c>
      <c r="K18" s="14"/>
    </row>
    <row r="19" spans="5:11" hidden="1">
      <c r="E19" s="13"/>
      <c r="F19" s="13"/>
      <c r="G19" s="14"/>
      <c r="H19" s="15"/>
      <c r="I19" s="16"/>
      <c r="J19" s="17" t="str">
        <f>IF(OR(ISBLANK(I19),0),"",'1.1 제안펀드'!$K$11*I19)</f>
        <v/>
      </c>
      <c r="K19" s="14"/>
    </row>
    <row r="20" spans="5:11" hidden="1">
      <c r="E20" s="13"/>
      <c r="F20" s="13"/>
      <c r="G20" s="14"/>
      <c r="H20" s="15"/>
      <c r="I20" s="16"/>
      <c r="J20" s="17" t="str">
        <f>IF(OR(ISBLANK(I20),0),"",'1.1 제안펀드'!$K$11*I20)</f>
        <v/>
      </c>
      <c r="K20" s="14"/>
    </row>
    <row r="21" spans="5:11" hidden="1">
      <c r="E21" s="13"/>
      <c r="F21" s="13"/>
      <c r="G21" s="14"/>
      <c r="H21" s="15"/>
      <c r="I21" s="16"/>
      <c r="J21" s="17" t="str">
        <f>IF(OR(ISBLANK(I21),0),"",'1.1 제안펀드'!$K$11*I21)</f>
        <v/>
      </c>
      <c r="K21" s="14"/>
    </row>
  </sheetData>
  <phoneticPr fontId="1" type="noConversion"/>
  <dataValidations count="5">
    <dataValidation type="decimal" allowBlank="1" showInputMessage="1" showErrorMessage="1" sqref="I5:I21">
      <formula1>0</formula1>
      <formula2>1</formula2>
    </dataValidation>
    <dataValidation type="whole" allowBlank="1" showInputMessage="1" showErrorMessage="1" error="숫자로 입력" sqref="H11:H21">
      <formula1>0</formula1>
      <formula2>1000000</formula2>
    </dataValidation>
    <dataValidation type="list" allowBlank="1" showErrorMessage="1" error="목록에서 선택" promptTitle="출자자유형" prompt="구분유형 중에서 선택하세요 !" sqref="E11:E21">
      <formula1>출자자유형</formula1>
    </dataValidation>
    <dataValidation type="list" allowBlank="1" showErrorMessage="1" error="목록에서 선택" promptTitle="출자확정여부유형" prompt="구분유형 중에서 선택하세요 !" sqref="G11:G21">
      <formula1>출자확정구분</formula1>
    </dataValidation>
    <dataValidation allowBlank="1" showInputMessage="1" showErrorMessage="1" error="숫자로 입력" sqref="K4:K10 E4:H10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E1:BX12"/>
  <sheetViews>
    <sheetView topLeftCell="Q4" zoomScale="70" zoomScaleNormal="70" workbookViewId="0">
      <selection activeCell="AD58" sqref="AD58"/>
    </sheetView>
  </sheetViews>
  <sheetFormatPr defaultRowHeight="16.5"/>
  <cols>
    <col min="1" max="4" width="0" hidden="1" customWidth="1"/>
    <col min="9" max="9" width="10.375" customWidth="1"/>
    <col min="10" max="10" width="11.375" customWidth="1"/>
    <col min="11" max="11" width="13.5" customWidth="1"/>
    <col min="12" max="14" width="9.75" bestFit="1" customWidth="1"/>
    <col min="15" max="15" width="10.625" bestFit="1" customWidth="1"/>
    <col min="42" max="42" width="9.375" bestFit="1" customWidth="1"/>
    <col min="74" max="74" width="10.25" bestFit="1" customWidth="1"/>
  </cols>
  <sheetData>
    <row r="1" spans="5:76" hidden="1"/>
    <row r="2" spans="5:76" hidden="1"/>
    <row r="3" spans="5:76" hidden="1"/>
    <row r="4" spans="5:76">
      <c r="E4" s="525" t="s">
        <v>21</v>
      </c>
      <c r="F4" s="526"/>
      <c r="G4" s="526"/>
      <c r="H4" s="526"/>
      <c r="I4" s="526"/>
      <c r="J4" s="526"/>
      <c r="K4" s="527"/>
      <c r="L4" s="525" t="s">
        <v>22</v>
      </c>
      <c r="M4" s="526"/>
      <c r="N4" s="526"/>
      <c r="O4" s="527"/>
      <c r="P4" s="525" t="s">
        <v>23</v>
      </c>
      <c r="Q4" s="526"/>
      <c r="R4" s="527"/>
      <c r="S4" s="525" t="s">
        <v>24</v>
      </c>
      <c r="T4" s="526"/>
      <c r="U4" s="527"/>
      <c r="V4" s="525" t="s">
        <v>196</v>
      </c>
      <c r="W4" s="526"/>
      <c r="X4" s="526"/>
      <c r="Y4" s="526"/>
      <c r="Z4" s="526"/>
      <c r="AA4" s="527"/>
      <c r="AB4" s="525" t="s">
        <v>25</v>
      </c>
      <c r="AC4" s="526"/>
      <c r="AD4" s="526"/>
      <c r="AE4" s="526"/>
      <c r="AF4" s="526"/>
      <c r="AG4" s="526"/>
      <c r="AH4" s="527"/>
      <c r="AI4" s="520" t="s">
        <v>26</v>
      </c>
      <c r="AJ4" s="521"/>
      <c r="AK4" s="521"/>
      <c r="AL4" s="521"/>
      <c r="AM4" s="521"/>
      <c r="AN4" s="521"/>
      <c r="AO4" s="521"/>
      <c r="AP4" s="521"/>
      <c r="AQ4" s="522"/>
      <c r="AR4" s="520" t="s">
        <v>27</v>
      </c>
      <c r="AS4" s="521"/>
      <c r="AT4" s="521"/>
      <c r="AU4" s="521"/>
      <c r="AV4" s="521"/>
      <c r="AW4" s="521"/>
      <c r="AX4" s="521"/>
      <c r="AY4" s="521"/>
      <c r="AZ4" s="522"/>
      <c r="BA4" s="520" t="s">
        <v>1189</v>
      </c>
      <c r="BB4" s="521"/>
      <c r="BC4" s="521"/>
      <c r="BD4" s="521"/>
      <c r="BE4" s="521"/>
      <c r="BF4" s="521"/>
      <c r="BG4" s="521"/>
      <c r="BH4" s="522"/>
      <c r="BI4" s="520" t="s">
        <v>1190</v>
      </c>
      <c r="BJ4" s="521"/>
      <c r="BK4" s="521"/>
      <c r="BL4" s="521"/>
      <c r="BM4" s="521"/>
      <c r="BN4" s="521"/>
      <c r="BO4" s="521"/>
      <c r="BP4" s="522"/>
      <c r="BQ4" s="520" t="s">
        <v>1275</v>
      </c>
      <c r="BR4" s="521"/>
      <c r="BS4" s="521"/>
      <c r="BT4" s="521"/>
      <c r="BU4" s="521"/>
      <c r="BV4" s="521"/>
      <c r="BW4" s="521"/>
      <c r="BX4" s="522"/>
    </row>
    <row r="5" spans="5:76" ht="67.5">
      <c r="E5" s="18" t="s">
        <v>1418</v>
      </c>
      <c r="F5" s="18" t="s">
        <v>1419</v>
      </c>
      <c r="G5" s="18" t="s">
        <v>1420</v>
      </c>
      <c r="H5" s="18" t="s">
        <v>28</v>
      </c>
      <c r="I5" s="18" t="s">
        <v>1421</v>
      </c>
      <c r="J5" s="18" t="s">
        <v>1422</v>
      </c>
      <c r="K5" s="18" t="s">
        <v>1423</v>
      </c>
      <c r="L5" s="18" t="s">
        <v>29</v>
      </c>
      <c r="M5" s="18" t="s">
        <v>1424</v>
      </c>
      <c r="N5" s="18" t="s">
        <v>1425</v>
      </c>
      <c r="O5" s="18" t="s">
        <v>1426</v>
      </c>
      <c r="P5" s="18" t="s">
        <v>30</v>
      </c>
      <c r="Q5" s="18" t="s">
        <v>31</v>
      </c>
      <c r="R5" s="18" t="s">
        <v>32</v>
      </c>
      <c r="S5" s="18" t="s">
        <v>1427</v>
      </c>
      <c r="T5" s="18" t="s">
        <v>1428</v>
      </c>
      <c r="U5" s="18" t="s">
        <v>1429</v>
      </c>
      <c r="V5" s="18" t="s">
        <v>193</v>
      </c>
      <c r="W5" s="18" t="s">
        <v>194</v>
      </c>
      <c r="X5" s="18" t="s">
        <v>1430</v>
      </c>
      <c r="Y5" s="18" t="s">
        <v>201</v>
      </c>
      <c r="Z5" s="18" t="s">
        <v>1431</v>
      </c>
      <c r="AA5" s="18" t="s">
        <v>195</v>
      </c>
      <c r="AB5" s="18" t="s">
        <v>1432</v>
      </c>
      <c r="AC5" s="18" t="s">
        <v>34</v>
      </c>
      <c r="AD5" s="18" t="s">
        <v>1433</v>
      </c>
      <c r="AE5" s="18" t="s">
        <v>35</v>
      </c>
      <c r="AF5" s="18" t="s">
        <v>1434</v>
      </c>
      <c r="AG5" s="18" t="s">
        <v>94</v>
      </c>
      <c r="AH5" s="18" t="s">
        <v>1435</v>
      </c>
      <c r="AI5" s="19" t="s">
        <v>36</v>
      </c>
      <c r="AJ5" s="19" t="s">
        <v>1436</v>
      </c>
      <c r="AK5" s="19" t="s">
        <v>37</v>
      </c>
      <c r="AL5" s="19" t="s">
        <v>1437</v>
      </c>
      <c r="AM5" s="19" t="s">
        <v>39</v>
      </c>
      <c r="AN5" s="19" t="s">
        <v>40</v>
      </c>
      <c r="AO5" s="19" t="s">
        <v>1438</v>
      </c>
      <c r="AP5" s="19" t="s">
        <v>41</v>
      </c>
      <c r="AQ5" s="19" t="s">
        <v>1439</v>
      </c>
      <c r="AR5" s="19" t="s">
        <v>42</v>
      </c>
      <c r="AS5" s="19" t="s">
        <v>43</v>
      </c>
      <c r="AT5" s="19" t="s">
        <v>1440</v>
      </c>
      <c r="AU5" s="19" t="s">
        <v>38</v>
      </c>
      <c r="AV5" s="19" t="s">
        <v>1441</v>
      </c>
      <c r="AW5" s="19" t="s">
        <v>40</v>
      </c>
      <c r="AX5" s="19" t="s">
        <v>1438</v>
      </c>
      <c r="AY5" s="19" t="s">
        <v>45</v>
      </c>
      <c r="AZ5" s="19" t="s">
        <v>1368</v>
      </c>
      <c r="BA5" s="19" t="s">
        <v>46</v>
      </c>
      <c r="BB5" s="19" t="s">
        <v>1442</v>
      </c>
      <c r="BC5" s="19" t="s">
        <v>38</v>
      </c>
      <c r="BD5" s="19" t="s">
        <v>1441</v>
      </c>
      <c r="BE5" s="19" t="s">
        <v>95</v>
      </c>
      <c r="BF5" s="19" t="s">
        <v>1443</v>
      </c>
      <c r="BG5" s="19" t="s">
        <v>49</v>
      </c>
      <c r="BH5" s="19" t="s">
        <v>1444</v>
      </c>
      <c r="BI5" s="19" t="s">
        <v>46</v>
      </c>
      <c r="BJ5" s="19" t="s">
        <v>1442</v>
      </c>
      <c r="BK5" s="19" t="s">
        <v>38</v>
      </c>
      <c r="BL5" s="19" t="s">
        <v>1441</v>
      </c>
      <c r="BM5" s="19" t="s">
        <v>95</v>
      </c>
      <c r="BN5" s="19" t="s">
        <v>1443</v>
      </c>
      <c r="BO5" s="19" t="s">
        <v>50</v>
      </c>
      <c r="BP5" s="19" t="s">
        <v>51</v>
      </c>
      <c r="BQ5" s="19" t="s">
        <v>46</v>
      </c>
      <c r="BR5" s="19" t="s">
        <v>47</v>
      </c>
      <c r="BS5" s="19" t="s">
        <v>38</v>
      </c>
      <c r="BT5" s="19" t="s">
        <v>44</v>
      </c>
      <c r="BU5" s="19" t="s">
        <v>95</v>
      </c>
      <c r="BV5" s="19" t="s">
        <v>48</v>
      </c>
      <c r="BW5" s="19" t="s">
        <v>50</v>
      </c>
      <c r="BX5" s="19" t="s">
        <v>51</v>
      </c>
    </row>
    <row r="6" spans="5:76" hidden="1"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</row>
    <row r="7" spans="5:76" hidden="1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</row>
    <row r="8" spans="5:76" hidden="1"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</row>
    <row r="9" spans="5:76" hidden="1"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</row>
    <row r="10" spans="5:76" hidden="1"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</row>
    <row r="11" spans="5:76" ht="54">
      <c r="E11" s="21" t="s">
        <v>1999</v>
      </c>
      <c r="F11" s="22" t="s">
        <v>2000</v>
      </c>
      <c r="G11" s="22" t="s">
        <v>2001</v>
      </c>
      <c r="H11" s="7" t="s">
        <v>2002</v>
      </c>
      <c r="I11" s="211" t="s">
        <v>1588</v>
      </c>
      <c r="J11" s="141">
        <v>3730000</v>
      </c>
      <c r="K11" s="378" t="s">
        <v>1608</v>
      </c>
      <c r="L11" s="23">
        <v>36356</v>
      </c>
      <c r="M11" s="23">
        <v>36381</v>
      </c>
      <c r="N11" s="259">
        <v>37249</v>
      </c>
      <c r="O11" s="259">
        <v>37972</v>
      </c>
      <c r="P11" s="240" t="s">
        <v>2003</v>
      </c>
      <c r="Q11" s="5" t="s">
        <v>2004</v>
      </c>
      <c r="R11" s="5" t="s">
        <v>2005</v>
      </c>
      <c r="S11" s="154">
        <v>34</v>
      </c>
      <c r="T11" s="7">
        <v>18</v>
      </c>
      <c r="U11" s="7">
        <v>0</v>
      </c>
      <c r="V11" s="7" t="s">
        <v>131</v>
      </c>
      <c r="W11" s="7" t="s">
        <v>131</v>
      </c>
      <c r="X11" s="7" t="s">
        <v>131</v>
      </c>
      <c r="Y11" s="7" t="s">
        <v>131</v>
      </c>
      <c r="Z11" s="7" t="s">
        <v>131</v>
      </c>
      <c r="AA11" s="133">
        <v>0.5</v>
      </c>
      <c r="AB11" s="240" t="s">
        <v>2006</v>
      </c>
      <c r="AC11" s="240" t="s">
        <v>2007</v>
      </c>
      <c r="AD11" s="240" t="s">
        <v>2008</v>
      </c>
      <c r="AE11" s="240" t="s">
        <v>2009</v>
      </c>
      <c r="AF11" s="240" t="s">
        <v>2011</v>
      </c>
      <c r="AG11" s="240" t="s">
        <v>2010</v>
      </c>
      <c r="AH11" s="241" t="s">
        <v>2012</v>
      </c>
      <c r="AI11" s="148">
        <f ca="1">SUMPRODUCT( (OFFSET(제안사_펀드현황,0,3,ROWS(제안사_펀드현황),1)="청산료")*1 )</f>
        <v>7</v>
      </c>
      <c r="AJ11" s="24">
        <f ca="1">SUMPRODUCT( (OFFSET(제안사_펀드현황,0,3,ROWS(제안사_펀드현황),1)="청산료")*1, OFFSET(제안사_펀드현황,0,10,ROWS(제안사_펀드현황),1) )</f>
        <v>231910</v>
      </c>
      <c r="AK11" s="24">
        <f ca="1">SUMPRODUCT( (OFFSET(제안사_펀드현황,0,3,ROWS(제안사_펀드현황),1)="청산료")*1, OFFSET(제안사_펀드현황,0,11,ROWS(제안사_펀드현황),1) )</f>
        <v>231910</v>
      </c>
      <c r="AL11" s="24">
        <f ca="1">SUMPRODUCT( (OFFSET(제안사_펀드현황,0,3,ROWS(제안사_펀드현황),1)="청산료")*1, OFFSET(제안사_펀드현황,0,22,ROWS(제안사_펀드현황),1) )</f>
        <v>226879</v>
      </c>
      <c r="AM11" s="24">
        <f ca="1">SUMPRODUCT( (OFFSET(제안사_펀드현황,0,3,ROWS(제안사_펀드현황),1)="청산료")*1, OFFSET(제안사_펀드현황,0,23,ROWS(제안사_펀드현황),1) )</f>
        <v>373210</v>
      </c>
      <c r="AN11" s="24">
        <f ca="1">SUMPRODUCT( (OFFSET(제안사_펀드현황,0,3,ROWS(제안사_펀드현황),1)="청산료")*1, OFFSET(제안사_펀드현황,0,26,ROWS(제안사_펀드현황),1) )</f>
        <v>348157.15857700002</v>
      </c>
      <c r="AO11" s="24">
        <f ca="1">SUMPRODUCT( (OFFSET(제안사_펀드현황,0,3,ROWS(제안사_펀드현황),1)="청산료")*1, OFFSET(제안사_펀드현황,0,27,ROWS(제안사_펀드현황),1) )</f>
        <v>18571.067705000001</v>
      </c>
      <c r="AP11" s="25">
        <f ca="1">SUMPRODUCT( (OFFSET(제안사_펀드현황,0,3,ROWS(제안사_펀드현황),1)="청산료")*1, OFFSET(제안사_펀드현황,0,11,ROWS(제안사_펀드현황),1), OFFSET(제안사_펀드현황,0,19,ROWS(제안사_펀드현황),1) )/AK11</f>
        <v>0.29812760720210435</v>
      </c>
      <c r="AQ11" s="25">
        <f ca="1">(AN11+AO11)/AK11</f>
        <v>1.5813385635893236</v>
      </c>
      <c r="AR11" s="148">
        <f ca="1">SUMPRODUCT( (OFFSET(제안사_펀드현황,0,3,ROWS(제안사_펀드현황),1)&lt;&gt;"청산료")*1,  (OFFSET(제안사_펀드현황,0,3,ROWS(제안사_펀드현황),1)&lt;&gt;"")*1  )</f>
        <v>34</v>
      </c>
      <c r="AS11" s="24">
        <f ca="1">SUMPRODUCT( (OFFSET(제안사_펀드현황,0,3,ROWS(제안사_펀드현황),1)&lt;&gt;"청산료")*1,  (OFFSET(제안사_펀드현황,0,3,ROWS(제안사_펀드현황),1)&lt;&gt;"")*1,  OFFSET(제안사_펀드현황,0,10,ROWS(제안사_펀드현황),1) )</f>
        <v>2316115</v>
      </c>
      <c r="AT11" s="24">
        <f ca="1">SUMPRODUCT( (OFFSET(제안사_펀드현황,0,3,ROWS(제안사_펀드현황),1)&lt;&gt;"청산료")*1,  (OFFSET(제안사_펀드현황,0,3,ROWS(제안사_펀드현황),1)&lt;&gt;"")*1,  OFFSET(제안사_펀드현황,0,11,ROWS(제안사_펀드현황),1) )</f>
        <v>2033750</v>
      </c>
      <c r="AU11" s="24">
        <f ca="1">SUMPRODUCT( (OFFSET(제안사_펀드현황,0,3,ROWS(제안사_펀드현황),1)&lt;&gt;"청산료")*1,  (OFFSET(제안사_펀드현황,0,3,ROWS(제안사_펀드현황),1)&lt;&gt;"")*1,  OFFSET(제안사_펀드현황,0,22,ROWS(제안사_펀드현황),1) )</f>
        <v>2014370</v>
      </c>
      <c r="AV11" s="24">
        <f ca="1">SUMPRODUCT( (OFFSET(제안사_펀드현황,0,3,ROWS(제안사_펀드현황),1)&lt;&gt;"청산료")*1,  (OFFSET(제안사_펀드현황,0,3,ROWS(제안사_펀드현황),1)&lt;&gt;"")*1,  OFFSET(제안사_펀드현황,0,23,ROWS(제안사_펀드현황),1) )</f>
        <v>1031773</v>
      </c>
      <c r="AW11" s="24">
        <f ca="1">SUMPRODUCT( (OFFSET(제안사_펀드현황,0,3,ROWS(제안사_펀드현황),1)&lt;&gt;"청산료")*1,  (OFFSET(제안사_펀드현황,0,3,ROWS(제안사_펀드현황),1)&lt;&gt;"")*1,  OFFSET(제안사_펀드현황,0,26,ROWS(제안사_펀드현황),1) )</f>
        <v>956397.1137339999</v>
      </c>
      <c r="AX11" s="24">
        <f ca="1">SUMPRODUCT( (OFFSET(제안사_펀드현황,0,3,ROWS(제안사_펀드현황),1)&lt;&gt;"청산료")*1,  (OFFSET(제안사_펀드현황,0,3,ROWS(제안사_펀드현황),1)&lt;&gt;"")*1,  OFFSET(제안사_펀드현황,0,27,ROWS(제안사_펀드현황),1) )</f>
        <v>41574.013559999999</v>
      </c>
      <c r="AY11" s="24">
        <f ca="1">SUMPRODUCT( (OFFSET(제안사_펀드현황,0,3,ROWS(제안사_펀드현황),1)&lt;&gt;"청산료")*1,  (OFFSET(제안사_펀드현황,0,3,ROWS(제안사_펀드현황),1)&lt;&gt;"")*1,  OFFSET(제안사_펀드현황,0,33,ROWS(제안사_펀드현황),1) )</f>
        <v>1667623</v>
      </c>
      <c r="AZ11" s="24">
        <f ca="1">SUMPRODUCT( (OFFSET(제안사_펀드현황,0,2,ROWS(제안사_펀드현황),1)&lt;&gt;"청산료")*1,  (OFFSET(제안사_펀드현황,0,2,ROWS(제안사_펀드현황),1)&lt;&gt;"")*1, OFFSET(제안사_펀드현황,0,34,ROWS(제안사_펀드현황),1) )</f>
        <v>265666</v>
      </c>
      <c r="BA11" s="148">
        <f ca="1">SUMPRODUCT( (OFFSET(제안사_투자현황,0,0,ROWS(제안사_투자현황),1)="PE펀드계정")*1 )</f>
        <v>44</v>
      </c>
      <c r="BB11" s="148">
        <f ca="1">SUMPRODUCT( (OFFSET(제안사_투자현황,0,0,ROWS(제안사_투자현황),1)="PE펀드계정")*1, (OFFSET(제안사_투자현황,0,10,ROWS(제안사_투자현황),1)="회수료")*1 )</f>
        <v>17</v>
      </c>
      <c r="BC11" s="24">
        <f ca="1">SUMPRODUCT( (OFFSET(제안사_투자현황,0,0,ROWS(제안사_투자현황),1)="PE펀드계정")*1, OFFSET(제안사_투자현황,0,9,ROWS(제안사_투자현황),1) )</f>
        <v>1804220</v>
      </c>
      <c r="BD11" s="24">
        <f ca="1">SUMPRODUCT( (OFFSET(제안사_투자현황,0,0,ROWS(제안사_투자현황),1)="PE펀드계정")*1, OFFSET(제안사_투자현황,0,14,ROWS(제안사_투자현황),1) )</f>
        <v>977001</v>
      </c>
      <c r="BE11" s="24">
        <f ca="1">SUMPRODUCT( (OFFSET(제안사_투자현황,0,0,ROWS(제안사_투자현황),1)="PE펀드계정")*1, OFFSET(제안사_투자현황,0,21,ROWS(제안사_투자현황),1) )</f>
        <v>1310534</v>
      </c>
      <c r="BF11" s="24">
        <f ca="1">SUMPRODUCT( (OFFSET(제안사_투자현황,0,0,ROWS(제안사_투자현황),1)="PE펀드계정")*1, OFFSET(제안사_투자현황,0,22,ROWS(제안사_투자현황),1) )</f>
        <v>1435835</v>
      </c>
      <c r="BG11" s="26">
        <f ca="1">IF(BC11=0,"N/A", SUMPRODUCT( (OFFSET(제안사_투자현황,0,0,ROWS(제안사_투자현황),1)="PE펀드계정")*1, OFFSET(제안사_투자현황,0,9,ROWS(제안사_투자현황),1), OFFSET(제안사_투자현황,0,11,ROWS(제안사_투자현황),1) ) / BC11)</f>
        <v>8.2414860715433816E-2</v>
      </c>
      <c r="BH11" s="26">
        <f ca="1">IF(     SUMPRODUCT( (OFFSET(제안사_투자현황,0,0,ROWS(제안사_투자현황),1)="PE펀드계정")*1, OFFSET(제안사_투자현황,0,9,ROWS(제안사_투자현황),1), (OFFSET(제안사_투자현황,0,10,ROWS(제안사_투자현황),1)="회수료")*1) = 0,         "N/A",       SUMPRODUCT( (OFFSET(제안사_투자현황,0,0,ROWS(제안사_투자현황),1)="PE펀드계정")*1, OFFSET(제안사_투자현황,0,9,ROWS(제안사_투자현황),1), (OFFSET(제안사_투자현황,0,10,ROWS(제안사_투자현황),1)="회수료")*1, OFFSET(제안사_투자현황,0,11,ROWS(제안사_투자현황),1) )    /    SUMPRODUCT( (OFFSET(제안사_투자현황,0,0,ROWS(제안사_투자현황),1)="PE펀드계정")*1, OFFSET(제안사_투자현황,0,9,ROWS(제안사_투자현황),1), (OFFSET(제안사_투자현황,0,10,ROWS(제안사_투자현황),1)="회수료")*1)      )</f>
        <v>0.32113648045682103</v>
      </c>
      <c r="BI11" s="148">
        <f ca="1">SUMPRODUCT( (OFFSET(제안사_투자현황,0,0,ROWS(제안사_투자현황),1)="VC펀드계정")*1 )</f>
        <v>190</v>
      </c>
      <c r="BJ11" s="148">
        <f ca="1">SUMPRODUCT( (OFFSET(제안사_투자현황,0,0,ROWS(제안사_투자현황),1)="VC펀드계정")*1, (OFFSET(제안사_투자현황,0,10,ROWS(제안사_투자현황),1)="회수료")*1 )</f>
        <v>83</v>
      </c>
      <c r="BK11" s="27">
        <f ca="1">SUMPRODUCT( (OFFSET(제안사_투자현황,0,0,ROWS(제안사_투자현황),1)="VC펀드계정")*1, OFFSET(제안사_투자현황,0,9,ROWS(제안사_투자현황),1) )</f>
        <v>353290</v>
      </c>
      <c r="BL11" s="27">
        <f ca="1">SUMPRODUCT( (OFFSET(제안사_투자현황,0,0,ROWS(제안사_투자현황),1)="VC펀드계정")*1, OFFSET(제안사_투자현황,0,14,ROWS(제안사_투자현황),1) )</f>
        <v>265113</v>
      </c>
      <c r="BM11" s="27">
        <f ca="1">SUMPRODUCT( (OFFSET(제안사_투자현황,0,0,ROWS(제안사_투자현황),1)="VC펀드계정")*1, OFFSET(제안사_투자현황,0,21,ROWS(제안사_투자현황),1) )</f>
        <v>193418</v>
      </c>
      <c r="BN11" s="27">
        <f ca="1">SUMPRODUCT( (OFFSET(제안사_투자현황,0,0,ROWS(제안사_투자현황),1)="VC펀드계정")*1, OFFSET(제안사_투자현황,0,22,ROWS(제안사_투자현황),1) )</f>
        <v>204649</v>
      </c>
      <c r="BO11" s="26">
        <f ca="1">IF(BK11=0,"N/A", SUMPRODUCT( (OFFSET(제안사_투자현황,0,0,ROWS(제안사_투자현황),1)="VC펀드계정")*1, OFFSET(제안사_투자현황,0,9,ROWS(제안사_투자현황),1), OFFSET(제안사_투자현황,0,11,ROWS(제안사_투자현황),1) ) / BK11)</f>
        <v>9.316361063149256E-2</v>
      </c>
      <c r="BP11" s="26">
        <f ca="1">IF(     SUMPRODUCT( (OFFSET(제안사_투자현황,0,0,ROWS(제안사_투자현황),1)="VC펀드계정")*1, OFFSET(제안사_투자현황,0,9,ROWS(제안사_투자현황),1), (OFFSET(제안사_투자현황,0,10,ROWS(제안사_투자현황),1)="회수료")*1) = 0,         "N/A",       SUMPRODUCT( (OFFSET(제안사_투자현황,0,0,ROWS(제안사_투자현황),1)="VC펀드계정")*1, OFFSET(제안사_투자현황,0,9,ROWS(제안사_투자현황),1), (OFFSET(제안사_투자현황,0,10,ROWS(제안사_투자현황),1)="회수료")*1, OFFSET(제안사_투자현황,0,11,ROWS(제안사_투자현황),1) )    /    SUMPRODUCT( (OFFSET(제안사_투자현황,0,0,ROWS(제안사_투자현황),1)="VC펀드계정")*1, OFFSET(제안사_투자현황,0,9,ROWS(제안사_투자현황),1), (OFFSET(제안사_투자현황,0,10,ROWS(제안사_투자현황),1)="회수료")*1)      )</f>
        <v>0.22057064354212882</v>
      </c>
      <c r="BQ11" s="148">
        <f ca="1">SUMPRODUCT( (OFFSET(제안사_투자현황,0,0,ROWS(제안사_투자현황),1)="기타 주식등 투자펀드계정")*1 )</f>
        <v>31</v>
      </c>
      <c r="BR11" s="148">
        <f ca="1">SUMPRODUCT( (OFFSET(제안사_투자현황,0,0,ROWS(제안사_투자현황),1)="기타 주식등 투자펀드계정")*1, (OFFSET(제안사_투자현황,0,10,ROWS(제안사_투자현황),1)="회수료")*1 )</f>
        <v>14</v>
      </c>
      <c r="BS11" s="27">
        <f ca="1">SUMPRODUCT( (OFFSET(제안사_투자현황,0,0,ROWS(제안사_투자현황),1)="기타 주식등 투자펀드계정")*1, OFFSET(제안사_투자현황,0,9,ROWS(제안사_투자현황),1) )</f>
        <v>83739</v>
      </c>
      <c r="BT11" s="27">
        <f ca="1">SUMPRODUCT( (OFFSET(제안사_투자현황,0,0,ROWS(제안사_투자현황),1)="기타 주식등 투자펀드계정")*1, OFFSET(제안사_투자현황,0,14,ROWS(제안사_투자현황),1) )</f>
        <v>162869</v>
      </c>
      <c r="BU11" s="27">
        <f ca="1">SUMPRODUCT( (OFFSET(제안사_투자현황,0,0,ROWS(제안사_투자현황),1)="기타 주식등 투자펀드계정")*1, OFFSET(제안사_투자현황,0,21,ROWS(제안사_투자현황),1) )</f>
        <v>11055</v>
      </c>
      <c r="BV11" s="27">
        <f ca="1">SUMPRODUCT( (OFFSET(제안사_투자현황,0,0,ROWS(제안사_투자현황),1)="기타 주식등 투자펀드계정")*1, OFFSET(제안사_투자현황,0,22,ROWS(제안사_투자현황),1) )</f>
        <v>18900</v>
      </c>
      <c r="BW11" s="26">
        <f ca="1">IF(BS11=0,"N/A", SUMPRODUCT( (OFFSET(제안사_투자현황,0,0,ROWS(제안사_투자현황),1)="기타 주식등 투자펀드계정")*1, OFFSET(제안사_투자현황,0,9,ROWS(제안사_투자현황),1), OFFSET(제안사_투자현황,0,11,ROWS(제안사_투자현황),1) ) / BS11)</f>
        <v>0.43145875876234496</v>
      </c>
      <c r="BX11" s="26">
        <f ca="1">IF(     SUMPRODUCT( (OFFSET(제안사_투자현황,0,0,ROWS(제안사_투자현황),1)="기타 주식등 투자펀드계정")*1, OFFSET(제안사_투자현황,0,9,ROWS(제안사_투자현황),1), (OFFSET(제안사_투자현황,0,10,ROWS(제안사_투자현황),1)="회수료")*1) = 0,         "N/A",       SUMPRODUCT( (OFFSET(제안사_투자현황,0,0,ROWS(제안사_투자현황),1)="기타 주식등 투자펀드계정")*1, OFFSET(제안사_투자현황,0,9,ROWS(제안사_투자현황),1), (OFFSET(제안사_투자현황,0,10,ROWS(제안사_투자현황),1)="회수료")*1, OFFSET(제안사_투자현황,0,11,ROWS(제안사_투자현황),1) )    /    SUMPRODUCT( (OFFSET(제안사_투자현황,0,0,ROWS(제안사_투자현황),1)="기타 주식등 투자펀드계정")*1, OFFSET(제안사_투자현황,0,9,ROWS(제안사_투자현황),1), (OFFSET(제안사_투자현황,0,10,ROWS(제안사_투자현황),1)="회수료")*1)      )</f>
        <v>0.55894931852287322</v>
      </c>
    </row>
    <row r="12" spans="5:76"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393"/>
      <c r="BW12" s="212"/>
      <c r="BX12" s="212"/>
    </row>
  </sheetData>
  <mergeCells count="11">
    <mergeCell ref="E4:K4"/>
    <mergeCell ref="L4:O4"/>
    <mergeCell ref="P4:R4"/>
    <mergeCell ref="S4:U4"/>
    <mergeCell ref="AB4:AH4"/>
    <mergeCell ref="V4:AA4"/>
    <mergeCell ref="AI4:AQ4"/>
    <mergeCell ref="BQ4:BX4"/>
    <mergeCell ref="AR4:AZ4"/>
    <mergeCell ref="BA4:BH4"/>
    <mergeCell ref="BI4:BP4"/>
  </mergeCells>
  <phoneticPr fontId="1" type="noConversion"/>
  <dataValidations count="3">
    <dataValidation type="list" allowBlank="1" showInputMessage="1" showErrorMessage="1" sqref="I11">
      <formula1>운용사유형</formula1>
    </dataValidation>
    <dataValidation type="list" allowBlank="1" showInputMessage="1" showErrorMessage="1" sqref="V11:Z11">
      <formula1>여부</formula1>
    </dataValidation>
    <dataValidation type="list" allowBlank="1" showInputMessage="1" showErrorMessage="1" sqref="K11">
      <formula1>스튜어드십코드참여여부</formula1>
    </dataValidation>
  </dataValidations>
  <hyperlinks>
    <hyperlink ref="AH11" r:id="rId1"/>
  </hyperlinks>
  <pageMargins left="0.7" right="0.7" top="0.75" bottom="0.75" header="0.3" footer="0.3"/>
  <pageSetup paperSize="9" orientation="portrait" horizontalDpi="4294967295" verticalDpi="4294967295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E1:S13"/>
  <sheetViews>
    <sheetView view="pageBreakPreview" topLeftCell="E4" zoomScale="60" zoomScaleNormal="100" workbookViewId="0">
      <selection activeCell="M55" sqref="M55"/>
    </sheetView>
  </sheetViews>
  <sheetFormatPr defaultRowHeight="16.5"/>
  <cols>
    <col min="1" max="4" width="0" hidden="1" customWidth="1"/>
    <col min="5" max="19" width="17.625" customWidth="1"/>
  </cols>
  <sheetData>
    <row r="1" spans="5:19" hidden="1"/>
    <row r="2" spans="5:19" hidden="1"/>
    <row r="3" spans="5:19" hidden="1"/>
    <row r="4" spans="5:19">
      <c r="E4" s="4" t="s">
        <v>52</v>
      </c>
      <c r="F4" s="4" t="s">
        <v>53</v>
      </c>
      <c r="G4" s="4" t="s">
        <v>54</v>
      </c>
      <c r="H4" s="4" t="s">
        <v>55</v>
      </c>
      <c r="I4" s="4" t="s">
        <v>56</v>
      </c>
      <c r="J4" s="4" t="s">
        <v>57</v>
      </c>
      <c r="K4" s="4" t="s">
        <v>58</v>
      </c>
      <c r="L4" s="28" t="s">
        <v>59</v>
      </c>
      <c r="M4" s="4" t="s">
        <v>60</v>
      </c>
      <c r="N4" s="4" t="s">
        <v>61</v>
      </c>
      <c r="O4" s="4" t="s">
        <v>62</v>
      </c>
      <c r="P4" s="4" t="s">
        <v>63</v>
      </c>
      <c r="Q4" s="28" t="s">
        <v>64</v>
      </c>
      <c r="R4" s="4" t="s">
        <v>65</v>
      </c>
      <c r="S4" s="4" t="s">
        <v>66</v>
      </c>
    </row>
    <row r="5" spans="5:19" hidden="1"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5:19" hidden="1"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5:19" hidden="1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5:19" hidden="1"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5:19" hidden="1"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5:19" hidden="1"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5:19">
      <c r="E11" s="30">
        <v>42735</v>
      </c>
      <c r="F11" s="31">
        <v>61093</v>
      </c>
      <c r="G11" s="31">
        <v>19419</v>
      </c>
      <c r="H11" s="31">
        <v>23052</v>
      </c>
      <c r="I11" s="31">
        <v>17214</v>
      </c>
      <c r="J11" s="31">
        <v>38041</v>
      </c>
      <c r="K11" s="31">
        <v>18650</v>
      </c>
      <c r="L11" s="31">
        <v>29154</v>
      </c>
      <c r="M11" s="31">
        <v>19797</v>
      </c>
      <c r="N11" s="32">
        <v>6368</v>
      </c>
      <c r="O11" s="33">
        <f>G11/I11</f>
        <v>1.128093412338794</v>
      </c>
      <c r="P11" s="33">
        <f>H11/J11</f>
        <v>0.60597776083699162</v>
      </c>
      <c r="Q11" s="33">
        <f>J11/K11</f>
        <v>2.0397319034852548</v>
      </c>
      <c r="R11" s="33">
        <f>L11/M11</f>
        <v>1.4726473708137597</v>
      </c>
      <c r="S11" s="33">
        <f>N11/J11</f>
        <v>0.16739833337714571</v>
      </c>
    </row>
    <row r="12" spans="5:19">
      <c r="E12" s="30">
        <v>42369</v>
      </c>
      <c r="F12" s="31">
        <v>53443</v>
      </c>
      <c r="G12" s="31">
        <v>14714</v>
      </c>
      <c r="H12" s="31">
        <v>22384</v>
      </c>
      <c r="I12" s="31">
        <v>11866</v>
      </c>
      <c r="J12" s="31">
        <v>31059</v>
      </c>
      <c r="K12" s="31">
        <v>18650</v>
      </c>
      <c r="L12" s="31">
        <v>20677</v>
      </c>
      <c r="M12" s="31">
        <v>14242</v>
      </c>
      <c r="N12" s="32">
        <v>5101</v>
      </c>
      <c r="O12" s="33">
        <f t="shared" ref="O12:P13" si="0">G12/I12</f>
        <v>1.2400134839035901</v>
      </c>
      <c r="P12" s="33">
        <f t="shared" si="0"/>
        <v>0.7206928748510899</v>
      </c>
      <c r="Q12" s="33">
        <f>J12/K12</f>
        <v>1.6653619302949061</v>
      </c>
      <c r="R12" s="33">
        <f>L12/M12</f>
        <v>1.4518326077798063</v>
      </c>
      <c r="S12" s="33">
        <f>N12/J12</f>
        <v>0.16423580926623524</v>
      </c>
    </row>
    <row r="13" spans="5:19">
      <c r="E13" s="30">
        <v>42004</v>
      </c>
      <c r="F13" s="31">
        <v>47730</v>
      </c>
      <c r="G13" s="31">
        <v>7745</v>
      </c>
      <c r="H13" s="31">
        <v>21495</v>
      </c>
      <c r="I13" s="31">
        <v>16245</v>
      </c>
      <c r="J13" s="31">
        <v>26235</v>
      </c>
      <c r="K13" s="31">
        <v>18650</v>
      </c>
      <c r="L13" s="31">
        <v>14607</v>
      </c>
      <c r="M13" s="31">
        <v>10713</v>
      </c>
      <c r="N13" s="32">
        <v>3774</v>
      </c>
      <c r="O13" s="33">
        <f t="shared" si="0"/>
        <v>0.47676208064019698</v>
      </c>
      <c r="P13" s="33">
        <f t="shared" si="0"/>
        <v>0.81932532875929098</v>
      </c>
      <c r="Q13" s="33">
        <f>J13/K13</f>
        <v>1.4067024128686327</v>
      </c>
      <c r="R13" s="33">
        <f>L13/M13</f>
        <v>1.3634836180341641</v>
      </c>
      <c r="S13" s="33">
        <f>N13/J13</f>
        <v>0.14385363064608347</v>
      </c>
    </row>
  </sheetData>
  <phoneticPr fontId="1" type="noConversion"/>
  <dataValidations count="2">
    <dataValidation allowBlank="1" showInputMessage="1" showErrorMessage="1" error="연도별 결산일자 기입" sqref="E4:S10"/>
    <dataValidation type="date" allowBlank="1" showInputMessage="1" showErrorMessage="1" error="결산 연월일을 입력" sqref="E11:E13">
      <formula1>36526</formula1>
      <formula2>2958465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E1:J20"/>
  <sheetViews>
    <sheetView view="pageBreakPreview" topLeftCell="E4" zoomScale="60" zoomScaleNormal="100" workbookViewId="0">
      <selection activeCell="M58" sqref="M58"/>
    </sheetView>
  </sheetViews>
  <sheetFormatPr defaultRowHeight="16.5"/>
  <cols>
    <col min="1" max="4" width="0" hidden="1" customWidth="1"/>
    <col min="5" max="5" width="17.625" customWidth="1"/>
    <col min="6" max="6" width="10.375" bestFit="1" customWidth="1"/>
    <col min="7" max="7" width="10.75" customWidth="1"/>
    <col min="8" max="8" width="17.625" customWidth="1"/>
    <col min="9" max="9" width="14.375" customWidth="1"/>
    <col min="10" max="10" width="5.375" bestFit="1" customWidth="1"/>
  </cols>
  <sheetData>
    <row r="1" spans="5:10" hidden="1"/>
    <row r="2" spans="5:10" hidden="1"/>
    <row r="3" spans="5:10" hidden="1"/>
    <row r="4" spans="5:10" ht="22.5" customHeight="1">
      <c r="E4" s="128" t="s">
        <v>1412</v>
      </c>
      <c r="F4" s="128" t="s">
        <v>1413</v>
      </c>
      <c r="G4" s="128" t="s">
        <v>1414</v>
      </c>
      <c r="H4" s="128" t="s">
        <v>1415</v>
      </c>
      <c r="I4" s="386" t="s">
        <v>1416</v>
      </c>
      <c r="J4" s="128" t="s">
        <v>1417</v>
      </c>
    </row>
    <row r="5" spans="5:10" hidden="1">
      <c r="E5" s="4"/>
      <c r="F5" s="4"/>
      <c r="G5" s="4"/>
      <c r="H5" s="4"/>
      <c r="I5" s="11"/>
      <c r="J5" s="127"/>
    </row>
    <row r="6" spans="5:10" hidden="1">
      <c r="E6" s="4"/>
      <c r="F6" s="4"/>
      <c r="G6" s="4"/>
      <c r="H6" s="4"/>
      <c r="I6" s="11"/>
      <c r="J6" s="127"/>
    </row>
    <row r="7" spans="5:10" hidden="1">
      <c r="E7" s="4"/>
      <c r="F7" s="4"/>
      <c r="G7" s="4"/>
      <c r="H7" s="4"/>
      <c r="I7" s="11"/>
      <c r="J7" s="127"/>
    </row>
    <row r="8" spans="5:10" hidden="1">
      <c r="E8" s="4"/>
      <c r="F8" s="4"/>
      <c r="G8" s="4"/>
      <c r="H8" s="4"/>
      <c r="I8" s="11"/>
      <c r="J8" s="127"/>
    </row>
    <row r="9" spans="5:10" hidden="1">
      <c r="E9" s="4"/>
      <c r="F9" s="4"/>
      <c r="G9" s="4"/>
      <c r="H9" s="4"/>
      <c r="I9" s="11"/>
      <c r="J9" s="127"/>
    </row>
    <row r="10" spans="5:10" hidden="1">
      <c r="E10" s="4"/>
      <c r="F10" s="4"/>
      <c r="G10" s="4"/>
      <c r="H10" s="4"/>
      <c r="I10" s="11"/>
      <c r="J10" s="127"/>
    </row>
    <row r="11" spans="5:10">
      <c r="E11" s="149" t="s">
        <v>2958</v>
      </c>
      <c r="F11" s="206">
        <v>2871446</v>
      </c>
      <c r="G11" s="153">
        <f>F11/'2.1 제안사 개요'!$J$11</f>
        <v>0.76982466487935652</v>
      </c>
      <c r="H11" s="152" t="s">
        <v>2016</v>
      </c>
      <c r="I11" s="151" t="s">
        <v>117</v>
      </c>
      <c r="J11" s="34"/>
    </row>
    <row r="12" spans="5:10">
      <c r="E12" s="150" t="s">
        <v>2013</v>
      </c>
      <c r="F12" s="206">
        <v>440525</v>
      </c>
      <c r="G12" s="153">
        <f>F12/'2.1 제안사 개요'!$J$11</f>
        <v>0.11810321715817694</v>
      </c>
      <c r="H12" s="152"/>
      <c r="I12" s="151" t="s">
        <v>117</v>
      </c>
      <c r="J12" s="34"/>
    </row>
    <row r="13" spans="5:10">
      <c r="E13" s="150" t="s">
        <v>2014</v>
      </c>
      <c r="F13" s="206">
        <v>136461</v>
      </c>
      <c r="G13" s="153">
        <f>F13/'2.1 제안사 개요'!$J$11</f>
        <v>3.6584718498659519E-2</v>
      </c>
      <c r="H13" s="152"/>
      <c r="I13" s="151" t="s">
        <v>117</v>
      </c>
      <c r="J13" s="34"/>
    </row>
    <row r="14" spans="5:10">
      <c r="E14" s="149" t="s">
        <v>2015</v>
      </c>
      <c r="F14" s="206">
        <v>130583</v>
      </c>
      <c r="G14" s="153">
        <f>F14/'2.1 제안사 개요'!$J$11</f>
        <v>3.5008847184986598E-2</v>
      </c>
      <c r="H14" s="152"/>
      <c r="I14" s="151" t="s">
        <v>117</v>
      </c>
      <c r="J14" s="34"/>
    </row>
    <row r="15" spans="5:10">
      <c r="E15" s="149" t="s">
        <v>137</v>
      </c>
      <c r="F15" s="206">
        <v>150985</v>
      </c>
      <c r="G15" s="153">
        <f>F15/'2.1 제안사 개요'!$J$11</f>
        <v>4.0478552278820377E-2</v>
      </c>
      <c r="H15" s="152"/>
      <c r="I15" s="151" t="s">
        <v>117</v>
      </c>
      <c r="J15" s="34"/>
    </row>
    <row r="16" spans="5:10" hidden="1">
      <c r="E16" s="149"/>
      <c r="F16" s="206"/>
      <c r="G16" s="153">
        <f>F16/'2.1 제안사 개요'!$J$11</f>
        <v>0</v>
      </c>
      <c r="H16" s="152"/>
      <c r="I16" s="151"/>
      <c r="J16" s="34"/>
    </row>
    <row r="17" spans="5:10" hidden="1">
      <c r="E17" s="149"/>
      <c r="F17" s="206"/>
      <c r="G17" s="153">
        <f>F17/'2.1 제안사 개요'!$J$11</f>
        <v>0</v>
      </c>
      <c r="H17" s="152"/>
      <c r="I17" s="151"/>
      <c r="J17" s="34"/>
    </row>
    <row r="18" spans="5:10" hidden="1">
      <c r="E18" s="150"/>
      <c r="F18" s="206"/>
      <c r="G18" s="153">
        <f>F18/'2.1 제안사 개요'!$J$11</f>
        <v>0</v>
      </c>
      <c r="H18" s="152"/>
      <c r="I18" s="151"/>
      <c r="J18" s="34"/>
    </row>
    <row r="19" spans="5:10" hidden="1">
      <c r="E19" s="150"/>
      <c r="F19" s="206"/>
      <c r="G19" s="153">
        <f>F19/'2.1 제안사 개요'!$J$11</f>
        <v>0</v>
      </c>
      <c r="H19" s="152"/>
      <c r="I19" s="151"/>
      <c r="J19" s="34"/>
    </row>
    <row r="20" spans="5:10" hidden="1">
      <c r="E20" s="150"/>
      <c r="F20" s="206"/>
      <c r="G20" s="153">
        <f>F20/'2.1 제안사 개요'!$J$11</f>
        <v>0</v>
      </c>
      <c r="H20" s="152"/>
      <c r="I20" s="151"/>
      <c r="J20" s="34"/>
    </row>
  </sheetData>
  <phoneticPr fontId="1" type="noConversion"/>
  <dataValidations count="2">
    <dataValidation type="list" allowBlank="1" showInputMessage="1" showErrorMessage="1" sqref="I11:I20">
      <formula1>여부</formula1>
    </dataValidation>
    <dataValidation allowBlank="1" showInputMessage="1" showErrorMessage="1" error="연도별 결산일자 기입" sqref="E4:J10 E11:F20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E1:J19"/>
  <sheetViews>
    <sheetView topLeftCell="E17" zoomScaleNormal="100" workbookViewId="0">
      <selection activeCell="I35" sqref="I35"/>
    </sheetView>
  </sheetViews>
  <sheetFormatPr defaultRowHeight="16.5"/>
  <cols>
    <col min="1" max="4" width="0" hidden="1" customWidth="1"/>
    <col min="5" max="5" width="12.875" customWidth="1"/>
    <col min="6" max="6" width="18.75" customWidth="1"/>
    <col min="7" max="7" width="15" customWidth="1"/>
    <col min="8" max="8" width="15.25" customWidth="1"/>
    <col min="9" max="9" width="9" customWidth="1"/>
    <col min="10" max="10" width="45.625" customWidth="1"/>
  </cols>
  <sheetData>
    <row r="1" spans="5:10" hidden="1"/>
    <row r="2" spans="5:10" hidden="1"/>
    <row r="3" spans="5:10" hidden="1"/>
    <row r="4" spans="5:10">
      <c r="E4" s="528" t="s">
        <v>1404</v>
      </c>
      <c r="F4" s="529"/>
      <c r="G4" s="528" t="s">
        <v>1405</v>
      </c>
      <c r="H4" s="530"/>
      <c r="I4" s="529"/>
      <c r="J4" s="531" t="s">
        <v>1406</v>
      </c>
    </row>
    <row r="5" spans="5:10">
      <c r="E5" s="190" t="s">
        <v>1407</v>
      </c>
      <c r="F5" s="190" t="s">
        <v>1408</v>
      </c>
      <c r="G5" s="190" t="s">
        <v>1409</v>
      </c>
      <c r="H5" s="190" t="s">
        <v>1410</v>
      </c>
      <c r="I5" s="191" t="s">
        <v>1411</v>
      </c>
      <c r="J5" s="532"/>
    </row>
    <row r="6" spans="5:10" ht="16.5" hidden="1" customHeight="1">
      <c r="J6" s="2"/>
    </row>
    <row r="7" spans="5:10" ht="16.5" hidden="1" customHeight="1">
      <c r="J7" s="2"/>
    </row>
    <row r="8" spans="5:10" ht="16.5" hidden="1" customHeight="1">
      <c r="J8" s="2"/>
    </row>
    <row r="9" spans="5:10" ht="16.5" hidden="1" customHeight="1">
      <c r="J9" s="2"/>
    </row>
    <row r="10" spans="5:10" ht="16.5" hidden="1" customHeight="1">
      <c r="J10" s="2"/>
    </row>
    <row r="11" spans="5:10">
      <c r="E11" s="142" t="s">
        <v>1279</v>
      </c>
      <c r="F11" s="142" t="s">
        <v>2616</v>
      </c>
      <c r="G11" s="330">
        <f>'2.1 제안사 개요'!L11</f>
        <v>36356</v>
      </c>
      <c r="H11" s="10">
        <v>36622</v>
      </c>
      <c r="I11" s="331">
        <f>IF(ISBLANK(G11),"",DATEDIF(G11,H11,"d")/365)</f>
        <v>0.72876712328767124</v>
      </c>
      <c r="J11" s="332"/>
    </row>
    <row r="12" spans="5:10">
      <c r="E12" s="142" t="s">
        <v>1279</v>
      </c>
      <c r="F12" s="142" t="s">
        <v>2617</v>
      </c>
      <c r="G12" s="10">
        <v>36622</v>
      </c>
      <c r="H12" s="10">
        <v>36937</v>
      </c>
      <c r="I12" s="331">
        <f t="shared" ref="I12:I18" si="0">IF(ISBLANK(G12),"",DATEDIF(G12,H12,"d")/365)</f>
        <v>0.86301369863013699</v>
      </c>
      <c r="J12" s="332"/>
    </row>
    <row r="13" spans="5:10">
      <c r="E13" s="142" t="s">
        <v>1605</v>
      </c>
      <c r="F13" s="142" t="s">
        <v>2618</v>
      </c>
      <c r="G13" s="10">
        <v>36845</v>
      </c>
      <c r="H13" s="10">
        <v>37581</v>
      </c>
      <c r="I13" s="331">
        <f t="shared" si="0"/>
        <v>2.0164383561643837</v>
      </c>
      <c r="J13" s="332" t="s">
        <v>2619</v>
      </c>
    </row>
    <row r="14" spans="5:10">
      <c r="E14" s="142" t="s">
        <v>1605</v>
      </c>
      <c r="F14" s="142" t="s">
        <v>2620</v>
      </c>
      <c r="G14" s="10">
        <v>36937</v>
      </c>
      <c r="H14" s="10">
        <v>37896</v>
      </c>
      <c r="I14" s="331">
        <f t="shared" si="0"/>
        <v>2.6273972602739728</v>
      </c>
      <c r="J14" s="332" t="s">
        <v>2619</v>
      </c>
    </row>
    <row r="15" spans="5:10">
      <c r="E15" s="142" t="s">
        <v>1279</v>
      </c>
      <c r="F15" s="142" t="s">
        <v>2060</v>
      </c>
      <c r="G15" s="10">
        <v>37883</v>
      </c>
      <c r="H15" s="10">
        <v>38467</v>
      </c>
      <c r="I15" s="331">
        <f t="shared" si="0"/>
        <v>1.6</v>
      </c>
      <c r="J15" s="332"/>
    </row>
    <row r="16" spans="5:10">
      <c r="E16" s="142" t="s">
        <v>1605</v>
      </c>
      <c r="F16" s="142" t="s">
        <v>2620</v>
      </c>
      <c r="G16" s="10">
        <v>38414</v>
      </c>
      <c r="H16" s="10">
        <v>39778</v>
      </c>
      <c r="I16" s="331">
        <f t="shared" si="0"/>
        <v>3.7369863013698632</v>
      </c>
      <c r="J16" s="332" t="s">
        <v>2619</v>
      </c>
    </row>
    <row r="17" spans="5:10">
      <c r="E17" s="142" t="s">
        <v>1605</v>
      </c>
      <c r="F17" s="142" t="s">
        <v>2062</v>
      </c>
      <c r="G17" s="10">
        <v>38460</v>
      </c>
      <c r="H17" s="10">
        <v>42993</v>
      </c>
      <c r="I17" s="331">
        <f t="shared" si="0"/>
        <v>12.419178082191781</v>
      </c>
      <c r="J17" s="332" t="s">
        <v>2619</v>
      </c>
    </row>
    <row r="18" spans="5:10">
      <c r="E18" s="142" t="s">
        <v>1605</v>
      </c>
      <c r="F18" s="142" t="s">
        <v>2060</v>
      </c>
      <c r="G18" s="10">
        <v>39778</v>
      </c>
      <c r="H18" s="10">
        <v>40627</v>
      </c>
      <c r="I18" s="331">
        <f t="shared" si="0"/>
        <v>2.3260273972602739</v>
      </c>
      <c r="J18" s="332" t="s">
        <v>2619</v>
      </c>
    </row>
    <row r="19" spans="5:10">
      <c r="E19" s="142" t="s">
        <v>1605</v>
      </c>
      <c r="F19" s="142" t="s">
        <v>2060</v>
      </c>
      <c r="G19" s="10">
        <v>41821</v>
      </c>
      <c r="H19" s="330">
        <f>'1.1 제안펀드'!E11</f>
        <v>42993</v>
      </c>
      <c r="I19" s="331">
        <f>IF(ISBLANK(G19),"",DATEDIF(G19,H19,"d")/365)</f>
        <v>3.2109589041095892</v>
      </c>
      <c r="J19" s="332" t="s">
        <v>2619</v>
      </c>
    </row>
  </sheetData>
  <mergeCells count="3">
    <mergeCell ref="E4:F4"/>
    <mergeCell ref="G4:I4"/>
    <mergeCell ref="J4:J5"/>
  </mergeCells>
  <phoneticPr fontId="1" type="noConversion"/>
  <dataValidations count="1">
    <dataValidation type="list" allowBlank="1" showInputMessage="1" showErrorMessage="1" sqref="E11:E19">
      <formula1>대표이사_구분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42</vt:i4>
      </vt:variant>
    </vt:vector>
  </HeadingPairs>
  <TitlesOfParts>
    <vt:vector size="61" baseType="lpstr">
      <vt:lpstr>작성요령</vt:lpstr>
      <vt:lpstr>열제목별 목록값</vt:lpstr>
      <vt:lpstr>공직유관단체 코드</vt:lpstr>
      <vt:lpstr>1.1 제안펀드</vt:lpstr>
      <vt:lpstr>1.2 예상출자내역</vt:lpstr>
      <vt:lpstr>2.1 제안사 개요</vt:lpstr>
      <vt:lpstr>2.2 제안사 재무현황</vt:lpstr>
      <vt:lpstr>2.3 제안사 주주현황</vt:lpstr>
      <vt:lpstr>2.4 제안사 대표이사 변경이력</vt:lpstr>
      <vt:lpstr>2.5 제안사 펀드현황</vt:lpstr>
      <vt:lpstr>2.6 제안사 투자현황</vt:lpstr>
      <vt:lpstr>3.1 대표이사&amp;참여인력 개요</vt:lpstr>
      <vt:lpstr>3.2 참여인력 투자현황</vt:lpstr>
      <vt:lpstr>3.3 참여인력 학력</vt:lpstr>
      <vt:lpstr>3.4 대표이사&amp;참여인력 경력</vt:lpstr>
      <vt:lpstr>4.1 펀드거래</vt:lpstr>
      <vt:lpstr>4.2 핵심운용인력 변경이력</vt:lpstr>
      <vt:lpstr>5.1 업무협력 현황</vt:lpstr>
      <vt:lpstr>5.2 투자검토 내역</vt:lpstr>
      <vt:lpstr>KDB출자_요청액</vt:lpstr>
      <vt:lpstr>'4.1 펀드거래'!Print_Area</vt:lpstr>
      <vt:lpstr>'열제목별 목록값'!Print_Area</vt:lpstr>
      <vt:lpstr>작성요령!Print_Area</vt:lpstr>
      <vt:lpstr>공동투자약정_상대방_유형</vt:lpstr>
      <vt:lpstr>납입방식</vt:lpstr>
      <vt:lpstr>담당역할</vt:lpstr>
      <vt:lpstr>대표이사_구분</vt:lpstr>
      <vt:lpstr>대표이사_참여인력_개요</vt:lpstr>
      <vt:lpstr>대표이사_참여인력_경력</vt:lpstr>
      <vt:lpstr>대표이사_참여인력_투자현황</vt:lpstr>
      <vt:lpstr>대표이사참여인력경력</vt:lpstr>
      <vt:lpstr>동반투자자유형</vt:lpstr>
      <vt:lpstr>스튜어드십코드참여여부</vt:lpstr>
      <vt:lpstr>신청리그</vt:lpstr>
      <vt:lpstr>신청분야</vt:lpstr>
      <vt:lpstr>업무협력유형</vt:lpstr>
      <vt:lpstr>여부</vt:lpstr>
      <vt:lpstr>운용사유형</vt:lpstr>
      <vt:lpstr>재직회사_유형</vt:lpstr>
      <vt:lpstr>제안사_투자현황</vt:lpstr>
      <vt:lpstr>제안사_펀드현황</vt:lpstr>
      <vt:lpstr>제안펀드의_주목적투자분야와_관련성</vt:lpstr>
      <vt:lpstr>주요업무수행내역</vt:lpstr>
      <vt:lpstr>참여인력구분</vt:lpstr>
      <vt:lpstr>출자자유형</vt:lpstr>
      <vt:lpstr>출자확정구분</vt:lpstr>
      <vt:lpstr>투자계정구분</vt:lpstr>
      <vt:lpstr>투자기업_법인유형</vt:lpstr>
      <vt:lpstr>투자유형</vt:lpstr>
      <vt:lpstr>펀드_거래</vt:lpstr>
      <vt:lpstr>펀드거래유형</vt:lpstr>
      <vt:lpstr>펀드계정구분</vt:lpstr>
      <vt:lpstr>펀드구분</vt:lpstr>
      <vt:lpstr>펀드법적유형</vt:lpstr>
      <vt:lpstr>펀드상태</vt:lpstr>
      <vt:lpstr>펀드유형__투자대상확정여부</vt:lpstr>
      <vt:lpstr>핵심운용인력_변경구분</vt:lpstr>
      <vt:lpstr>핵심운용인력_변경내역</vt:lpstr>
      <vt:lpstr>핵심운용인력변경구분</vt:lpstr>
      <vt:lpstr>회수구분</vt:lpstr>
      <vt:lpstr>회수유형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bokyung</cp:lastModifiedBy>
  <cp:lastPrinted>2017-09-26T09:06:48Z</cp:lastPrinted>
  <dcterms:created xsi:type="dcterms:W3CDTF">2017-01-13T02:38:49Z</dcterms:created>
  <dcterms:modified xsi:type="dcterms:W3CDTF">2018-07-12T08:02:17Z</dcterms:modified>
</cp:coreProperties>
</file>